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335E1C3F-C5FD-4AE9-9A95-4CAC8CBF65D0}" xr6:coauthVersionLast="47" xr6:coauthVersionMax="47" xr10:uidLastSave="{00000000-0000-0000-0000-000000000000}"/>
  <bookViews>
    <workbookView xWindow="4500" yWindow="1845" windowWidth="38700" windowHeight="15435"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0" i="17" l="1"/>
  <c r="B3" i="106" l="1"/>
  <c r="AT283" i="106" l="1"/>
  <c r="AT77" i="15" s="1"/>
  <c r="AU283" i="106"/>
  <c r="AU77" i="15" s="1"/>
  <c r="AV283" i="106"/>
  <c r="AV77" i="15" s="1"/>
  <c r="AS283" i="106"/>
  <c r="AS77" i="15" s="1"/>
  <c r="AR282" i="106"/>
  <c r="AR64" i="15" s="1"/>
  <c r="AS282" i="106"/>
  <c r="AS64" i="15" s="1"/>
  <c r="AT282" i="106"/>
  <c r="AT64" i="15" s="1"/>
  <c r="AV282" i="106"/>
  <c r="AV64" i="15" s="1"/>
  <c r="AU282" i="106"/>
  <c r="AU64" i="15" s="1"/>
  <c r="AR283" i="106"/>
  <c r="AR77" i="15" s="1"/>
  <c r="AU74" i="108" l="1" a="1"/>
  <c r="AU74" i="108" s="1"/>
  <c r="AT74" i="108" a="1"/>
  <c r="AT74" i="108" s="1"/>
  <c r="AS74" i="108" a="1"/>
  <c r="AS74" i="108" s="1"/>
  <c r="AR74" i="108" a="1"/>
  <c r="AR74" i="108" s="1"/>
  <c r="AQ74" i="108" a="1"/>
  <c r="AQ74" i="108" s="1"/>
  <c r="AP74" i="108" a="1"/>
  <c r="AP74" i="108" s="1"/>
  <c r="AO74" i="108" a="1"/>
  <c r="AO74" i="108" s="1"/>
  <c r="AR25" i="108" a="1"/>
  <c r="AR25" i="108" s="1"/>
  <c r="AV74" i="108" l="1"/>
  <c r="AV24" i="108" l="1" a="1"/>
  <c r="AV24" i="108" s="1"/>
  <c r="AU24" i="108" a="1"/>
  <c r="AU24" i="108" s="1"/>
  <c r="AT24" i="108" a="1"/>
  <c r="AT24" i="108" s="1"/>
  <c r="AS24" i="108" a="1"/>
  <c r="AS24" i="108" s="1"/>
  <c r="AR24" i="108" a="1"/>
  <c r="AR24" i="108" s="1"/>
  <c r="H353" i="5" l="1"/>
  <c r="AV96" i="108"/>
  <c r="AJ54" i="126" l="1"/>
  <c r="AK52" i="126"/>
  <c r="AJ52" i="126"/>
  <c r="AJ42" i="126"/>
  <c r="AJ43" i="126" s="1"/>
  <c r="W12" i="126"/>
  <c r="V12" i="126"/>
  <c r="U12" i="126"/>
  <c r="T12" i="126"/>
  <c r="S12" i="126"/>
  <c r="R12" i="126"/>
  <c r="Q12" i="126"/>
  <c r="P12" i="126"/>
  <c r="O12" i="126"/>
  <c r="N12" i="126"/>
  <c r="M12" i="126"/>
  <c r="L12" i="126"/>
  <c r="K12" i="126"/>
  <c r="AM1" i="126"/>
  <c r="AV25" i="108" l="1" a="1"/>
  <c r="AV25" i="108" s="1"/>
  <c r="AU25" i="108" a="1"/>
  <c r="AU25" i="108" s="1"/>
  <c r="AT25" i="108" a="1"/>
  <c r="AT25" i="108" s="1"/>
  <c r="AS25" i="108" a="1"/>
  <c r="AS25" i="108"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4" i="106"/>
  <c r="AR346" i="106"/>
  <c r="AR348" i="106"/>
  <c r="AR345"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V132" i="106"/>
  <c r="AQ406" i="106"/>
  <c r="AQ119" i="126" s="1"/>
  <c r="AQ394" i="106"/>
  <c r="AQ99" i="126" s="1"/>
  <c r="AQ380" i="106"/>
  <c r="AQ78" i="126" s="1"/>
  <c r="AP371" i="106"/>
  <c r="AP65" i="126" s="1"/>
  <c r="AR341" i="106"/>
  <c r="AR20"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U132"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T132"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T128"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S132"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V128"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U128"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128"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V63" i="5"/>
  <c r="AS103" i="5"/>
  <c r="AT287" i="5"/>
  <c r="AS67" i="5"/>
  <c r="AU106" i="5"/>
  <c r="AT76" i="5"/>
  <c r="AV101" i="5"/>
  <c r="AV110" i="5"/>
  <c r="AU282" i="5"/>
  <c r="AU67" i="5"/>
  <c r="AU78" i="5"/>
  <c r="AR73" i="5"/>
  <c r="AR287" i="5"/>
  <c r="AV108" i="5"/>
  <c r="AU64" i="5"/>
  <c r="I242" i="5"/>
  <c r="I35" i="125" s="1"/>
  <c r="AK180" i="5"/>
  <c r="AO180" i="5"/>
  <c r="AU129" i="5"/>
  <c r="AV130" i="5"/>
  <c r="AU118" i="5"/>
  <c r="AV92" i="5"/>
  <c r="AS63"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T67"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U63" i="5"/>
  <c r="AR103" i="5"/>
  <c r="AS287" i="5"/>
  <c r="AU72" i="5"/>
  <c r="AR108" i="5"/>
  <c r="AR76" i="5"/>
  <c r="AT282" i="5"/>
  <c r="AT63" i="5"/>
  <c r="AR107" i="5"/>
  <c r="AT110" i="5"/>
  <c r="AU66" i="5"/>
  <c r="AU74" i="5"/>
  <c r="AS102" i="5"/>
  <c r="AS109" i="5"/>
  <c r="AU103" i="5"/>
  <c r="AV67"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112" i="108"/>
  <c r="AV105" i="108"/>
  <c r="AV87" i="108"/>
  <c r="AV116" i="108"/>
  <c r="AV94" i="108"/>
  <c r="AV108" i="108"/>
  <c r="AV103" i="108"/>
  <c r="AV93" i="108"/>
  <c r="AV114" i="108"/>
  <c r="AV107" i="108"/>
  <c r="AV101" i="108"/>
  <c r="AV121" i="108"/>
  <c r="AV82" i="108"/>
  <c r="AV102" i="108"/>
  <c r="AV109" i="108"/>
  <c r="AV80" i="108"/>
  <c r="AV79" i="108"/>
  <c r="AV99" i="108"/>
  <c r="AV91" i="108"/>
  <c r="AV119" i="108"/>
  <c r="AV95" i="108"/>
  <c r="AV115" i="108"/>
  <c r="AV85" i="108"/>
  <c r="AV78" i="108"/>
  <c r="AV86" i="108"/>
  <c r="AV120" i="108"/>
  <c r="AV106" i="108"/>
  <c r="AV100" i="108"/>
  <c r="AV92" i="108"/>
  <c r="AV113" i="108"/>
  <c r="AV88" i="108"/>
  <c r="AV76" i="108"/>
  <c r="AV84" i="108"/>
  <c r="AV77" i="108"/>
  <c r="AV97" i="108"/>
  <c r="AV90" i="108"/>
  <c r="AV117" i="108"/>
  <c r="AV110" i="108"/>
  <c r="AV111" i="108"/>
  <c r="AV89" i="108"/>
  <c r="AV83" i="108"/>
  <c r="AV104" i="108"/>
  <c r="AV98" i="108"/>
  <c r="AV118" i="108"/>
  <c r="AV81" i="108"/>
  <c r="AR153" i="106"/>
  <c r="AU153" i="106"/>
  <c r="AT153" i="106"/>
  <c r="AV153" i="106"/>
  <c r="AS153" i="106"/>
  <c r="AU75" i="108" a="1"/>
  <c r="AU75" i="108" s="1"/>
  <c r="AQ75" i="108" a="1"/>
  <c r="AQ75" i="108" s="1"/>
  <c r="AS75" i="108" a="1"/>
  <c r="AS75" i="108" s="1"/>
  <c r="AT75" i="108" a="1"/>
  <c r="AT75" i="108" s="1"/>
  <c r="AP75" i="108" a="1"/>
  <c r="AP75" i="108" s="1"/>
  <c r="AR75" i="108" a="1"/>
  <c r="AR75" i="108" s="1"/>
  <c r="AO75" i="108" a="1"/>
  <c r="AO75" i="108"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V289" i="106"/>
  <c r="AR193" i="106"/>
  <c r="AT182" i="106"/>
  <c r="AT43" i="106"/>
  <c r="AR69" i="106"/>
  <c r="AR17" i="106"/>
  <c r="AS20" i="106"/>
  <c r="AR40" i="106"/>
  <c r="AS47" i="106"/>
  <c r="AR42" i="106"/>
  <c r="AT149" i="106"/>
  <c r="AU20" i="106"/>
  <c r="AU151" i="106"/>
  <c r="AV37" i="106"/>
  <c r="AS147" i="106"/>
  <c r="AS69" i="106"/>
  <c r="AS151" i="106"/>
  <c r="AR196" i="106"/>
  <c r="AS286" i="106"/>
  <c r="AS182" i="106"/>
  <c r="AU31" i="106"/>
  <c r="AT36" i="106"/>
  <c r="AS67" i="106"/>
  <c r="AV145" i="106"/>
  <c r="AV198" i="106"/>
  <c r="AV286" i="106"/>
  <c r="AT53" i="106"/>
  <c r="AR152" i="106"/>
  <c r="AS50" i="106"/>
  <c r="AU39" i="106"/>
  <c r="AT288" i="106"/>
  <c r="AS18" i="106"/>
  <c r="AT180" i="106"/>
  <c r="AV35" i="106"/>
  <c r="AU63" i="106"/>
  <c r="AR53" i="106"/>
  <c r="AS55" i="106"/>
  <c r="AU148" i="106"/>
  <c r="AT201" i="106"/>
  <c r="AT15" i="106"/>
  <c r="AR38" i="106"/>
  <c r="AU34" i="106"/>
  <c r="AT41" i="106"/>
  <c r="AU193" i="106"/>
  <c r="AS193" i="106"/>
  <c r="AS206" i="106"/>
  <c r="AT62" i="106"/>
  <c r="AR35" i="106"/>
  <c r="AS70" i="106"/>
  <c r="AR66" i="106"/>
  <c r="AR148" i="106"/>
  <c r="AT286"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U45" i="106"/>
  <c r="AV28" i="106"/>
  <c r="AS71" i="106"/>
  <c r="AR49" i="106"/>
  <c r="AV18" i="106"/>
  <c r="AS36" i="106"/>
  <c r="AR198" i="106"/>
  <c r="AR59" i="106"/>
  <c r="AV54" i="106"/>
  <c r="AV177" i="106"/>
  <c r="AV203" i="106"/>
  <c r="AT287" i="106"/>
  <c r="AS27" i="106"/>
  <c r="AU35" i="106"/>
  <c r="AU146" i="106"/>
  <c r="AU65" i="106"/>
  <c r="AS177" i="106"/>
  <c r="AV194" i="106"/>
  <c r="AV206" i="106"/>
  <c r="AU288" i="106"/>
  <c r="AT19" i="106"/>
  <c r="AU42" i="106"/>
  <c r="AT69" i="106"/>
  <c r="AU48" i="106"/>
  <c r="AS40" i="106"/>
  <c r="AR206" i="106"/>
  <c r="AS204" i="106"/>
  <c r="AU16" i="106"/>
  <c r="AV67" i="106"/>
  <c r="AS34" i="106"/>
  <c r="AR62" i="106"/>
  <c r="AT52" i="106"/>
  <c r="AU53" i="106"/>
  <c r="AR147" i="106"/>
  <c r="AV199" i="106"/>
  <c r="AS15" i="106"/>
  <c r="AT63" i="106"/>
  <c r="AV65" i="106"/>
  <c r="AR68" i="106"/>
  <c r="AV180" i="106"/>
  <c r="AV193" i="106"/>
  <c r="AS32" i="106"/>
  <c r="AS60" i="106"/>
  <c r="AS54" i="106"/>
  <c r="AR51" i="106"/>
  <c r="AT155" i="106"/>
  <c r="AR199" i="106"/>
  <c r="AS52" i="106"/>
  <c r="AT32" i="106"/>
  <c r="AT61" i="106"/>
  <c r="AU289"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U173" i="106"/>
  <c r="AS51" i="106"/>
  <c r="AT204" i="106"/>
  <c r="AV38" i="106"/>
  <c r="AT200" i="106"/>
  <c r="AR19" i="106"/>
  <c r="AS68" i="106"/>
  <c r="AV71" i="106"/>
  <c r="AU67" i="106"/>
  <c r="AU149" i="106"/>
  <c r="AT194" i="106"/>
  <c r="AS289" i="106"/>
  <c r="AV17" i="106"/>
  <c r="AR63" i="106"/>
  <c r="AR47" i="106"/>
  <c r="AV155" i="106"/>
  <c r="AU38" i="106"/>
  <c r="AU203" i="106"/>
  <c r="AU202" i="106"/>
  <c r="AV182" i="106"/>
  <c r="AT55" i="106"/>
  <c r="AU32" i="106"/>
  <c r="AT60" i="106"/>
  <c r="AV50" i="106"/>
  <c r="AT145" i="106"/>
  <c r="AS198" i="106"/>
  <c r="AR71" i="106"/>
  <c r="AS59" i="106"/>
  <c r="AS149" i="106"/>
  <c r="AS64" i="106"/>
  <c r="AT66" i="106"/>
  <c r="AV288" i="106"/>
  <c r="AT34" i="106"/>
  <c r="AR33" i="106"/>
  <c r="AV40" i="106"/>
  <c r="AU177" i="106"/>
  <c r="AR286" i="106"/>
  <c r="AV53" i="106"/>
  <c r="AV31" i="106"/>
  <c r="AR67" i="106"/>
  <c r="AV62" i="106"/>
  <c r="AR287" i="106"/>
  <c r="AR15" i="106"/>
  <c r="AR28" i="106"/>
  <c r="AT54" i="106"/>
  <c r="AV42" i="106"/>
  <c r="AV173" i="106"/>
  <c r="AS195" i="106"/>
  <c r="AT199"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R204" i="106"/>
  <c r="AS41" i="106"/>
  <c r="AV287" i="106"/>
  <c r="AV66" i="106"/>
  <c r="AR197" i="106"/>
  <c r="AR43" i="106"/>
  <c r="AV61" i="106"/>
  <c r="AR34" i="106"/>
  <c r="AU66" i="106"/>
  <c r="AR64" i="106"/>
  <c r="AS173" i="106"/>
  <c r="AS180" i="106"/>
  <c r="AS205" i="106"/>
  <c r="AU286" i="106"/>
  <c r="AR182" i="106"/>
  <c r="AV43" i="106"/>
  <c r="AR31" i="106"/>
  <c r="AV58" i="106"/>
  <c r="AS49" i="106"/>
  <c r="AT51" i="106"/>
  <c r="AT289" i="106"/>
  <c r="AU196" i="106"/>
  <c r="AU56" i="106"/>
  <c r="AR55" i="106"/>
  <c r="AV146" i="106"/>
  <c r="AU62" i="106"/>
  <c r="AV64" i="106"/>
  <c r="AR180" i="106"/>
  <c r="AR30" i="106"/>
  <c r="AT31" i="106"/>
  <c r="AS39" i="106"/>
  <c r="AU30" i="106"/>
  <c r="AR56" i="106"/>
  <c r="AT49" i="106"/>
  <c r="AT197" i="106"/>
  <c r="AR184" i="106"/>
  <c r="I117" i="5" s="1"/>
  <c r="AS35" i="106"/>
  <c r="AS29" i="106"/>
  <c r="AS155" i="106"/>
  <c r="AU150" i="106"/>
  <c r="AU155" i="106"/>
  <c r="AT202" i="106"/>
  <c r="AU19" i="106"/>
  <c r="AV32" i="106"/>
  <c r="AV27" i="106"/>
  <c r="AU55" i="106"/>
  <c r="AR45" i="106"/>
  <c r="AS48" i="106"/>
  <c r="AT206" i="106"/>
  <c r="AT193"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50" i="106"/>
  <c r="AR18" i="106"/>
  <c r="AS56" i="106"/>
  <c r="AT18" i="106"/>
  <c r="AV39" i="106"/>
  <c r="AS16" i="106"/>
  <c r="AR32" i="106"/>
  <c r="AU58" i="106"/>
  <c r="AT44" i="106"/>
  <c r="AT177" i="106"/>
  <c r="AU199" i="106"/>
  <c r="AR201" i="106"/>
  <c r="AS19" i="106"/>
  <c r="AV44" i="106"/>
  <c r="AU51" i="106"/>
  <c r="AU71" i="106"/>
  <c r="AR61" i="106"/>
  <c r="AS63" i="106"/>
  <c r="AV29" i="106"/>
  <c r="AU37" i="106"/>
  <c r="AT150" i="106"/>
  <c r="AS201" i="106"/>
  <c r="AT203" i="106"/>
  <c r="AU17" i="106"/>
  <c r="AR29" i="106"/>
  <c r="AV52" i="106"/>
  <c r="AR52" i="106"/>
  <c r="AV47" i="106"/>
  <c r="AS152" i="106"/>
  <c r="AV195" i="106"/>
  <c r="AS287" i="106"/>
  <c r="AU50" i="106"/>
  <c r="AS30" i="106"/>
  <c r="AT65" i="106"/>
  <c r="AS61" i="106"/>
  <c r="AV60" i="106"/>
  <c r="AV45" i="106"/>
  <c r="AU40" i="106"/>
  <c r="AT147" i="106"/>
  <c r="AS196" i="106"/>
  <c r="AS33" i="106"/>
  <c r="AS42" i="106"/>
  <c r="AT68" i="106"/>
  <c r="AV57" i="106"/>
  <c r="AR60"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T28" i="106"/>
  <c r="AT58" i="106"/>
  <c r="AU33" i="106"/>
  <c r="AS146" i="106"/>
  <c r="AR36" i="106"/>
  <c r="AT29" i="106"/>
  <c r="AS57" i="106"/>
  <c r="AU47" i="106"/>
  <c r="AV49" i="106"/>
  <c r="AR289" i="106"/>
  <c r="AR195" i="106"/>
  <c r="AT30" i="106"/>
  <c r="AU57" i="106"/>
  <c r="AS28" i="106"/>
  <c r="AU147" i="106"/>
  <c r="AT151" i="106"/>
  <c r="AV196" i="106"/>
  <c r="AV201" i="106"/>
  <c r="AV34" i="106"/>
  <c r="AT27" i="106"/>
  <c r="AT48" i="106"/>
  <c r="AT50" i="106"/>
  <c r="AS45" i="106"/>
  <c r="AS194" i="106"/>
  <c r="AT45" i="106"/>
  <c r="AU28" i="106"/>
  <c r="AV63" i="106"/>
  <c r="AU59" i="106"/>
  <c r="AV202" i="106"/>
  <c r="AU206" i="106"/>
  <c r="AU287" i="106"/>
  <c r="AS31" i="106"/>
  <c r="AU27" i="106"/>
  <c r="AU49" i="106"/>
  <c r="AV152" i="106"/>
  <c r="AS148" i="106"/>
  <c r="AV200" i="106"/>
  <c r="AT16" i="106"/>
  <c r="AR149" i="106"/>
  <c r="AV41" i="106"/>
  <c r="AR44" i="106"/>
  <c r="AR200" i="106"/>
  <c r="AR20" i="106"/>
  <c r="AS37" i="106"/>
  <c r="AU180" i="106"/>
  <c r="AU70" i="106"/>
  <c r="AR146" i="106"/>
  <c r="AV204" i="106"/>
  <c r="AU198"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T64" i="106"/>
  <c r="AV30" i="106"/>
  <c r="AS26" i="106"/>
  <c r="AV151" i="106"/>
  <c r="AS197" i="106"/>
  <c r="AT26" i="106"/>
  <c r="AV36" i="106"/>
  <c r="AT47" i="106"/>
  <c r="AR70" i="106"/>
  <c r="AT59" i="106"/>
  <c r="AU61" i="106"/>
  <c r="AV205" i="106"/>
  <c r="AS43" i="106"/>
  <c r="AV48" i="106"/>
  <c r="AU43" i="106"/>
  <c r="AR151" i="106"/>
  <c r="AT39" i="106"/>
  <c r="AR41" i="106"/>
  <c r="AR27" i="106"/>
  <c r="AS62" i="106"/>
  <c r="AR58" i="106"/>
  <c r="AT198" i="106"/>
  <c r="AR205" i="106"/>
  <c r="AV26" i="106"/>
  <c r="AR26" i="106"/>
  <c r="AS44" i="106"/>
  <c r="AU145" i="106"/>
  <c r="AT152" i="106"/>
  <c r="AS199" i="106"/>
  <c r="AR16" i="106"/>
  <c r="AU41" i="106"/>
  <c r="AR39" i="106"/>
  <c r="AT70" i="106"/>
  <c r="AV150" i="106"/>
  <c r="AU205" i="106"/>
  <c r="AU194" i="106"/>
  <c r="AV19" i="106"/>
  <c r="AU36" i="106"/>
  <c r="AS65" i="106"/>
  <c r="AU54" i="106"/>
  <c r="AV56" i="106"/>
  <c r="AS150" i="106"/>
  <c r="AR203" i="106"/>
  <c r="AU18" i="106"/>
  <c r="AV59" i="106"/>
  <c r="AR37" i="106"/>
  <c r="AU44" i="106"/>
  <c r="AV147" i="106"/>
  <c r="AU201"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T146" i="106"/>
  <c r="AR57" i="106"/>
  <c r="AV197" i="106"/>
  <c r="AR54" i="106"/>
  <c r="AU204" i="106"/>
  <c r="AR155" i="106"/>
  <c r="AR48" i="106"/>
  <c r="AU26" i="106"/>
  <c r="AR202" i="106"/>
  <c r="AS145" i="106"/>
  <c r="AV148" i="106"/>
  <c r="AS200" i="106"/>
  <c r="AT20" i="106"/>
  <c r="AS38" i="106"/>
  <c r="AU60" i="106"/>
  <c r="AT56" i="106"/>
  <c r="AR194" i="106"/>
  <c r="AR50" i="106"/>
  <c r="AV149" i="106"/>
  <c r="AV70" i="106"/>
  <c r="AU197" i="106"/>
  <c r="AS288" i="106"/>
  <c r="AV20" i="106"/>
  <c r="AT38" i="106"/>
  <c r="AT37" i="106"/>
  <c r="AV68" i="106"/>
  <c r="AT148" i="106"/>
  <c r="AS203" i="106"/>
  <c r="AU182" i="106"/>
  <c r="AS66" i="106"/>
  <c r="AR177" i="106"/>
  <c r="AV51" i="106"/>
  <c r="AT42" i="106"/>
  <c r="AU195" i="106"/>
  <c r="AT205" i="106"/>
  <c r="AV16" i="106"/>
  <c r="AU29" i="106"/>
  <c r="AV69" i="106"/>
  <c r="AU152" i="106"/>
  <c r="AT67" i="106"/>
  <c r="AU69" i="106"/>
  <c r="AT196" i="106"/>
  <c r="AT195" i="106"/>
  <c r="AS17" i="106"/>
  <c r="AT35" i="106"/>
  <c r="AT71" i="106"/>
  <c r="AT57" i="106"/>
  <c r="AS53" i="106"/>
  <c r="AS202" i="106"/>
  <c r="AR288" i="106"/>
  <c r="AS360" i="5" l="1"/>
  <c r="AV32" i="5"/>
  <c r="AV358" i="5"/>
  <c r="AS141" i="5"/>
  <c r="AL422" i="5"/>
  <c r="AQ394" i="5"/>
  <c r="AU426" i="5"/>
  <c r="AT403" i="5"/>
  <c r="AS425" i="5"/>
  <c r="AV366" i="5"/>
  <c r="AV363" i="5"/>
  <c r="AV333" i="5"/>
  <c r="AU350" i="5"/>
  <c r="AT366" i="5"/>
  <c r="AM387" i="5"/>
  <c r="AN334" i="5" s="1"/>
  <c r="AJ396" i="5"/>
  <c r="AP425" i="5"/>
  <c r="AT393" i="5"/>
  <c r="AL404" i="5"/>
  <c r="AM392" i="5"/>
  <c r="AN339" i="5" s="1"/>
  <c r="AJ227" i="5"/>
  <c r="AU136" i="5"/>
  <c r="AS338" i="5"/>
  <c r="AV370" i="5"/>
  <c r="AT357" i="5"/>
  <c r="AV139" i="5"/>
  <c r="AT347" i="5"/>
  <c r="AT417" i="5"/>
  <c r="AJ418" i="5"/>
  <c r="AP405" i="5"/>
  <c r="AM389" i="5"/>
  <c r="AN336" i="5" s="1"/>
  <c r="AO395" i="5"/>
  <c r="AL400" i="5"/>
  <c r="AO394" i="5"/>
  <c r="AU416" i="5"/>
  <c r="AV367" i="5"/>
  <c r="AV359" i="5"/>
  <c r="AT88" i="5"/>
  <c r="AU378" i="5"/>
  <c r="AU137" i="5"/>
  <c r="AT34" i="5"/>
  <c r="AM397" i="5"/>
  <c r="AN344" i="5" s="1"/>
  <c r="AQ415" i="5"/>
  <c r="AM431" i="5"/>
  <c r="AN378" i="5" s="1"/>
  <c r="AL388" i="5"/>
  <c r="AO387" i="5"/>
  <c r="AM394" i="5"/>
  <c r="AN341" i="5" s="1"/>
  <c r="AR404" i="5"/>
  <c r="AJ404" i="5"/>
  <c r="AO397" i="5"/>
  <c r="AM410" i="5"/>
  <c r="AN357" i="5" s="1"/>
  <c r="AO415" i="5"/>
  <c r="AU394" i="5"/>
  <c r="AT147" i="5"/>
  <c r="AU363" i="5"/>
  <c r="AV365" i="5"/>
  <c r="AS120" i="5"/>
  <c r="AR135" i="5"/>
  <c r="AT113" i="5"/>
  <c r="AR423" i="5"/>
  <c r="AT412" i="5"/>
  <c r="AM386" i="5"/>
  <c r="AN333" i="5" s="1"/>
  <c r="AO400" i="5"/>
  <c r="AJ423" i="5"/>
  <c r="AR415" i="5"/>
  <c r="AR396" i="5"/>
  <c r="AR428" i="5"/>
  <c r="AS366" i="5"/>
  <c r="AT367" i="5"/>
  <c r="AU141" i="5"/>
  <c r="AT396" i="5"/>
  <c r="AS428" i="5"/>
  <c r="AS421" i="5"/>
  <c r="AU415" i="5"/>
  <c r="AS395" i="5"/>
  <c r="AS339" i="5"/>
  <c r="AV372" i="5"/>
  <c r="AU360" i="5"/>
  <c r="AT35" i="5"/>
  <c r="AU372" i="5"/>
  <c r="AV141" i="5"/>
  <c r="AP426" i="5"/>
  <c r="AQ428" i="5"/>
  <c r="AO386" i="5"/>
  <c r="AL411" i="5"/>
  <c r="AU410" i="5"/>
  <c r="AR392" i="5"/>
  <c r="AM427" i="5"/>
  <c r="AN374" i="5" s="1"/>
  <c r="AS147" i="5"/>
  <c r="AV342" i="5"/>
  <c r="AT266" i="5"/>
  <c r="AV344" i="5"/>
  <c r="AT87" i="5"/>
  <c r="AP397" i="5"/>
  <c r="AJ411" i="5"/>
  <c r="AL417" i="5"/>
  <c r="AQ407" i="5"/>
  <c r="AM398" i="5"/>
  <c r="AN345" i="5" s="1"/>
  <c r="AR403" i="5"/>
  <c r="AR386" i="5"/>
  <c r="AM414" i="5"/>
  <c r="AN361" i="5" s="1"/>
  <c r="AP416" i="5"/>
  <c r="AP227" i="5"/>
  <c r="T226" i="5"/>
  <c r="X227" i="5"/>
  <c r="AD226" i="5"/>
  <c r="O226" i="5"/>
  <c r="O227" i="5"/>
  <c r="W226" i="5"/>
  <c r="AS140" i="5"/>
  <c r="AT133" i="5"/>
  <c r="AT86" i="5"/>
  <c r="AS266" i="5"/>
  <c r="AT84" i="5"/>
  <c r="AJ388" i="5"/>
  <c r="AL405" i="5"/>
  <c r="AP409" i="5"/>
  <c r="AS402" i="5"/>
  <c r="AM418" i="5"/>
  <c r="AN365" i="5" s="1"/>
  <c r="AS403" i="5"/>
  <c r="AU34" i="5"/>
  <c r="AU361" i="5"/>
  <c r="AU132" i="5"/>
  <c r="AV355" i="5"/>
  <c r="AS333" i="5"/>
  <c r="AJ421" i="5"/>
  <c r="AL426" i="5"/>
  <c r="AP422" i="5"/>
  <c r="AQ424" i="5"/>
  <c r="AU418" i="5"/>
  <c r="AJ401" i="5"/>
  <c r="AP401" i="5"/>
  <c r="AQ227" i="5"/>
  <c r="AV142" i="5"/>
  <c r="AU335" i="5"/>
  <c r="AT355" i="5"/>
  <c r="AV134" i="5"/>
  <c r="AS84" i="5"/>
  <c r="AU375" i="5"/>
  <c r="AL393" i="5"/>
  <c r="AS398" i="5"/>
  <c r="AQ405" i="5"/>
  <c r="AM384" i="5"/>
  <c r="AN331" i="5" s="1"/>
  <c r="AP389" i="5"/>
  <c r="AJ391" i="5"/>
  <c r="AP424" i="5"/>
  <c r="AU405" i="5"/>
  <c r="AU344" i="5"/>
  <c r="AU358" i="5"/>
  <c r="AT117" i="5"/>
  <c r="AS363" i="5"/>
  <c r="AJ419" i="5"/>
  <c r="AR421" i="5"/>
  <c r="AO409" i="5"/>
  <c r="AJ384" i="5"/>
  <c r="AP415" i="5"/>
  <c r="AL420" i="5"/>
  <c r="AS407" i="5"/>
  <c r="AP391" i="5"/>
  <c r="AP430" i="5"/>
  <c r="AJ389" i="5"/>
  <c r="AS355" i="5"/>
  <c r="AS113" i="5"/>
  <c r="AS405" i="5"/>
  <c r="AU423" i="5"/>
  <c r="AP411" i="5"/>
  <c r="AS394" i="5"/>
  <c r="AS418" i="5"/>
  <c r="AT408" i="5"/>
  <c r="AT137" i="5"/>
  <c r="AU339" i="5"/>
  <c r="AU345" i="5"/>
  <c r="AS267" i="5"/>
  <c r="AT138" i="5"/>
  <c r="AV31" i="5"/>
  <c r="AJ428" i="5"/>
  <c r="AT392" i="5"/>
  <c r="AT411" i="5"/>
  <c r="AT398" i="5"/>
  <c r="AT370" i="5"/>
  <c r="AT359" i="5"/>
  <c r="AU84" i="5"/>
  <c r="AV117" i="5"/>
  <c r="AS378" i="5"/>
  <c r="AL418" i="5"/>
  <c r="AJ424" i="5"/>
  <c r="AR424" i="5"/>
  <c r="AJ393" i="5"/>
  <c r="AR394" i="5"/>
  <c r="AQ416" i="5"/>
  <c r="AJ399" i="5"/>
  <c r="AO420" i="5"/>
  <c r="AU422" i="5"/>
  <c r="AS420" i="5"/>
  <c r="AO390" i="5"/>
  <c r="AL226" i="5"/>
  <c r="AS377" i="5"/>
  <c r="AS131" i="5"/>
  <c r="AT120" i="5"/>
  <c r="AU346" i="5"/>
  <c r="AV264" i="5"/>
  <c r="AU89" i="5"/>
  <c r="AT350" i="5"/>
  <c r="AM388" i="5"/>
  <c r="AN335" i="5" s="1"/>
  <c r="AT429" i="5"/>
  <c r="AL419" i="5"/>
  <c r="AL407" i="5"/>
  <c r="AR390" i="5"/>
  <c r="AS415" i="5"/>
  <c r="AS387" i="5"/>
  <c r="AO402" i="5"/>
  <c r="AQ431" i="5"/>
  <c r="AM226" i="5"/>
  <c r="P226" i="5"/>
  <c r="K227" i="5"/>
  <c r="AE227" i="5"/>
  <c r="R226" i="5"/>
  <c r="AB226" i="5"/>
  <c r="R227" i="5"/>
  <c r="AS91" i="5"/>
  <c r="AT364" i="5"/>
  <c r="AR117" i="5"/>
  <c r="AR124" i="5" s="1"/>
  <c r="AT378" i="5"/>
  <c r="AT134" i="5"/>
  <c r="AS373" i="5"/>
  <c r="AV375" i="5"/>
  <c r="AU135" i="5"/>
  <c r="AR132" i="5"/>
  <c r="AR93" i="5"/>
  <c r="AO428" i="5"/>
  <c r="AL398" i="5"/>
  <c r="AO413" i="5"/>
  <c r="AL424" i="5"/>
  <c r="AQ398" i="5"/>
  <c r="AS416" i="5"/>
  <c r="AO407" i="5"/>
  <c r="AL390" i="5"/>
  <c r="AT428" i="5"/>
  <c r="AS372" i="5"/>
  <c r="AU146" i="5"/>
  <c r="AT346" i="5"/>
  <c r="AS350" i="5"/>
  <c r="AT354" i="5"/>
  <c r="AL429" i="5"/>
  <c r="AO392" i="5"/>
  <c r="AJ394" i="5"/>
  <c r="AQ421" i="5"/>
  <c r="AR387" i="5"/>
  <c r="AM420" i="5"/>
  <c r="AN367" i="5" s="1"/>
  <c r="AJ400" i="5"/>
  <c r="AQ388" i="5"/>
  <c r="AJ402" i="5"/>
  <c r="AO227" i="5"/>
  <c r="AR84" i="5"/>
  <c r="AT352" i="5"/>
  <c r="AT334" i="5"/>
  <c r="AT89" i="5"/>
  <c r="AR133" i="5"/>
  <c r="AL401" i="5"/>
  <c r="AM426" i="5"/>
  <c r="AN373" i="5" s="1"/>
  <c r="AO404" i="5"/>
  <c r="AQ393" i="5"/>
  <c r="AR429" i="5"/>
  <c r="AU33" i="5"/>
  <c r="AV336" i="5"/>
  <c r="AV351" i="5"/>
  <c r="AT351" i="5"/>
  <c r="AS422" i="5"/>
  <c r="AP400" i="5"/>
  <c r="AQ413" i="5"/>
  <c r="AU402" i="5"/>
  <c r="AR395" i="5"/>
  <c r="AM385" i="5"/>
  <c r="AN332" i="5" s="1"/>
  <c r="AV286" i="5"/>
  <c r="AV282" i="17" s="1"/>
  <c r="AT140" i="5"/>
  <c r="AV350" i="5"/>
  <c r="AV373" i="5"/>
  <c r="AU417" i="5"/>
  <c r="AM416" i="5"/>
  <c r="AN363" i="5" s="1"/>
  <c r="AO414" i="5"/>
  <c r="AL430" i="5"/>
  <c r="AS389" i="5"/>
  <c r="AT409" i="5"/>
  <c r="AT397" i="5"/>
  <c r="AU430" i="5"/>
  <c r="AS133" i="5"/>
  <c r="AR265" i="5"/>
  <c r="AT362" i="5"/>
  <c r="AV93" i="5"/>
  <c r="AT132" i="5"/>
  <c r="AU359" i="5"/>
  <c r="AO419" i="5"/>
  <c r="AJ416" i="5"/>
  <c r="AU409" i="5"/>
  <c r="AU414" i="5"/>
  <c r="AO427" i="5"/>
  <c r="AT430" i="5"/>
  <c r="AU267" i="5"/>
  <c r="AS31" i="5"/>
  <c r="AS142" i="5"/>
  <c r="AU342" i="5"/>
  <c r="AV361" i="5"/>
  <c r="AM403" i="5"/>
  <c r="AN350" i="5" s="1"/>
  <c r="AO401" i="5"/>
  <c r="AR422" i="5"/>
  <c r="AQ396" i="5"/>
  <c r="AJ429" i="5"/>
  <c r="AT426" i="5"/>
  <c r="AQ410" i="5"/>
  <c r="AN227" i="5"/>
  <c r="AU131" i="5"/>
  <c r="AS34" i="5"/>
  <c r="AS357" i="5"/>
  <c r="AV136" i="5"/>
  <c r="AU36" i="5"/>
  <c r="AS354" i="5"/>
  <c r="AL403" i="5"/>
  <c r="AU386" i="5"/>
  <c r="AO403" i="5"/>
  <c r="AU397" i="5"/>
  <c r="AP419" i="5"/>
  <c r="AR426" i="5"/>
  <c r="M227" i="5"/>
  <c r="S226" i="5"/>
  <c r="Y227" i="5"/>
  <c r="AI226" i="5"/>
  <c r="AG226" i="5"/>
  <c r="L226" i="5"/>
  <c r="AV91" i="5"/>
  <c r="AR266" i="5"/>
  <c r="AT342" i="5"/>
  <c r="AU376" i="5"/>
  <c r="AU122" i="5"/>
  <c r="AT344" i="5"/>
  <c r="AV377" i="5"/>
  <c r="AT363" i="5"/>
  <c r="AS138" i="5"/>
  <c r="AU142" i="5"/>
  <c r="AV340" i="5"/>
  <c r="AP423" i="5"/>
  <c r="AQ425" i="5"/>
  <c r="AR417" i="5"/>
  <c r="AM430" i="5"/>
  <c r="AN377" i="5" s="1"/>
  <c r="AT427" i="5"/>
  <c r="AM413" i="5"/>
  <c r="AN360" i="5" s="1"/>
  <c r="AL414" i="5"/>
  <c r="AP404" i="5"/>
  <c r="AM390" i="5"/>
  <c r="AN337" i="5" s="1"/>
  <c r="AU427" i="5"/>
  <c r="AU343" i="5"/>
  <c r="AV88" i="5"/>
  <c r="AS137" i="5"/>
  <c r="AV343" i="5"/>
  <c r="AV337" i="5"/>
  <c r="AQ395" i="5"/>
  <c r="AT418" i="5"/>
  <c r="AM421" i="5"/>
  <c r="AN368" i="5" s="1"/>
  <c r="AS414" i="5"/>
  <c r="AJ397" i="5"/>
  <c r="AP388" i="5"/>
  <c r="AR410" i="5"/>
  <c r="AL389" i="5"/>
  <c r="AO399" i="5"/>
  <c r="AU286" i="5"/>
  <c r="AU282" i="17" s="1"/>
  <c r="AU377" i="5"/>
  <c r="AR138" i="5"/>
  <c r="AV138" i="5"/>
  <c r="AV341" i="5"/>
  <c r="AU85" i="5"/>
  <c r="AR267" i="5"/>
  <c r="AU340" i="5"/>
  <c r="AJ407" i="5"/>
  <c r="AP393" i="5"/>
  <c r="AU419" i="5"/>
  <c r="AO431" i="5"/>
  <c r="AL409" i="5"/>
  <c r="AP417" i="5"/>
  <c r="AS429" i="5"/>
  <c r="AS396" i="5"/>
  <c r="AS265" i="5"/>
  <c r="AS35" i="5"/>
  <c r="AU365" i="5"/>
  <c r="AR34" i="5"/>
  <c r="AT415" i="5"/>
  <c r="AQ400" i="5"/>
  <c r="AR407" i="5"/>
  <c r="AR400" i="5"/>
  <c r="AL431" i="5"/>
  <c r="AO412" i="5"/>
  <c r="AL227" i="5"/>
  <c r="AU362" i="5"/>
  <c r="AU93" i="5"/>
  <c r="AT135" i="5"/>
  <c r="AR120" i="5"/>
  <c r="AR122" i="5"/>
  <c r="AU373" i="5"/>
  <c r="AV265" i="5"/>
  <c r="AM400" i="5"/>
  <c r="AN347" i="5" s="1"/>
  <c r="AO418" i="5"/>
  <c r="AM393" i="5"/>
  <c r="AN340" i="5" s="1"/>
  <c r="AP414" i="5"/>
  <c r="AT423" i="5"/>
  <c r="AO429" i="5"/>
  <c r="AU420" i="5"/>
  <c r="AU413" i="5"/>
  <c r="AS286" i="5"/>
  <c r="AS282" i="17" s="1"/>
  <c r="AV113" i="5"/>
  <c r="AV369" i="5"/>
  <c r="AR264" i="5"/>
  <c r="AV122" i="5"/>
  <c r="AU87" i="5"/>
  <c r="AV345" i="5"/>
  <c r="AJ405" i="5"/>
  <c r="AM422" i="5"/>
  <c r="AN369" i="5" s="1"/>
  <c r="AP398" i="5"/>
  <c r="AU424" i="5"/>
  <c r="AL391" i="5"/>
  <c r="AJ427" i="5"/>
  <c r="AR413" i="5"/>
  <c r="AU403" i="5"/>
  <c r="AR137" i="5"/>
  <c r="AS341" i="5"/>
  <c r="AR147" i="5"/>
  <c r="AS334" i="5"/>
  <c r="AV335" i="5"/>
  <c r="AM391" i="5"/>
  <c r="AN338" i="5" s="1"/>
  <c r="AP413" i="5"/>
  <c r="AS399" i="5"/>
  <c r="AS419" i="5"/>
  <c r="AR427" i="5"/>
  <c r="AL384" i="5"/>
  <c r="AT416" i="5"/>
  <c r="AT369" i="5"/>
  <c r="AT348" i="5"/>
  <c r="AT139" i="5"/>
  <c r="AR90" i="5"/>
  <c r="AV83" i="5"/>
  <c r="AS264" i="5"/>
  <c r="AT122" i="5"/>
  <c r="AJ392" i="5"/>
  <c r="AU391" i="5"/>
  <c r="AQ397" i="5"/>
  <c r="AQ409" i="5"/>
  <c r="AU388" i="5"/>
  <c r="AQ414" i="5"/>
  <c r="AS388" i="5"/>
  <c r="AJ385" i="5"/>
  <c r="Z227" i="5"/>
  <c r="AI227" i="5"/>
  <c r="V226" i="5"/>
  <c r="AF227" i="5"/>
  <c r="N226" i="5"/>
  <c r="AH226" i="5"/>
  <c r="AT91" i="5"/>
  <c r="AS33" i="5"/>
  <c r="AT374" i="5"/>
  <c r="AT345" i="5"/>
  <c r="AV87" i="5"/>
  <c r="AU367" i="5"/>
  <c r="AV86" i="5"/>
  <c r="AL421" i="5"/>
  <c r="AS409" i="5"/>
  <c r="AR405" i="5"/>
  <c r="AS430" i="5"/>
  <c r="AP392" i="5"/>
  <c r="AU390" i="5"/>
  <c r="AO398" i="5"/>
  <c r="AQ429" i="5"/>
  <c r="AU139" i="5"/>
  <c r="AV35" i="5"/>
  <c r="AT377" i="5"/>
  <c r="AT90" i="5"/>
  <c r="AR146" i="5"/>
  <c r="AT333" i="5"/>
  <c r="AT371" i="5"/>
  <c r="AR430" i="5"/>
  <c r="AT387" i="5"/>
  <c r="AP399" i="5"/>
  <c r="AT431" i="5"/>
  <c r="AQ387" i="5"/>
  <c r="AS392" i="5"/>
  <c r="AP402" i="5"/>
  <c r="AU120" i="5"/>
  <c r="AS86" i="5"/>
  <c r="AU265" i="5"/>
  <c r="AS335" i="5"/>
  <c r="AV356" i="5"/>
  <c r="AT365" i="5"/>
  <c r="AQ426" i="5"/>
  <c r="AP412" i="5"/>
  <c r="AQ402" i="5"/>
  <c r="AT389" i="5"/>
  <c r="AT421" i="5"/>
  <c r="I221" i="5"/>
  <c r="AV364" i="5"/>
  <c r="AS134" i="5"/>
  <c r="AS368" i="5"/>
  <c r="AV133" i="5"/>
  <c r="AR88" i="5"/>
  <c r="AS426" i="5"/>
  <c r="AS423" i="5"/>
  <c r="AR113" i="5"/>
  <c r="AL416" i="5"/>
  <c r="AU389" i="5"/>
  <c r="AO417" i="5"/>
  <c r="AQ418" i="5"/>
  <c r="AN226" i="5"/>
  <c r="AV334" i="5"/>
  <c r="AU88" i="5"/>
  <c r="AT356" i="5"/>
  <c r="AS346" i="5"/>
  <c r="AV371" i="5"/>
  <c r="AU134" i="5"/>
  <c r="AS348" i="5"/>
  <c r="AQ419" i="5"/>
  <c r="AQ420" i="5"/>
  <c r="AU407" i="5"/>
  <c r="AP394" i="5"/>
  <c r="AO226" i="5"/>
  <c r="AV349" i="5"/>
  <c r="AU117" i="5"/>
  <c r="AU124" i="5" s="1"/>
  <c r="AV266" i="5"/>
  <c r="AU374" i="5"/>
  <c r="AT142" i="5"/>
  <c r="AM412" i="5"/>
  <c r="AN359" i="5" s="1"/>
  <c r="AO391" i="5"/>
  <c r="AQ412" i="5"/>
  <c r="AL423" i="5"/>
  <c r="AL402" i="5"/>
  <c r="AO425" i="5"/>
  <c r="AQ404" i="5"/>
  <c r="AR388" i="5"/>
  <c r="AR83" i="5"/>
  <c r="AT93" i="5"/>
  <c r="AV374" i="5"/>
  <c r="AS347" i="5"/>
  <c r="AU266" i="5"/>
  <c r="AR136" i="5"/>
  <c r="AU352" i="5"/>
  <c r="AQ423" i="5"/>
  <c r="AS401" i="5"/>
  <c r="AT394" i="5"/>
  <c r="AU393" i="5"/>
  <c r="AT424" i="5"/>
  <c r="AO388" i="5"/>
  <c r="AM402" i="5"/>
  <c r="AN349" i="5" s="1"/>
  <c r="AU421" i="5"/>
  <c r="AU341" i="5"/>
  <c r="AU86" i="5"/>
  <c r="AT360" i="5"/>
  <c r="AS374" i="5"/>
  <c r="AR134" i="5"/>
  <c r="AS36" i="5"/>
  <c r="AR131" i="5"/>
  <c r="AL396" i="5"/>
  <c r="AS386" i="5"/>
  <c r="AT407" i="5"/>
  <c r="AU401" i="5"/>
  <c r="AL392" i="5"/>
  <c r="AR419" i="5"/>
  <c r="AS431" i="5"/>
  <c r="S227" i="5"/>
  <c r="Z226" i="5"/>
  <c r="AB227" i="5"/>
  <c r="N227" i="5"/>
  <c r="I212" i="5"/>
  <c r="Q227" i="5"/>
  <c r="AU91" i="5"/>
  <c r="AU90" i="5"/>
  <c r="AT146" i="5"/>
  <c r="AV36" i="5"/>
  <c r="AS345" i="5"/>
  <c r="AS83" i="5"/>
  <c r="AS410" i="5"/>
  <c r="AT414" i="5"/>
  <c r="AR418" i="5"/>
  <c r="AP418" i="5"/>
  <c r="AR399" i="5"/>
  <c r="AO411" i="5"/>
  <c r="I228" i="5"/>
  <c r="AV85" i="5"/>
  <c r="AU83" i="5"/>
  <c r="AT136" i="5"/>
  <c r="AS135" i="5"/>
  <c r="AS413" i="5"/>
  <c r="AQ408" i="5"/>
  <c r="AJ420" i="5"/>
  <c r="AM429" i="5"/>
  <c r="AN376" i="5" s="1"/>
  <c r="AR411" i="5"/>
  <c r="AT391" i="5"/>
  <c r="AS344" i="5"/>
  <c r="AV348" i="5"/>
  <c r="AV90" i="5"/>
  <c r="AU147" i="5"/>
  <c r="AU364" i="5"/>
  <c r="AU354" i="5"/>
  <c r="AR397" i="5"/>
  <c r="AM417" i="5"/>
  <c r="AN364" i="5" s="1"/>
  <c r="AQ422" i="5"/>
  <c r="AJ422" i="5"/>
  <c r="AU411" i="5"/>
  <c r="AO405" i="5"/>
  <c r="I220" i="5"/>
  <c r="AT375" i="5"/>
  <c r="AT85" i="5"/>
  <c r="AT372" i="5"/>
  <c r="AS90" i="5"/>
  <c r="AS32" i="5"/>
  <c r="AT340" i="5"/>
  <c r="AS411" i="5"/>
  <c r="AT400" i="5"/>
  <c r="AL412" i="5"/>
  <c r="AJ408" i="5"/>
  <c r="AP407" i="5"/>
  <c r="AR398" i="5"/>
  <c r="AV339" i="5"/>
  <c r="AS93" i="5"/>
  <c r="AT338" i="5"/>
  <c r="AU369" i="5"/>
  <c r="AT267" i="5"/>
  <c r="AV368" i="5"/>
  <c r="AR142" i="5"/>
  <c r="AT410" i="5"/>
  <c r="AR391" i="5"/>
  <c r="AJ386" i="5"/>
  <c r="AP226" i="5"/>
  <c r="AT361" i="5"/>
  <c r="AV338" i="5"/>
  <c r="AV347" i="5"/>
  <c r="AT373" i="5"/>
  <c r="AS136" i="5"/>
  <c r="AV33" i="5"/>
  <c r="AV378" i="5"/>
  <c r="AP427" i="5"/>
  <c r="AS412" i="5"/>
  <c r="AO396" i="5"/>
  <c r="AL385" i="5"/>
  <c r="AO423" i="5"/>
  <c r="AQ389" i="5"/>
  <c r="AJ412" i="5"/>
  <c r="AR393" i="5"/>
  <c r="AS424" i="5"/>
  <c r="AP390" i="5"/>
  <c r="I218" i="5"/>
  <c r="AT368" i="5"/>
  <c r="AV131" i="5"/>
  <c r="AU32" i="5"/>
  <c r="AU355" i="5"/>
  <c r="AV147" i="5"/>
  <c r="AS343" i="5"/>
  <c r="AR420" i="5"/>
  <c r="AT405" i="5"/>
  <c r="AT419" i="5"/>
  <c r="AQ430" i="5"/>
  <c r="AL387" i="5"/>
  <c r="AP420" i="5"/>
  <c r="AU412" i="5"/>
  <c r="AS391" i="5"/>
  <c r="AS362" i="5"/>
  <c r="AT343" i="5"/>
  <c r="AS89" i="5"/>
  <c r="AV267" i="5"/>
  <c r="AT413" i="5"/>
  <c r="AM399" i="5"/>
  <c r="AN346" i="5" s="1"/>
  <c r="AM395" i="5"/>
  <c r="AN342" i="5" s="1"/>
  <c r="AU395" i="5"/>
  <c r="AT401" i="5"/>
  <c r="AH227" i="5"/>
  <c r="V227" i="5"/>
  <c r="AC226" i="5"/>
  <c r="W227" i="5"/>
  <c r="K226" i="5"/>
  <c r="T227" i="5"/>
  <c r="AD227" i="5"/>
  <c r="AR91" i="5"/>
  <c r="AV376" i="5"/>
  <c r="AU133" i="5"/>
  <c r="AT36" i="5"/>
  <c r="AR140" i="5"/>
  <c r="AV135" i="5"/>
  <c r="AU400" i="5"/>
  <c r="AT420" i="5"/>
  <c r="AM415" i="5"/>
  <c r="AN362" i="5" s="1"/>
  <c r="AS404" i="5"/>
  <c r="AS397" i="5"/>
  <c r="AP408" i="5"/>
  <c r="AQ226" i="5"/>
  <c r="AU351" i="5"/>
  <c r="AR141" i="5"/>
  <c r="AU348" i="5"/>
  <c r="AS351" i="5"/>
  <c r="AV146" i="5"/>
  <c r="AU31" i="5"/>
  <c r="AT404" i="5"/>
  <c r="AJ387" i="5"/>
  <c r="AR409" i="5"/>
  <c r="AM425" i="5"/>
  <c r="AN372" i="5" s="1"/>
  <c r="AJ430" i="5"/>
  <c r="AO421" i="5"/>
  <c r="AS390" i="5"/>
  <c r="AT388" i="5"/>
  <c r="AU396" i="5"/>
  <c r="AR36" i="5"/>
  <c r="AR87" i="5"/>
  <c r="AU356" i="5"/>
  <c r="AV140" i="5"/>
  <c r="AS132" i="5"/>
  <c r="AT337" i="5"/>
  <c r="AS364" i="5"/>
  <c r="AT335" i="5"/>
  <c r="AT399" i="5"/>
  <c r="AP429" i="5"/>
  <c r="AL394" i="5"/>
  <c r="AJ417" i="5"/>
  <c r="AM407" i="5"/>
  <c r="AN354" i="5" s="1"/>
  <c r="AP410" i="5"/>
  <c r="AK227" i="5"/>
  <c r="AS349" i="5"/>
  <c r="AU347" i="5"/>
  <c r="AS337" i="5"/>
  <c r="AV354" i="5"/>
  <c r="AT141" i="5"/>
  <c r="AS370" i="5"/>
  <c r="AV346" i="5"/>
  <c r="AU138" i="5"/>
  <c r="AM419" i="5"/>
  <c r="AN366" i="5" s="1"/>
  <c r="AU392" i="5"/>
  <c r="AU398" i="5"/>
  <c r="AJ425" i="5"/>
  <c r="AM411" i="5"/>
  <c r="AN358" i="5" s="1"/>
  <c r="AL415" i="5"/>
  <c r="AR402" i="5"/>
  <c r="AU35" i="5"/>
  <c r="AS336" i="5"/>
  <c r="AU337" i="5"/>
  <c r="AV84" i="5"/>
  <c r="AT358" i="5"/>
  <c r="AU264" i="5"/>
  <c r="AM423" i="5"/>
  <c r="AN370" i="5" s="1"/>
  <c r="AS400" i="5"/>
  <c r="AL410" i="5"/>
  <c r="AP396" i="5"/>
  <c r="AO389" i="5"/>
  <c r="AM409" i="5"/>
  <c r="AN356" i="5" s="1"/>
  <c r="AP387" i="5"/>
  <c r="AV360" i="5"/>
  <c r="AS371" i="5"/>
  <c r="AT83" i="5"/>
  <c r="AS375" i="5"/>
  <c r="AS358" i="5"/>
  <c r="AQ403" i="5"/>
  <c r="AS408" i="5"/>
  <c r="AL399" i="5"/>
  <c r="AP403" i="5"/>
  <c r="AJ414" i="5"/>
  <c r="AQ390" i="5"/>
  <c r="AR431" i="5"/>
  <c r="AR425" i="5"/>
  <c r="AQ417" i="5"/>
  <c r="AM227" i="5"/>
  <c r="AT339" i="5"/>
  <c r="AS361" i="5"/>
  <c r="AV120" i="5"/>
  <c r="AV137" i="5"/>
  <c r="AT376" i="5"/>
  <c r="AV132" i="5"/>
  <c r="AV34" i="5"/>
  <c r="AU371" i="5"/>
  <c r="AL397" i="5"/>
  <c r="AU387" i="5"/>
  <c r="AL428" i="5"/>
  <c r="AT386" i="5"/>
  <c r="AQ391" i="5"/>
  <c r="AT422" i="5"/>
  <c r="AT264" i="5"/>
  <c r="AT31" i="5"/>
  <c r="AU338" i="5"/>
  <c r="AS376" i="5"/>
  <c r="AR33" i="5"/>
  <c r="AL408" i="5"/>
  <c r="AU408" i="5"/>
  <c r="AJ409" i="5"/>
  <c r="AP386" i="5"/>
  <c r="AM396" i="5"/>
  <c r="AN343" i="5" s="1"/>
  <c r="AP395" i="5"/>
  <c r="AJ395" i="5"/>
  <c r="AM428" i="5"/>
  <c r="AN375" i="5" s="1"/>
  <c r="AK226" i="5"/>
  <c r="X226" i="5"/>
  <c r="M226" i="5"/>
  <c r="U227" i="5"/>
  <c r="AA227" i="5"/>
  <c r="AG227" i="5"/>
  <c r="AF226" i="5"/>
  <c r="L227" i="5"/>
  <c r="AU336" i="5"/>
  <c r="AT349" i="5"/>
  <c r="AU333" i="5"/>
  <c r="AU425" i="5"/>
  <c r="AP428" i="5"/>
  <c r="AT402" i="5"/>
  <c r="AT425" i="5"/>
  <c r="AQ411" i="5"/>
  <c r="AT286" i="5"/>
  <c r="AT282" i="17" s="1"/>
  <c r="AS88" i="5"/>
  <c r="AR32" i="5"/>
  <c r="AS369" i="5"/>
  <c r="AR89" i="5"/>
  <c r="AU368" i="5"/>
  <c r="AV89" i="5"/>
  <c r="AS417" i="5"/>
  <c r="AO424" i="5"/>
  <c r="AP421" i="5"/>
  <c r="AL386" i="5"/>
  <c r="AT32" i="5"/>
  <c r="AU334" i="5"/>
  <c r="AU366" i="5"/>
  <c r="AS352" i="5"/>
  <c r="AT336" i="5"/>
  <c r="AU399" i="5"/>
  <c r="AQ392" i="5"/>
  <c r="AL425" i="5"/>
  <c r="AO410" i="5"/>
  <c r="AR416" i="5"/>
  <c r="AS340" i="5"/>
  <c r="AV352" i="5"/>
  <c r="AU357" i="5"/>
  <c r="AS139" i="5"/>
  <c r="AR139" i="5"/>
  <c r="AM401" i="5"/>
  <c r="AN348" i="5" s="1"/>
  <c r="AP431" i="5"/>
  <c r="AJ426" i="5"/>
  <c r="AM424" i="5"/>
  <c r="AN371" i="5" s="1"/>
  <c r="AM405" i="5"/>
  <c r="AN352" i="5" s="1"/>
  <c r="AO416" i="5"/>
  <c r="AL427" i="5"/>
  <c r="AJ398" i="5"/>
  <c r="AJ415" i="5"/>
  <c r="AT395" i="5"/>
  <c r="AT131" i="5"/>
  <c r="AS342" i="5"/>
  <c r="AS356" i="5"/>
  <c r="AS146" i="5"/>
  <c r="AS365" i="5"/>
  <c r="AO408" i="5"/>
  <c r="AJ403" i="5"/>
  <c r="AM404" i="5"/>
  <c r="AN351" i="5" s="1"/>
  <c r="AR401" i="5"/>
  <c r="AQ427" i="5"/>
  <c r="AL413" i="5"/>
  <c r="AQ399" i="5"/>
  <c r="AR31" i="5"/>
  <c r="AT341" i="5"/>
  <c r="AS87" i="5"/>
  <c r="AV357" i="5"/>
  <c r="AU140" i="5"/>
  <c r="AR35" i="5"/>
  <c r="AU113" i="5"/>
  <c r="AS427" i="5"/>
  <c r="AU428" i="5"/>
  <c r="AR408" i="5"/>
  <c r="AR389" i="5"/>
  <c r="AS393" i="5"/>
  <c r="AR414" i="5"/>
  <c r="AJ226" i="5"/>
  <c r="AS359" i="5"/>
  <c r="AS367" i="5"/>
  <c r="AR85" i="5"/>
  <c r="AU349" i="5"/>
  <c r="AS117" i="5"/>
  <c r="AT265" i="5"/>
  <c r="AV362" i="5"/>
  <c r="AJ413" i="5"/>
  <c r="AO430" i="5"/>
  <c r="AU431" i="5"/>
  <c r="AO393" i="5"/>
  <c r="AL395" i="5"/>
  <c r="AJ390" i="5"/>
  <c r="AT390" i="5"/>
  <c r="AR412" i="5"/>
  <c r="AU404" i="5"/>
  <c r="AR86" i="5"/>
  <c r="AU370" i="5"/>
  <c r="AS122" i="5"/>
  <c r="AS85" i="5"/>
  <c r="AO426" i="5"/>
  <c r="AM408" i="5"/>
  <c r="AN355" i="5" s="1"/>
  <c r="AU429" i="5"/>
  <c r="AJ431" i="5"/>
  <c r="AQ386" i="5"/>
  <c r="AJ410" i="5"/>
  <c r="AQ401" i="5"/>
  <c r="AO422" i="5"/>
  <c r="AR286" i="5"/>
  <c r="P227" i="5"/>
  <c r="AA226" i="5"/>
  <c r="Y226" i="5"/>
  <c r="U226" i="5"/>
  <c r="AE226" i="5"/>
  <c r="AC227" i="5"/>
  <c r="AV75" i="108"/>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T76" i="6" l="1"/>
  <c r="AU76" i="6"/>
  <c r="AS76" i="6"/>
  <c r="AR76" i="6"/>
  <c r="AV76" i="6"/>
  <c r="AT151" i="5"/>
  <c r="AU97" i="5"/>
  <c r="AS97" i="5"/>
  <c r="AT97" i="5"/>
  <c r="AR97" i="5"/>
  <c r="AV97" i="5"/>
  <c r="AT149" i="5"/>
  <c r="AP350" i="5"/>
  <c r="AV151" i="5"/>
  <c r="AT124" i="5"/>
  <c r="AO368" i="5"/>
  <c r="AO376" i="5"/>
  <c r="AS124" i="5"/>
  <c r="AV124" i="5"/>
  <c r="AS149" i="5"/>
  <c r="AR149" i="5"/>
  <c r="AV144" i="5"/>
  <c r="AP333" i="5"/>
  <c r="AT143" i="5"/>
  <c r="AP370" i="5"/>
  <c r="AR282" i="17"/>
  <c r="AR151" i="5"/>
  <c r="AP373" i="5"/>
  <c r="AP359" i="5"/>
  <c r="AO363" i="5"/>
  <c r="AU143" i="5"/>
  <c r="AP358" i="5"/>
  <c r="AO361" i="5"/>
  <c r="AO342" i="5"/>
  <c r="AO377" i="5"/>
  <c r="AO355" i="5"/>
  <c r="AS151" i="5"/>
  <c r="AS144" i="5"/>
  <c r="AO340" i="5"/>
  <c r="AP340" i="5"/>
  <c r="AP354" i="5"/>
  <c r="AO335" i="5"/>
  <c r="AO367" i="5"/>
  <c r="AO336" i="5"/>
  <c r="AO357" i="5"/>
  <c r="AO372" i="5"/>
  <c r="AO344" i="5"/>
  <c r="AO349" i="5"/>
  <c r="AO362" i="5"/>
  <c r="AO373" i="5"/>
  <c r="AP339" i="5"/>
  <c r="AV149" i="5"/>
  <c r="AP366" i="5"/>
  <c r="AP343" i="5"/>
  <c r="AP357" i="5"/>
  <c r="AO348" i="5"/>
  <c r="AS143" i="5"/>
  <c r="AO338" i="5"/>
  <c r="AO350" i="5"/>
  <c r="AO343" i="5"/>
  <c r="AO356" i="5"/>
  <c r="AU144" i="5"/>
  <c r="AO378" i="5"/>
  <c r="AO366" i="5"/>
  <c r="AO374" i="5"/>
  <c r="AT144" i="5"/>
  <c r="AO347" i="5"/>
  <c r="AU149" i="5"/>
  <c r="AO375" i="5"/>
  <c r="AO371" i="5"/>
  <c r="AP352" i="5"/>
  <c r="AP346" i="5"/>
  <c r="AO370" i="5"/>
  <c r="AP342" i="5"/>
  <c r="AP372" i="5"/>
  <c r="AP360" i="5"/>
  <c r="AP348" i="5"/>
  <c r="AP375" i="5"/>
  <c r="AP356" i="5"/>
  <c r="AO369" i="5"/>
  <c r="AP368" i="5"/>
  <c r="AP355" i="5"/>
  <c r="AP363" i="5"/>
  <c r="AP378" i="5"/>
  <c r="AP334" i="5"/>
  <c r="AP349" i="5"/>
  <c r="AO339" i="5"/>
  <c r="AO358" i="5"/>
  <c r="AO346" i="5"/>
  <c r="AP338" i="5"/>
  <c r="AU151" i="5"/>
  <c r="AP367" i="5"/>
  <c r="AV143" i="5"/>
  <c r="AO354" i="5"/>
  <c r="AO352" i="5"/>
  <c r="AP369" i="5"/>
  <c r="AO345" i="5"/>
  <c r="AO341" i="5"/>
  <c r="AO365" i="5"/>
  <c r="AO337" i="5"/>
  <c r="AP344" i="5"/>
  <c r="AP336" i="5"/>
  <c r="AO364" i="5"/>
  <c r="AP335" i="5"/>
  <c r="AP341" i="5"/>
  <c r="AR143" i="5"/>
  <c r="AR144"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T37" i="5" l="1"/>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08"/>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08"/>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F8" i="108" s="1"/>
  <c r="AH8" i="106"/>
  <c r="AL195" i="5"/>
  <c r="AB195" i="5"/>
  <c r="AK195" i="5"/>
  <c r="AE195" i="5"/>
  <c r="AM195" i="5"/>
  <c r="AA8" i="106"/>
  <c r="AJ195" i="5"/>
  <c r="AM8" i="106"/>
  <c r="AG195" i="5"/>
  <c r="AA195" i="5"/>
  <c r="AB8" i="106"/>
  <c r="AN195" i="5"/>
  <c r="Z195" i="5"/>
  <c r="AC195" i="5"/>
  <c r="AF195" i="5"/>
  <c r="AH195" i="5"/>
  <c r="AG8" i="106"/>
  <c r="AC8" i="106"/>
  <c r="AJ8" i="106"/>
  <c r="AI8" i="106"/>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08"/>
  <c r="U8" i="108"/>
  <c r="K8" i="108"/>
  <c r="N8" i="108"/>
  <c r="V8" i="108"/>
  <c r="L8" i="108"/>
  <c r="O8" i="108"/>
  <c r="W8" i="108"/>
  <c r="M8" i="108"/>
  <c r="Q8" i="108"/>
  <c r="P8" i="108"/>
  <c r="R8" i="108"/>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L196" i="5" l="1"/>
  <c r="AK8" i="108"/>
  <c r="AG8" i="108"/>
  <c r="AE8" i="108"/>
  <c r="AB8" i="108"/>
  <c r="AJ8" i="108"/>
  <c r="AA8" i="108"/>
  <c r="AM196" i="5"/>
  <c r="AM8" i="108"/>
  <c r="X8" i="108"/>
  <c r="AD8" i="108"/>
  <c r="Z8" i="108"/>
  <c r="AH8" i="108"/>
  <c r="E217" i="12"/>
  <c r="AN8" i="108"/>
  <c r="AC8" i="108"/>
  <c r="Y8" i="108"/>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L8" i="108" s="1"/>
  <c r="AS163" i="5"/>
  <c r="AV164" i="5"/>
  <c r="AS200" i="5"/>
  <c r="AS82" i="17" s="1"/>
  <c r="AI8" i="108"/>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08"/>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08"/>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AT277" i="106"/>
  <c r="AV277" i="106"/>
  <c r="AS277" i="106"/>
  <c r="AU277" i="106"/>
  <c r="I241" i="106"/>
  <c r="AR277"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R281" i="5"/>
  <c r="AC229" i="5"/>
  <c r="AC24" i="12" s="1"/>
  <c r="R229" i="5"/>
  <c r="R24" i="12" s="1"/>
  <c r="N230" i="5"/>
  <c r="P229" i="5"/>
  <c r="P24" i="12" s="1"/>
  <c r="I219" i="5"/>
  <c r="AH229" i="5"/>
  <c r="AH24" i="12" s="1"/>
  <c r="R230" i="5"/>
  <c r="U230" i="5"/>
  <c r="AU281" i="5"/>
  <c r="X229" i="5"/>
  <c r="X24" i="12" s="1"/>
  <c r="T230" i="5"/>
  <c r="L229" i="5"/>
  <c r="L24" i="12" s="1"/>
  <c r="T229" i="5"/>
  <c r="T24" i="12" s="1"/>
  <c r="AS281" i="5"/>
  <c r="AD229" i="5"/>
  <c r="AD24" i="12" s="1"/>
  <c r="S229" i="5"/>
  <c r="S24" i="12" s="1"/>
  <c r="AC230" i="5"/>
  <c r="O229" i="5"/>
  <c r="O24" i="12" s="1"/>
  <c r="AV281" i="5"/>
  <c r="AH230" i="5"/>
  <c r="AG230" i="5"/>
  <c r="U229" i="5"/>
  <c r="U24" i="12" s="1"/>
  <c r="AD230" i="5"/>
  <c r="AT281"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08" l="1"/>
  <c r="AR26" i="126"/>
  <c r="AR146" i="126" s="1"/>
  <c r="AR68" i="126"/>
  <c r="AR152" i="126" s="1"/>
  <c r="AR135" i="126"/>
  <c r="AR166" i="126" s="1"/>
  <c r="AP8" i="106"/>
  <c r="AQ8" i="106"/>
  <c r="AR15" i="15"/>
  <c r="AR16" i="101"/>
  <c r="AR17" i="17"/>
  <c r="M316" i="33"/>
  <c r="M317" i="33" s="1"/>
  <c r="AP194" i="5"/>
  <c r="AQ194" i="5"/>
  <c r="AP16" i="101" l="1"/>
  <c r="AP12" i="126"/>
  <c r="AP13" i="126" s="1"/>
  <c r="AQ12" i="126"/>
  <c r="AQ13" i="126" s="1"/>
  <c r="AP8" i="108"/>
  <c r="AQ8" i="108"/>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08"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8" i="108" s="1"/>
  <c r="AT43" i="32"/>
  <c r="AT46" i="32" s="1"/>
  <c r="AT194" i="5"/>
  <c r="AT12" i="126" s="1"/>
  <c r="AT13" i="126" s="1"/>
  <c r="M340" i="33"/>
  <c r="M341" i="33" s="1"/>
  <c r="AT195" i="5" l="1"/>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314" i="17" l="1"/>
  <c r="AU196" i="5"/>
  <c r="AU8" i="108"/>
  <c r="AU15" i="15"/>
  <c r="AU16" i="101"/>
  <c r="AU17" i="17"/>
  <c r="AV43" i="32"/>
  <c r="AV46" i="32" s="1"/>
  <c r="AV23" i="32"/>
  <c r="AV24" i="32" s="1"/>
  <c r="AV195" i="5" l="1"/>
  <c r="AV196" i="5" s="1"/>
  <c r="AU251" i="17"/>
  <c r="AU202" i="17"/>
  <c r="AU30" i="17"/>
  <c r="AV188" i="5"/>
  <c r="AV314" i="17" l="1"/>
  <c r="AV114" i="17"/>
  <c r="AV32" i="32"/>
  <c r="AV30" i="32"/>
  <c r="AV17" i="101"/>
  <c r="AU66" i="101" s="1"/>
  <c r="AV8" i="106" l="1"/>
  <c r="AV194" i="5"/>
  <c r="AV12" i="126" s="1"/>
  <c r="AV13" i="126" s="1"/>
  <c r="AV8" i="108"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AS68" i="5"/>
  <c r="E430" i="5"/>
  <c r="AS316" i="17"/>
  <c r="AU68" i="5"/>
  <c r="AV79" i="5"/>
  <c r="E425" i="5"/>
  <c r="E393" i="5"/>
  <c r="E391" i="5"/>
  <c r="E416" i="5"/>
  <c r="E388" i="5"/>
  <c r="E389" i="5"/>
  <c r="E429" i="5"/>
  <c r="E424" i="5"/>
  <c r="E422" i="5"/>
  <c r="AV68"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8" i="5"/>
  <c r="AT299" i="5"/>
  <c r="AS281" i="17"/>
  <c r="AS265" i="17" s="1"/>
  <c r="I110" i="12"/>
  <c r="I102" i="12"/>
  <c r="AV102" i="12" s="1"/>
  <c r="I146" i="12"/>
  <c r="AV146" i="12" s="1"/>
  <c r="AU26" i="6"/>
  <c r="AS33" i="15"/>
  <c r="AS11" i="16"/>
  <c r="AS32" i="17"/>
  <c r="AV22" i="15"/>
  <c r="AV307" i="5"/>
  <c r="AV298" i="5"/>
  <c r="I144" i="12"/>
  <c r="I100" i="12"/>
  <c r="AU27" i="15"/>
  <c r="AV281" i="17"/>
  <c r="AV265" i="17" s="1"/>
  <c r="AV33" i="15"/>
  <c r="AV11" i="16"/>
  <c r="AV32" i="17"/>
  <c r="AT26" i="6"/>
  <c r="I103" i="12"/>
  <c r="I147" i="12"/>
  <c r="AS26" i="6"/>
  <c r="AB261" i="12"/>
  <c r="AB255" i="12" s="1"/>
  <c r="AB31" i="12" s="1"/>
  <c r="AC263" i="12"/>
  <c r="AU281" i="17"/>
  <c r="AU265" i="17" s="1"/>
  <c r="AR281" i="17"/>
  <c r="AR265" i="17" s="1"/>
  <c r="AT32" i="17"/>
  <c r="AT11" i="16"/>
  <c r="AT33" i="15"/>
  <c r="X193" i="12"/>
  <c r="Y154" i="12"/>
  <c r="AR71" i="2"/>
  <c r="AV26" i="6"/>
  <c r="AT281" i="17"/>
  <c r="AT265" i="17" s="1"/>
  <c r="AR303" i="5"/>
  <c r="AR294" i="5"/>
  <c r="AR34" i="2"/>
  <c r="I101" i="12"/>
  <c r="AU101" i="12" s="1"/>
  <c r="AV101" i="12" s="1"/>
  <c r="I145" i="12"/>
  <c r="AS300" i="5"/>
  <c r="AS309" i="5"/>
  <c r="AR37" i="2"/>
  <c r="AR306" i="5"/>
  <c r="AR297" i="5"/>
  <c r="I99" i="12"/>
  <c r="I143" i="12"/>
  <c r="AR26" i="6" l="1"/>
  <c r="AR28" i="6" s="1"/>
  <c r="AV45" i="101"/>
  <c r="AU45" i="101"/>
  <c r="AU52" i="101" s="1"/>
  <c r="AU13" i="6"/>
  <c r="AT52" i="101"/>
  <c r="AR286" i="17"/>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T286" i="17"/>
  <c r="AT284" i="17"/>
  <c r="AU28" i="6"/>
  <c r="AS99" i="12"/>
  <c r="AT99" i="12" s="1"/>
  <c r="AU99" i="12" s="1"/>
  <c r="AV99" i="12" s="1"/>
  <c r="I73" i="12"/>
  <c r="R27" i="12"/>
  <c r="I117" i="12"/>
  <c r="AV28" i="6"/>
  <c r="I120" i="12"/>
  <c r="U27" i="12"/>
  <c r="I76" i="12"/>
  <c r="AU286" i="17"/>
  <c r="AU284" i="17"/>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V284" i="17"/>
  <c r="AV286" i="17"/>
  <c r="AT100" i="12"/>
  <c r="AU100" i="12" s="1"/>
  <c r="AV100" i="12" s="1"/>
  <c r="I113" i="12"/>
  <c r="I69" i="12"/>
  <c r="N27" i="12"/>
  <c r="AB27" i="12"/>
  <c r="I83" i="12"/>
  <c r="I127" i="12"/>
  <c r="AS286" i="17"/>
  <c r="AS284" i="17"/>
  <c r="AR11" i="16"/>
  <c r="AR33" i="15"/>
  <c r="AR32" i="17"/>
  <c r="AU22" i="15"/>
  <c r="I91" i="12"/>
  <c r="I135" i="12"/>
  <c r="Q71" i="12"/>
  <c r="R71" i="12" s="1"/>
  <c r="AC261" i="12"/>
  <c r="AC255" i="12" s="1"/>
  <c r="AC31" i="12" s="1"/>
  <c r="AD263" i="12"/>
  <c r="AT144" i="12"/>
  <c r="AU144" i="12" s="1"/>
  <c r="AV144" i="12" s="1"/>
  <c r="I95" i="12"/>
  <c r="I139" i="12"/>
  <c r="AF27" i="12"/>
  <c r="I131" i="12"/>
  <c r="I87" i="12"/>
  <c r="I79" i="12"/>
  <c r="X27" i="12"/>
  <c r="I123" i="12"/>
  <c r="AU29" i="15" l="1"/>
  <c r="AV52" i="101"/>
  <c r="AR78" i="2"/>
  <c r="AR25" i="15" s="1"/>
  <c r="AR75" i="2"/>
  <c r="AU15" i="6"/>
  <c r="AR284" i="17"/>
  <c r="AR288" i="17" s="1"/>
  <c r="AV15" i="16"/>
  <c r="AR41" i="2"/>
  <c r="U192" i="12"/>
  <c r="T192" i="12"/>
  <c r="K192" i="12"/>
  <c r="L192" i="12"/>
  <c r="Y192" i="12"/>
  <c r="S192" i="12"/>
  <c r="N192" i="12"/>
  <c r="R192" i="12"/>
  <c r="Q192" i="12"/>
  <c r="O192" i="12"/>
  <c r="W192" i="12"/>
  <c r="P192" i="12"/>
  <c r="V192" i="12"/>
  <c r="M192" i="12"/>
  <c r="AS288" i="17"/>
  <c r="AS292" i="17" s="1"/>
  <c r="AK89" i="12"/>
  <c r="AL89" i="12" s="1"/>
  <c r="AB208" i="12"/>
  <c r="AB204" i="12" s="1"/>
  <c r="AB30" i="12" s="1"/>
  <c r="AC210" i="12"/>
  <c r="AU288" i="17"/>
  <c r="AU292" i="17" s="1"/>
  <c r="AC80" i="12"/>
  <c r="AD80" i="12" s="1"/>
  <c r="Y77" i="12"/>
  <c r="Z77" i="12" s="1"/>
  <c r="AV288" i="17"/>
  <c r="AV292" i="17" s="1"/>
  <c r="AH86" i="12"/>
  <c r="AI86" i="12" s="1"/>
  <c r="AJ86" i="12" s="1"/>
  <c r="W75" i="12"/>
  <c r="X75" i="12" s="1"/>
  <c r="Y75" i="12" s="1"/>
  <c r="Z75" i="12" s="1"/>
  <c r="AA75" i="12" s="1"/>
  <c r="Z78" i="12"/>
  <c r="AA78" i="12" s="1"/>
  <c r="AT288" i="17"/>
  <c r="AT292" i="17"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23" i="125" l="1"/>
  <c r="AU45" i="6"/>
  <c r="AU46" i="6" s="1"/>
  <c r="AU59" i="6" s="1"/>
  <c r="AT45" i="6"/>
  <c r="AT46" i="6" s="1"/>
  <c r="AT59" i="6" s="1"/>
  <c r="AS45" i="6"/>
  <c r="AS46" i="6" s="1"/>
  <c r="AS59" i="6" s="1"/>
  <c r="AV45" i="6"/>
  <c r="AV46" i="6" s="1"/>
  <c r="AV59" i="6" s="1"/>
  <c r="AR45" i="6"/>
  <c r="AR46" i="6" s="1"/>
  <c r="AR59" i="6" s="1"/>
  <c r="AR42" i="2"/>
  <c r="AR13" i="86" s="1"/>
  <c r="AR292" i="17"/>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T29" i="15"/>
  <c r="AR29" i="15"/>
  <c r="AS29"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R23" i="125" l="1"/>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I182" i="12" l="1"/>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L163" i="12" l="1"/>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Q246" i="12" l="1"/>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15" i="13"/>
  <c r="AR17" i="13" s="1"/>
  <c r="AR21" i="13" s="1"/>
  <c r="AR23" i="13" s="1"/>
  <c r="AR190" i="17"/>
  <c r="AR194" i="17" s="1"/>
  <c r="AR34" i="17" s="1"/>
  <c r="AS9" i="16"/>
  <c r="AR321" i="17" l="1"/>
  <c r="AV9" i="16"/>
  <c r="AS20" i="13"/>
  <c r="AS46" i="13"/>
  <c r="AV63" i="13"/>
  <c r="AV64" i="13" s="1"/>
  <c r="AV66" i="13" s="1"/>
  <c r="AV32" i="12"/>
  <c r="AV43" i="12"/>
  <c r="AS69" i="13"/>
  <c r="AT55" i="13"/>
  <c r="AR14" i="125"/>
  <c r="AR27" i="13"/>
  <c r="AR30" i="13" l="1"/>
  <c r="AR10" i="16" s="1"/>
  <c r="AR15" i="125"/>
  <c r="AT56" i="13"/>
  <c r="AT58" i="13" s="1"/>
  <c r="AT41" i="13"/>
  <c r="AR12" i="16" l="1"/>
  <c r="AS55" i="17"/>
  <c r="AT69" i="13"/>
  <c r="AU55" i="13"/>
  <c r="AS313" i="17"/>
  <c r="AS317" i="17" s="1"/>
  <c r="AS319" i="17" s="1"/>
  <c r="AS190" i="17"/>
  <c r="AS194" i="17" s="1"/>
  <c r="AS34" i="17" s="1"/>
  <c r="AS15" i="13"/>
  <c r="AS17" i="13" s="1"/>
  <c r="AT43" i="13"/>
  <c r="AS321" i="17" l="1"/>
  <c r="AR75" i="101"/>
  <c r="AR76" i="101" s="1"/>
  <c r="AR79" i="101" s="1"/>
  <c r="AR80" i="101" s="1"/>
  <c r="AR86" i="101" s="1"/>
  <c r="AR87" i="101" s="1"/>
  <c r="AT20" i="13"/>
  <c r="AS21" i="13"/>
  <c r="AS23" i="13" s="1"/>
  <c r="AT46" i="13"/>
  <c r="AU56" i="13"/>
  <c r="AU58" i="13" s="1"/>
  <c r="AU41" i="13"/>
  <c r="AS69" i="17"/>
  <c r="AS71" i="17" s="1"/>
  <c r="AS178" i="17" s="1"/>
  <c r="AS76" i="17"/>
  <c r="AS93" i="17"/>
  <c r="AS26" i="17"/>
  <c r="AS27" i="13" l="1"/>
  <c r="AS14" i="125"/>
  <c r="AS15" i="125" s="1"/>
  <c r="AU69" i="13"/>
  <c r="AV55" i="13"/>
  <c r="AR81" i="101"/>
  <c r="AS30" i="13" l="1"/>
  <c r="AS10" i="16" s="1"/>
  <c r="AV56" i="13"/>
  <c r="AV58" i="13" s="1"/>
  <c r="AV69" i="13" s="1"/>
  <c r="AV41" i="13"/>
  <c r="AT55" i="17"/>
  <c r="AT313" i="17"/>
  <c r="AT317" i="17" s="1"/>
  <c r="AT319" i="17" s="1"/>
  <c r="AU43" i="13"/>
  <c r="AT15" i="13"/>
  <c r="AT17" i="13" s="1"/>
  <c r="AT190" i="17"/>
  <c r="AT194" i="17" s="1"/>
  <c r="AT34" i="17" s="1"/>
  <c r="AT321" i="17" l="1"/>
  <c r="AS12" i="16"/>
  <c r="AU20" i="13"/>
  <c r="AT21" i="13"/>
  <c r="AT23" i="13" s="1"/>
  <c r="AU46" i="13"/>
  <c r="AT76" i="17"/>
  <c r="AT69" i="17"/>
  <c r="AT71" i="17" s="1"/>
  <c r="AT178" i="17" s="1"/>
  <c r="AT93" i="17"/>
  <c r="AT26" i="17"/>
  <c r="AS75" i="101" l="1"/>
  <c r="AS76" i="101" s="1"/>
  <c r="AS79" i="101" s="1"/>
  <c r="AS80" i="101" s="1"/>
  <c r="AS86" i="101" s="1"/>
  <c r="AS87" i="101" s="1"/>
  <c r="AT27" i="13"/>
  <c r="AT14" i="125"/>
  <c r="AT15" i="125" s="1"/>
  <c r="AS81" i="101" l="1"/>
  <c r="AT30" i="13"/>
  <c r="AT10" i="16" s="1"/>
  <c r="AU55" i="17"/>
  <c r="AU313" i="17"/>
  <c r="AU317" i="17" s="1"/>
  <c r="AU319" i="17" s="1"/>
  <c r="AU15" i="13"/>
  <c r="AU17" i="13" s="1"/>
  <c r="AV43" i="13"/>
  <c r="AU190" i="17"/>
  <c r="AU194" i="17" s="1"/>
  <c r="AU34" i="17" s="1"/>
  <c r="AU321" i="17" l="1"/>
  <c r="AT12" i="16"/>
  <c r="AV20" i="13"/>
  <c r="AU21" i="13"/>
  <c r="AU23" i="13" s="1"/>
  <c r="AV46" i="13"/>
  <c r="AU69" i="17"/>
  <c r="AU71" i="17" s="1"/>
  <c r="AU178" i="17" s="1"/>
  <c r="AU76" i="17"/>
  <c r="AU26" i="17"/>
  <c r="AU93" i="17"/>
  <c r="AT75" i="101" l="1"/>
  <c r="AT76" i="101" s="1"/>
  <c r="AT79" i="101" s="1"/>
  <c r="AT80" i="101" s="1"/>
  <c r="AT86" i="101" s="1"/>
  <c r="AT87" i="101" s="1"/>
  <c r="AU89" i="101" s="1"/>
  <c r="AU27" i="13"/>
  <c r="AU14" i="125"/>
  <c r="AU15" i="125" s="1"/>
  <c r="AT81" i="101" l="1"/>
  <c r="AU30" i="13"/>
  <c r="AU10" i="16" s="1"/>
  <c r="AV313" i="17"/>
  <c r="AV317" i="17" s="1"/>
  <c r="AV319" i="17" s="1"/>
  <c r="AV190" i="17"/>
  <c r="AV194" i="17" s="1"/>
  <c r="AV34" i="17" s="1"/>
  <c r="AV15" i="13"/>
  <c r="AV17" i="13" s="1"/>
  <c r="AV55" i="17"/>
  <c r="AV321" i="17" l="1"/>
  <c r="AU12" i="16"/>
  <c r="AU75" i="101" s="1"/>
  <c r="AU76" i="101" s="1"/>
  <c r="AU79" i="101" s="1"/>
  <c r="AU80" i="101" s="1"/>
  <c r="AU86" i="101" s="1"/>
  <c r="AU87" i="101" s="1"/>
  <c r="AV21" i="13"/>
  <c r="AV23" i="13" s="1"/>
  <c r="AV69" i="17"/>
  <c r="AV71" i="17" s="1"/>
  <c r="AV178" i="17" s="1"/>
  <c r="AV76" i="17"/>
  <c r="AV93" i="17"/>
  <c r="AV26" i="17"/>
  <c r="AV14" i="125" l="1"/>
  <c r="AV15" i="125" s="1"/>
  <c r="AV27" i="13"/>
  <c r="AV89" i="101"/>
  <c r="AU81" i="101"/>
  <c r="AV30" i="13" l="1"/>
  <c r="AV10" i="16" s="1"/>
  <c r="I17" i="125"/>
  <c r="I19" i="125" s="1"/>
  <c r="AS62" i="125" s="1"/>
  <c r="AV12" i="16" l="1"/>
  <c r="AR62" i="125"/>
  <c r="AU62" i="125"/>
  <c r="AT62" i="125"/>
  <c r="AV62" i="125"/>
  <c r="AV75" i="101" l="1"/>
  <c r="AV76" i="101" s="1"/>
  <c r="AV79" i="101" s="1"/>
  <c r="AV80" i="101" s="1"/>
  <c r="AV86" i="101" s="1"/>
  <c r="AV87" i="101" s="1"/>
  <c r="AV81" i="101" l="1"/>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AR19" i="16"/>
  <c r="AR29" i="17" s="1"/>
  <c r="I72" i="125" l="1"/>
  <c r="I27" i="125"/>
  <c r="I40" i="125" s="1"/>
  <c r="AR201" i="17"/>
  <c r="I49" i="125" l="1"/>
  <c r="I52" i="125" s="1"/>
  <c r="I42" i="125"/>
  <c r="I43" i="125"/>
  <c r="AR36" i="17"/>
  <c r="AR248" i="17"/>
  <c r="I51" i="125" l="1"/>
  <c r="I54" i="125" s="1"/>
  <c r="I45" i="125"/>
  <c r="AR127" i="17"/>
  <c r="AR129" i="17" s="1"/>
  <c r="AR137" i="17" s="1"/>
  <c r="I60" i="125" l="1"/>
  <c r="AT64" i="125" s="1"/>
  <c r="AT69" i="125" s="1"/>
  <c r="AT70" i="125" s="1"/>
  <c r="AR144" i="17"/>
  <c r="AR153" i="17"/>
  <c r="AR140" i="17"/>
  <c r="AU64" i="125" l="1"/>
  <c r="AU69" i="125" s="1"/>
  <c r="AU70" i="125" s="1"/>
  <c r="AR64" i="125"/>
  <c r="AR69" i="125" s="1"/>
  <c r="AR70" i="125" s="1"/>
  <c r="AS64" i="125"/>
  <c r="AS69" i="125" s="1"/>
  <c r="AS70" i="125" s="1"/>
  <c r="AV64" i="125"/>
  <c r="AV69" i="125" s="1"/>
  <c r="AV70" i="125" s="1"/>
  <c r="AR158" i="17"/>
  <c r="AR156" i="17"/>
  <c r="AR147" i="17"/>
  <c r="AR149" i="17"/>
  <c r="AR167" i="17" l="1"/>
  <c r="AR131" i="17" s="1"/>
  <c r="I73" i="125"/>
  <c r="I74" i="125" s="1"/>
  <c r="AR164" i="17"/>
  <c r="AR170" i="17" s="1"/>
  <c r="AR204" i="17" l="1"/>
  <c r="AR253" i="17" s="1"/>
  <c r="AR171" i="17"/>
  <c r="AR38" i="17"/>
  <c r="AR169" i="17"/>
  <c r="AR203" i="17" l="1"/>
  <c r="AR37" i="17"/>
  <c r="AR326" i="17" l="1"/>
  <c r="AR252" i="17"/>
  <c r="AR327" i="17" l="1"/>
  <c r="AR331" i="17" l="1"/>
  <c r="AR333" i="17" l="1"/>
  <c r="AR217" i="17" l="1"/>
  <c r="AR264" i="17" l="1"/>
  <c r="AR61" i="101" l="1"/>
  <c r="AR62" i="101" s="1"/>
  <c r="AS61" i="101" l="1"/>
  <c r="AS62" i="101" s="1"/>
  <c r="AT51" i="101" l="1"/>
  <c r="AT61" i="101" l="1"/>
  <c r="AT62" i="101" s="1"/>
  <c r="AT93" i="101" l="1"/>
  <c r="AT94" i="101" s="1"/>
  <c r="AT100" i="101" l="1"/>
  <c r="AT101" i="101" s="1"/>
  <c r="AU103" i="101" s="1"/>
  <c r="AU105" i="101" s="1"/>
  <c r="AU51" i="101" s="1"/>
  <c r="AT95" i="101"/>
  <c r="AR298" i="106" l="1"/>
  <c r="AR438" i="5" s="1"/>
  <c r="AR305" i="106" l="1"/>
  <c r="AR445" i="5" s="1"/>
  <c r="AR312" i="106"/>
  <c r="AR452" i="5" s="1"/>
  <c r="AR319" i="106"/>
  <c r="AR459" i="5" s="1"/>
  <c r="AR333" i="106"/>
  <c r="AR473" i="5" s="1"/>
  <c r="AR326" i="106"/>
  <c r="AR466" i="5" s="1"/>
  <c r="AR321" i="106" l="1"/>
  <c r="AR461" i="5" s="1"/>
  <c r="AR335" i="106"/>
  <c r="AR475" i="5" s="1"/>
  <c r="AR314" i="106"/>
  <c r="AR454" i="5" s="1"/>
  <c r="AR300" i="106"/>
  <c r="AR440" i="5" s="1"/>
  <c r="AR328" i="106"/>
  <c r="AR468" i="5" s="1"/>
  <c r="AR307" i="106"/>
  <c r="AR447" i="5" s="1"/>
  <c r="AT307" i="106" l="1"/>
  <c r="AT447" i="5" s="1"/>
  <c r="AT335" i="106"/>
  <c r="AT475" i="5" s="1"/>
  <c r="AT300" i="106"/>
  <c r="AT440" i="5" s="1"/>
  <c r="AT321" i="106"/>
  <c r="AT461" i="5" s="1"/>
  <c r="AT328" i="106"/>
  <c r="AT468" i="5" s="1"/>
  <c r="AT314" i="106"/>
  <c r="AT454" i="5" s="1"/>
  <c r="AS328" i="106"/>
  <c r="AS468" i="5" s="1"/>
  <c r="AS335" i="106"/>
  <c r="AS475" i="5" s="1"/>
  <c r="AS321" i="106"/>
  <c r="AS461" i="5" s="1"/>
  <c r="AS314" i="106"/>
  <c r="AS454" i="5" s="1"/>
  <c r="AS307" i="106"/>
  <c r="AS447" i="5" s="1"/>
  <c r="AS300" i="106"/>
  <c r="AS440" i="5" s="1"/>
  <c r="AU300" i="106" l="1"/>
  <c r="AU440" i="5" s="1"/>
  <c r="AU328" i="106"/>
  <c r="AU468" i="5" s="1"/>
  <c r="AU321" i="106"/>
  <c r="AU461" i="5" s="1"/>
  <c r="AU307" i="106"/>
  <c r="AU447" i="5" s="1"/>
  <c r="AU335" i="106"/>
  <c r="AU475" i="5" s="1"/>
  <c r="AU314" i="106"/>
  <c r="AU454" i="5" s="1"/>
  <c r="AV300" i="106" l="1"/>
  <c r="AV440" i="5" s="1"/>
  <c r="AV328" i="106"/>
  <c r="AV468" i="5" s="1"/>
  <c r="AV321" i="106"/>
  <c r="AV461" i="5" s="1"/>
  <c r="AV335" i="106"/>
  <c r="AV475" i="5" s="1"/>
  <c r="AV314" i="106"/>
  <c r="AV454" i="5" s="1"/>
  <c r="AV307" i="106"/>
  <c r="AV447" i="5" s="1"/>
  <c r="AR327" i="106" l="1"/>
  <c r="AR467" i="5" s="1"/>
  <c r="AR299" i="106"/>
  <c r="AR439" i="5" s="1"/>
  <c r="AR320" i="106"/>
  <c r="AR460" i="5" s="1"/>
  <c r="AR334" i="106"/>
  <c r="AR474" i="5" s="1"/>
  <c r="AR306" i="106"/>
  <c r="AR446" i="5" s="1"/>
  <c r="AR313" i="106"/>
  <c r="AR453" i="5" s="1"/>
  <c r="AR325" i="106" l="1"/>
  <c r="AR465" i="5" s="1"/>
  <c r="AR297" i="106"/>
  <c r="AR437" i="5" s="1"/>
  <c r="AR332" i="106"/>
  <c r="AR472" i="5" s="1"/>
  <c r="AR318" i="106"/>
  <c r="AR458" i="5" s="1"/>
  <c r="AR311" i="106"/>
  <c r="AR451" i="5" s="1"/>
  <c r="AR304" i="106"/>
  <c r="AR444" i="5" s="1"/>
  <c r="AR310" i="106" l="1"/>
  <c r="AR450" i="5" s="1"/>
  <c r="AR295" i="106" l="1"/>
  <c r="AR435" i="5" s="1"/>
  <c r="AR323" i="106"/>
  <c r="AR463" i="5" s="1"/>
  <c r="AR316" i="106"/>
  <c r="AR456" i="5" s="1"/>
  <c r="AR309" i="106"/>
  <c r="AR449" i="5" s="1"/>
  <c r="AR330" i="106"/>
  <c r="AR470" i="5" s="1"/>
  <c r="AR302" i="106"/>
  <c r="AR442" i="5" s="1"/>
  <c r="AR296" i="106"/>
  <c r="AR436" i="5" s="1"/>
  <c r="AR303" i="106"/>
  <c r="AR443" i="5" s="1"/>
  <c r="AR317" i="106"/>
  <c r="AR457" i="5" s="1"/>
  <c r="AR324" i="106"/>
  <c r="AR464" i="5" s="1"/>
  <c r="AR331" i="106"/>
  <c r="AR471" i="5" s="1"/>
  <c r="AR336" i="106"/>
  <c r="AR476" i="5" s="1"/>
  <c r="AR315" i="106"/>
  <c r="AR455" i="5" s="1"/>
  <c r="AR329" i="106" l="1"/>
  <c r="AR469" i="5" s="1"/>
  <c r="AR42" i="15" s="1"/>
  <c r="AR50" i="15" s="1"/>
  <c r="AR205" i="17" s="1"/>
  <c r="AR301" i="106"/>
  <c r="AR441" i="5" s="1"/>
  <c r="AR38" i="15" s="1"/>
  <c r="AR322" i="106"/>
  <c r="AR462" i="5" s="1"/>
  <c r="AR41" i="15" s="1"/>
  <c r="AR49" i="15" s="1"/>
  <c r="AR101" i="15" s="1"/>
  <c r="AR43" i="15"/>
  <c r="AR51" i="15" s="1"/>
  <c r="AR308" i="106"/>
  <c r="AR448" i="5" s="1"/>
  <c r="AR39" i="15" s="1"/>
  <c r="AR47" i="15" s="1"/>
  <c r="AR78" i="15" s="1"/>
  <c r="AR79" i="15" s="1"/>
  <c r="AR40" i="15"/>
  <c r="AR48" i="15" s="1"/>
  <c r="AR91" i="15" s="1"/>
  <c r="AS103" i="15" l="1"/>
  <c r="AS111" i="15" s="1"/>
  <c r="AR102" i="15"/>
  <c r="AR104" i="15" s="1"/>
  <c r="AS100" i="15" s="1"/>
  <c r="AR44" i="15"/>
  <c r="AR46" i="15"/>
  <c r="AR65" i="15" s="1"/>
  <c r="AR66" i="15" s="1"/>
  <c r="AR93" i="15"/>
  <c r="AR110" i="15" s="1"/>
  <c r="AR92" i="15"/>
  <c r="AR254" i="17"/>
  <c r="AR80" i="15"/>
  <c r="AR109" i="15" s="1"/>
  <c r="AR81" i="15" l="1"/>
  <c r="AS76" i="15" s="1"/>
  <c r="AR94" i="15"/>
  <c r="AS90" i="15" s="1"/>
  <c r="AR18" i="86"/>
  <c r="AR67" i="15"/>
  <c r="AR108" i="15" s="1"/>
  <c r="AR112" i="15" s="1"/>
  <c r="AR206" i="17" s="1"/>
  <c r="AR255" i="17" l="1"/>
  <c r="AR207" i="17"/>
  <c r="AR68" i="15"/>
  <c r="AS63" i="15" s="1"/>
  <c r="AR216" i="17" l="1"/>
  <c r="AR294" i="17"/>
  <c r="AR296" i="17" s="1"/>
  <c r="AR297" i="17" s="1"/>
  <c r="AR299" i="17" s="1"/>
  <c r="AR303" i="17" l="1"/>
  <c r="AR307" i="17" s="1"/>
  <c r="AR236" i="17" s="1"/>
  <c r="AR218" i="17"/>
  <c r="AR219" i="17" s="1"/>
  <c r="AR225" i="17" s="1"/>
  <c r="AR227" i="17" s="1"/>
  <c r="AR231" i="17" s="1"/>
  <c r="AR235" i="17" s="1"/>
  <c r="AR237" i="17" s="1"/>
  <c r="AR220" i="17" l="1"/>
  <c r="AS215" i="17" s="1"/>
  <c r="AR240" i="17"/>
  <c r="AR20" i="16" s="1"/>
  <c r="AR22" i="16" s="1"/>
  <c r="AR49" i="101" s="1"/>
  <c r="AR53" i="101" s="1"/>
  <c r="AR58" i="101" s="1"/>
  <c r="AR239" i="17"/>
  <c r="AR250" i="17" l="1"/>
  <c r="AR256" i="17" s="1"/>
  <c r="AR39" i="17"/>
  <c r="AR93" i="101"/>
  <c r="AR94" i="101" s="1"/>
  <c r="AS69" i="101"/>
  <c r="AS50" i="101" s="1"/>
  <c r="AR63" i="101"/>
  <c r="AR100" i="101" l="1"/>
  <c r="AR101" i="101" s="1"/>
  <c r="AS51" i="101" s="1"/>
  <c r="AR95" i="101"/>
  <c r="AR266" i="17"/>
  <c r="AR272" i="17" s="1"/>
  <c r="AR274" i="17" s="1"/>
  <c r="AR40" i="17" s="1"/>
  <c r="AR41" i="17" s="1"/>
  <c r="AS25" i="17" s="1"/>
  <c r="AS45" i="17" s="1"/>
  <c r="AS53" i="17" s="1"/>
  <c r="AS57" i="17" s="1"/>
  <c r="AS78" i="17" s="1"/>
  <c r="AS80" i="17" s="1"/>
  <c r="AS84" i="17" s="1"/>
  <c r="AS86" i="17" s="1"/>
  <c r="AR263" i="17"/>
  <c r="AR267" i="17" l="1"/>
  <c r="AS262" i="17" s="1"/>
  <c r="AS27" i="17"/>
  <c r="AS28" i="17" s="1"/>
  <c r="AS179" i="17"/>
  <c r="AS180" i="17" s="1"/>
  <c r="AS184" i="17" s="1"/>
  <c r="AS35" i="17" l="1"/>
  <c r="AS185" i="17"/>
  <c r="AS14" i="16" s="1"/>
  <c r="AS19" i="16" s="1"/>
  <c r="AS126" i="17"/>
  <c r="AS46" i="17"/>
  <c r="AS92" i="17" s="1"/>
  <c r="AS95" i="17" s="1"/>
  <c r="AS29" i="17" l="1"/>
  <c r="AS36" i="17" s="1"/>
  <c r="AS127" i="17" s="1"/>
  <c r="AS129" i="17" s="1"/>
  <c r="AS201" i="17"/>
  <c r="AS248" i="17" l="1"/>
  <c r="AS153" i="17"/>
  <c r="AS137" i="17"/>
  <c r="AS140" i="17" s="1"/>
  <c r="AS144" i="17"/>
  <c r="AS147" i="17" l="1"/>
  <c r="AS149" i="17"/>
  <c r="AS156" i="17"/>
  <c r="AS167" i="17" s="1"/>
  <c r="AS158" i="17"/>
  <c r="AS164" i="17" s="1"/>
  <c r="AS170" i="17" s="1"/>
  <c r="AS204" i="17" l="1"/>
  <c r="AS253" i="17" s="1"/>
  <c r="AS38" i="17"/>
  <c r="AS171" i="17"/>
  <c r="AS131" i="17"/>
  <c r="AS169" i="17"/>
  <c r="AS37" i="17" l="1"/>
  <c r="AS203" i="17"/>
  <c r="AS326" i="17" l="1"/>
  <c r="AS327" i="17" s="1"/>
  <c r="AS331" i="17" s="1"/>
  <c r="AS333" i="17" s="1"/>
  <c r="AS217" i="17" s="1"/>
  <c r="AS264" i="17" s="1"/>
  <c r="AS252" i="17"/>
  <c r="AV306" i="106" l="1"/>
  <c r="AV446" i="5" s="1"/>
  <c r="AV334" i="106"/>
  <c r="AV474" i="5" s="1"/>
  <c r="AV299" i="106"/>
  <c r="AV439" i="5" s="1"/>
  <c r="AV313" i="106"/>
  <c r="AV453" i="5" s="1"/>
  <c r="AV320" i="106"/>
  <c r="AV460" i="5" s="1"/>
  <c r="AV327" i="106"/>
  <c r="AV467" i="5" s="1"/>
  <c r="AU299" i="106"/>
  <c r="AU439" i="5" s="1"/>
  <c r="AT299" i="106"/>
  <c r="AT439" i="5" s="1"/>
  <c r="AS313" i="106" l="1"/>
  <c r="AS453" i="5" s="1"/>
  <c r="AS320" i="106"/>
  <c r="AS460" i="5" s="1"/>
  <c r="AS306" i="106"/>
  <c r="AS446" i="5" s="1"/>
  <c r="AS327" i="106"/>
  <c r="AS467" i="5" s="1"/>
  <c r="AS334" i="106"/>
  <c r="AS474" i="5" s="1"/>
  <c r="AS299" i="106"/>
  <c r="AS439" i="5" s="1"/>
  <c r="AT320" i="106"/>
  <c r="AT460" i="5" s="1"/>
  <c r="AT306" i="106"/>
  <c r="AT446" i="5" s="1"/>
  <c r="AT313" i="106"/>
  <c r="AT453" i="5" s="1"/>
  <c r="AT334" i="106"/>
  <c r="AT474" i="5" s="1"/>
  <c r="AT327" i="106"/>
  <c r="AT467" i="5" s="1"/>
  <c r="AU320" i="106"/>
  <c r="AU460" i="5" s="1"/>
  <c r="AU327" i="106"/>
  <c r="AU467" i="5" s="1"/>
  <c r="AU313" i="106"/>
  <c r="AU453" i="5" s="1"/>
  <c r="AU334" i="106"/>
  <c r="AU474" i="5" s="1"/>
  <c r="AU306" i="106"/>
  <c r="AU446" i="5" s="1"/>
  <c r="AS302" i="106" l="1"/>
  <c r="AS442" i="5" s="1"/>
  <c r="AS309" i="106"/>
  <c r="AS449" i="5" s="1"/>
  <c r="AS323" i="106"/>
  <c r="AS463" i="5" s="1"/>
  <c r="AS295" i="106" l="1"/>
  <c r="AS435" i="5" s="1"/>
  <c r="AT330" i="106"/>
  <c r="AT470" i="5" s="1"/>
  <c r="AS330" i="106" l="1"/>
  <c r="AS470" i="5" s="1"/>
  <c r="AS316" i="106"/>
  <c r="AS456" i="5" s="1"/>
  <c r="AU330" i="106"/>
  <c r="AU470" i="5" s="1"/>
  <c r="AU316" i="106"/>
  <c r="AU456" i="5" s="1"/>
  <c r="AT295" i="106"/>
  <c r="AT435" i="5" s="1"/>
  <c r="AT323" i="106"/>
  <c r="AT463" i="5" s="1"/>
  <c r="AT309" i="106"/>
  <c r="AT449" i="5" s="1"/>
  <c r="AT316" i="106"/>
  <c r="AT456" i="5" s="1"/>
  <c r="AT302" i="106"/>
  <c r="AT442" i="5" s="1"/>
  <c r="AU302" i="106"/>
  <c r="AU442" i="5" s="1"/>
  <c r="AU309" i="106"/>
  <c r="AU449" i="5" s="1"/>
  <c r="AU323" i="106"/>
  <c r="AU463" i="5" s="1"/>
  <c r="AU295" i="106"/>
  <c r="AU435" i="5" s="1"/>
  <c r="AV295" i="106" l="1"/>
  <c r="AV435" i="5" s="1"/>
  <c r="AV309" i="106"/>
  <c r="AV449" i="5" s="1"/>
  <c r="AV302" i="106"/>
  <c r="AV442" i="5" s="1"/>
  <c r="AV316" i="106"/>
  <c r="AV456" i="5" s="1"/>
  <c r="AV323" i="106"/>
  <c r="AV463" i="5" s="1"/>
  <c r="AV330" i="106"/>
  <c r="AV470" i="5" s="1"/>
  <c r="AS296" i="106" l="1"/>
  <c r="AS436" i="5" s="1"/>
  <c r="AS317" i="106" l="1"/>
  <c r="AS457" i="5" s="1"/>
  <c r="AS324" i="106"/>
  <c r="AS464" i="5" s="1"/>
  <c r="AS331" i="106"/>
  <c r="AS471" i="5" s="1"/>
  <c r="AT303" i="106"/>
  <c r="AT443" i="5" s="1"/>
  <c r="AS332" i="106" l="1"/>
  <c r="AS472" i="5" s="1"/>
  <c r="AS304" i="106"/>
  <c r="AS444" i="5" s="1"/>
  <c r="AS325" i="106"/>
  <c r="AS465" i="5" s="1"/>
  <c r="AS311" i="106"/>
  <c r="AS451" i="5" s="1"/>
  <c r="AS318" i="106"/>
  <c r="AS458" i="5" s="1"/>
  <c r="AS297" i="106"/>
  <c r="AS437" i="5" s="1"/>
  <c r="AS310" i="106"/>
  <c r="AS450" i="5" s="1"/>
  <c r="AS303" i="106"/>
  <c r="AS443" i="5" s="1"/>
  <c r="AT325" i="106"/>
  <c r="AT465" i="5" s="1"/>
  <c r="AT296" i="106"/>
  <c r="AT436" i="5" s="1"/>
  <c r="AT310" i="106"/>
  <c r="AT450" i="5" s="1"/>
  <c r="AT317" i="106"/>
  <c r="AT457" i="5" s="1"/>
  <c r="AT324" i="106"/>
  <c r="AT464" i="5" s="1"/>
  <c r="AT331" i="106"/>
  <c r="AT471" i="5" s="1"/>
  <c r="AU311" i="106" l="1"/>
  <c r="AU451" i="5" s="1"/>
  <c r="AV296" i="106"/>
  <c r="AV436" i="5" s="1"/>
  <c r="AT311" i="106"/>
  <c r="AT451" i="5" s="1"/>
  <c r="AT332" i="106"/>
  <c r="AT472" i="5" s="1"/>
  <c r="AU318" i="106" l="1"/>
  <c r="AU458" i="5" s="1"/>
  <c r="AT304" i="106"/>
  <c r="AT444" i="5" s="1"/>
  <c r="AT297" i="106"/>
  <c r="AT437" i="5" s="1"/>
  <c r="AT318" i="106"/>
  <c r="AT458" i="5" s="1"/>
  <c r="AU297" i="106"/>
  <c r="AU437" i="5" s="1"/>
  <c r="AU310" i="106"/>
  <c r="AU450" i="5" s="1"/>
  <c r="AU296" i="106"/>
  <c r="AU436" i="5" s="1"/>
  <c r="AV331" i="106"/>
  <c r="AV471" i="5" s="1"/>
  <c r="AV303" i="106"/>
  <c r="AV443" i="5" s="1"/>
  <c r="AV317" i="106"/>
  <c r="AV457" i="5" s="1"/>
  <c r="AV310" i="106"/>
  <c r="AV450" i="5" s="1"/>
  <c r="AV324" i="106"/>
  <c r="AV464" i="5" s="1"/>
  <c r="AU317" i="106"/>
  <c r="AU457" i="5" s="1"/>
  <c r="AU324" i="106"/>
  <c r="AU464" i="5" s="1"/>
  <c r="AV325" i="106"/>
  <c r="AV465" i="5" s="1"/>
  <c r="AU332" i="106"/>
  <c r="AU472" i="5" s="1"/>
  <c r="AU304" i="106"/>
  <c r="AU444" i="5" s="1"/>
  <c r="AU303" i="106"/>
  <c r="AU443" i="5" s="1"/>
  <c r="AU325" i="106"/>
  <c r="AU465" i="5" s="1"/>
  <c r="AU331" i="106" l="1"/>
  <c r="AU471" i="5" s="1"/>
  <c r="AV318" i="106"/>
  <c r="AV458" i="5" s="1"/>
  <c r="AV332" i="106"/>
  <c r="AV472" i="5" s="1"/>
  <c r="AV304" i="106"/>
  <c r="AV444" i="5" s="1"/>
  <c r="AV311" i="106"/>
  <c r="AV451" i="5" s="1"/>
  <c r="AV297" i="106"/>
  <c r="AV437" i="5" s="1"/>
  <c r="AS305" i="106" l="1"/>
  <c r="AS445" i="5" s="1"/>
  <c r="AS319" i="106" l="1"/>
  <c r="AS459" i="5" s="1"/>
  <c r="AS298" i="106"/>
  <c r="AS438" i="5" s="1"/>
  <c r="AS333" i="106"/>
  <c r="AS473" i="5" s="1"/>
  <c r="AS326" i="106"/>
  <c r="AS466" i="5" s="1"/>
  <c r="AS312" i="106"/>
  <c r="AS452" i="5" s="1"/>
  <c r="AU305" i="106" l="1"/>
  <c r="AU445" i="5" s="1"/>
  <c r="AU326" i="106"/>
  <c r="AU466" i="5" s="1"/>
  <c r="AU312" i="106"/>
  <c r="AU452" i="5" s="1"/>
  <c r="AU319" i="106"/>
  <c r="AU459" i="5" s="1"/>
  <c r="AU333" i="106"/>
  <c r="AU473" i="5" s="1"/>
  <c r="AU298" i="106" l="1"/>
  <c r="AU438" i="5" s="1"/>
  <c r="AV326" i="106" l="1"/>
  <c r="AV466" i="5" s="1"/>
  <c r="AV319" i="106"/>
  <c r="AV459" i="5" s="1"/>
  <c r="AT333" i="106"/>
  <c r="AT473" i="5" s="1"/>
  <c r="AT305" i="106"/>
  <c r="AT445" i="5" s="1"/>
  <c r="AT312" i="106"/>
  <c r="AT452" i="5" s="1"/>
  <c r="AV333" i="106"/>
  <c r="AV473" i="5" s="1"/>
  <c r="AT326" i="106"/>
  <c r="AT466" i="5" s="1"/>
  <c r="AT319" i="106"/>
  <c r="AT459" i="5" s="1"/>
  <c r="AT298" i="106"/>
  <c r="AT438" i="5" s="1"/>
  <c r="AV312" i="106"/>
  <c r="AV452" i="5" s="1"/>
  <c r="AV298" i="106" l="1"/>
  <c r="AV438" i="5" s="1"/>
  <c r="AV305" i="106"/>
  <c r="AV445" i="5" s="1"/>
  <c r="AT308" i="106" l="1"/>
  <c r="AT448" i="5" s="1"/>
  <c r="AT39" i="15" s="1"/>
  <c r="AT47" i="15" s="1"/>
  <c r="AT78" i="15" s="1"/>
  <c r="AS315" i="106"/>
  <c r="AS455" i="5" s="1"/>
  <c r="AS40" i="15" s="1"/>
  <c r="AS48" i="15" s="1"/>
  <c r="AS91" i="15" s="1"/>
  <c r="AS93" i="15" l="1"/>
  <c r="AS110" i="15" s="1"/>
  <c r="AS92" i="15"/>
  <c r="AT301" i="106"/>
  <c r="AT441" i="5" s="1"/>
  <c r="AT38" i="15" s="1"/>
  <c r="AS308" i="106"/>
  <c r="AS448" i="5" s="1"/>
  <c r="AS39" i="15" s="1"/>
  <c r="AS47" i="15" s="1"/>
  <c r="AS78" i="15" s="1"/>
  <c r="AS79" i="15" s="1"/>
  <c r="AT336" i="106"/>
  <c r="AT476" i="5" s="1"/>
  <c r="AT43" i="15" s="1"/>
  <c r="AT51" i="15" s="1"/>
  <c r="AS301" i="106"/>
  <c r="AS441" i="5" s="1"/>
  <c r="AS38" i="15" s="1"/>
  <c r="AT315" i="106"/>
  <c r="AT455" i="5" s="1"/>
  <c r="AT40" i="15" s="1"/>
  <c r="AT48" i="15" s="1"/>
  <c r="AT91" i="15" s="1"/>
  <c r="AT93" i="15" s="1"/>
  <c r="AT110" i="15" s="1"/>
  <c r="AT322" i="106"/>
  <c r="AT462" i="5" s="1"/>
  <c r="AT41" i="15" s="1"/>
  <c r="AT49" i="15" s="1"/>
  <c r="AT101" i="15" s="1"/>
  <c r="AS322" i="106"/>
  <c r="AS462" i="5" s="1"/>
  <c r="AS41" i="15" s="1"/>
  <c r="AS49" i="15" s="1"/>
  <c r="AS101" i="15" s="1"/>
  <c r="AT329" i="106"/>
  <c r="AT469" i="5" s="1"/>
  <c r="AT42" i="15" s="1"/>
  <c r="AT50" i="15" s="1"/>
  <c r="AT205" i="17" s="1"/>
  <c r="AT254" i="17" s="1"/>
  <c r="AS329" i="106"/>
  <c r="AS469" i="5" s="1"/>
  <c r="AS42" i="15" s="1"/>
  <c r="AS50" i="15" s="1"/>
  <c r="AS205" i="17" s="1"/>
  <c r="AS336" i="106"/>
  <c r="AS476" i="5" s="1"/>
  <c r="AS43" i="15" s="1"/>
  <c r="AS51" i="15" s="1"/>
  <c r="AS94" i="15" l="1"/>
  <c r="AT90" i="15" s="1"/>
  <c r="AS46" i="15"/>
  <c r="AS65" i="15" s="1"/>
  <c r="AS66" i="15" s="1"/>
  <c r="AS44" i="15"/>
  <c r="AT92" i="15"/>
  <c r="AT94" i="15" s="1"/>
  <c r="AU90" i="15" s="1"/>
  <c r="AS254" i="17"/>
  <c r="AU103" i="15"/>
  <c r="AU111" i="15" s="1"/>
  <c r="AT103" i="15"/>
  <c r="AT111" i="15" s="1"/>
  <c r="AS102" i="15"/>
  <c r="AS104" i="15" s="1"/>
  <c r="AT100" i="15" s="1"/>
  <c r="AT102" i="15" s="1"/>
  <c r="AS80" i="15"/>
  <c r="AS109" i="15" s="1"/>
  <c r="AT46" i="15"/>
  <c r="AT65" i="15" s="1"/>
  <c r="AT44" i="15"/>
  <c r="AT18" i="86" s="1"/>
  <c r="AS81" i="15" l="1"/>
  <c r="AT76" i="15" s="1"/>
  <c r="AT79" i="15" s="1"/>
  <c r="AT80" i="15" s="1"/>
  <c r="AT109" i="15" s="1"/>
  <c r="AS18" i="86"/>
  <c r="AT104" i="15"/>
  <c r="AU100" i="15" s="1"/>
  <c r="AS67" i="15"/>
  <c r="AS108" i="15" s="1"/>
  <c r="AS112" i="15" s="1"/>
  <c r="AS206" i="17" s="1"/>
  <c r="AU301" i="106"/>
  <c r="AU441" i="5" s="1"/>
  <c r="AU38" i="15" s="1"/>
  <c r="AU329" i="106"/>
  <c r="AU469" i="5" s="1"/>
  <c r="AU42" i="15" s="1"/>
  <c r="AU50" i="15" s="1"/>
  <c r="AU205" i="17" s="1"/>
  <c r="AU254" i="17" s="1"/>
  <c r="AU336" i="106"/>
  <c r="AU476" i="5" s="1"/>
  <c r="AU43" i="15" s="1"/>
  <c r="AU51" i="15" s="1"/>
  <c r="AU322" i="106"/>
  <c r="AU462" i="5" s="1"/>
  <c r="AU41" i="15" s="1"/>
  <c r="AU49" i="15" s="1"/>
  <c r="AU101" i="15" s="1"/>
  <c r="AV103" i="15" s="1"/>
  <c r="AV111" i="15" s="1"/>
  <c r="AU308" i="106"/>
  <c r="AU448" i="5" s="1"/>
  <c r="AU39" i="15" s="1"/>
  <c r="AU47" i="15" s="1"/>
  <c r="AU78" i="15" s="1"/>
  <c r="AV301" i="106"/>
  <c r="AV441" i="5" s="1"/>
  <c r="AV38" i="15" s="1"/>
  <c r="AU315" i="106"/>
  <c r="AU455" i="5" s="1"/>
  <c r="AU40" i="15" s="1"/>
  <c r="AU48" i="15" s="1"/>
  <c r="AU91" i="15" s="1"/>
  <c r="AU93" i="15" s="1"/>
  <c r="AU110" i="15" s="1"/>
  <c r="AT81" i="15" l="1"/>
  <c r="AU76" i="15" s="1"/>
  <c r="AV315" i="106"/>
  <c r="AV455" i="5" s="1"/>
  <c r="AV40" i="15" s="1"/>
  <c r="AV48" i="15" s="1"/>
  <c r="AV91" i="15" s="1"/>
  <c r="AV93" i="15" s="1"/>
  <c r="AV110" i="15" s="1"/>
  <c r="AS68" i="15"/>
  <c r="AT63" i="15" s="1"/>
  <c r="AT66" i="15" s="1"/>
  <c r="AS255" i="17"/>
  <c r="AS207" i="17"/>
  <c r="AU102" i="15"/>
  <c r="AU104" i="15" s="1"/>
  <c r="AV100" i="15" s="1"/>
  <c r="AV329" i="106"/>
  <c r="AV469" i="5" s="1"/>
  <c r="AV42" i="15" s="1"/>
  <c r="AV50" i="15" s="1"/>
  <c r="AV205" i="17" s="1"/>
  <c r="AV254" i="17" s="1"/>
  <c r="AU92" i="15"/>
  <c r="AU94" i="15" s="1"/>
  <c r="AV90" i="15" s="1"/>
  <c r="AU79" i="15"/>
  <c r="AV46" i="15"/>
  <c r="AV65" i="15" s="1"/>
  <c r="AU44" i="15"/>
  <c r="AU46" i="15"/>
  <c r="AU65" i="15" s="1"/>
  <c r="AV322" i="106"/>
  <c r="AV462" i="5" s="1"/>
  <c r="AV41" i="15" s="1"/>
  <c r="AV49" i="15" s="1"/>
  <c r="AV101" i="15" s="1"/>
  <c r="AV92" i="15" l="1"/>
  <c r="AV94" i="15"/>
  <c r="AU80" i="15"/>
  <c r="AU109" i="15" s="1"/>
  <c r="AV308" i="106"/>
  <c r="AV448" i="5" s="1"/>
  <c r="AV39" i="15" s="1"/>
  <c r="AV102" i="15"/>
  <c r="AV104" i="15" s="1"/>
  <c r="AS216" i="17"/>
  <c r="AS294" i="17"/>
  <c r="AS296" i="17" s="1"/>
  <c r="AS297" i="17" s="1"/>
  <c r="AS299" i="17" s="1"/>
  <c r="AV336" i="106"/>
  <c r="AV476" i="5" s="1"/>
  <c r="AV43" i="15" s="1"/>
  <c r="AV51" i="15" s="1"/>
  <c r="AU18" i="86"/>
  <c r="AT67" i="15"/>
  <c r="AT108" i="15" s="1"/>
  <c r="AT112" i="15" s="1"/>
  <c r="AT206" i="17" s="1"/>
  <c r="AT255" i="17" s="1"/>
  <c r="AU81" i="15" l="1"/>
  <c r="AV76" i="15" s="1"/>
  <c r="AT68" i="15"/>
  <c r="AU63" i="15" s="1"/>
  <c r="AU66" i="15" s="1"/>
  <c r="AU67" i="15" s="1"/>
  <c r="AU108" i="15" s="1"/>
  <c r="AU112" i="15" s="1"/>
  <c r="AU206" i="17" s="1"/>
  <c r="AU255" i="17" s="1"/>
  <c r="AS303" i="17"/>
  <c r="AS307" i="17" s="1"/>
  <c r="AS236" i="17" s="1"/>
  <c r="AS218" i="17"/>
  <c r="AS219" i="17" s="1"/>
  <c r="AS225" i="17" s="1"/>
  <c r="AS227" i="17" s="1"/>
  <c r="AS231" i="17" s="1"/>
  <c r="AS235" i="17" s="1"/>
  <c r="AV47" i="15"/>
  <c r="AV78" i="15" s="1"/>
  <c r="AV44" i="15"/>
  <c r="AS237" i="17" l="1"/>
  <c r="AV79" i="15"/>
  <c r="AV80" i="15" s="1"/>
  <c r="AV109" i="15" s="1"/>
  <c r="AU68" i="15"/>
  <c r="AV63" i="15" s="1"/>
  <c r="AV66" i="15" s="1"/>
  <c r="AV67" i="15" s="1"/>
  <c r="AV108" i="15" s="1"/>
  <c r="AS240" i="17"/>
  <c r="AS20" i="16" s="1"/>
  <c r="AS22" i="16" s="1"/>
  <c r="AS49" i="101" s="1"/>
  <c r="AS53" i="101" s="1"/>
  <c r="AS58" i="101" s="1"/>
  <c r="AS239" i="17"/>
  <c r="AV18" i="86"/>
  <c r="I18" i="86" s="1"/>
  <c r="I7" i="86" s="1"/>
  <c r="I6" i="86" s="1"/>
  <c r="I44" i="15"/>
  <c r="AS220" i="17"/>
  <c r="AT215" i="17" s="1"/>
  <c r="AV112" i="15" l="1"/>
  <c r="AV206" i="17" s="1"/>
  <c r="AV255" i="17" s="1"/>
  <c r="AM3" i="5"/>
  <c r="AM3" i="101"/>
  <c r="AM3" i="13"/>
  <c r="AM3" i="17"/>
  <c r="AM3" i="86"/>
  <c r="AM3" i="16"/>
  <c r="F8" i="21"/>
  <c r="AM3" i="126"/>
  <c r="AM3" i="2"/>
  <c r="AM3" i="15"/>
  <c r="AM3" i="125"/>
  <c r="AM3" i="12"/>
  <c r="AM3" i="6"/>
  <c r="AV81" i="15"/>
  <c r="AS39" i="17"/>
  <c r="AS250" i="17"/>
  <c r="AS256" i="17" s="1"/>
  <c r="AV68" i="15"/>
  <c r="AS93" i="101"/>
  <c r="AS94" i="101" s="1"/>
  <c r="AT69" i="101"/>
  <c r="AT50" i="101" s="1"/>
  <c r="AS63" i="101"/>
  <c r="AS95" i="101" l="1"/>
  <c r="AS100" i="101"/>
  <c r="AS101" i="101" s="1"/>
  <c r="AS266" i="17"/>
  <c r="AS272" i="17" s="1"/>
  <c r="AS274" i="17" s="1"/>
  <c r="AS40" i="17" s="1"/>
  <c r="AS41" i="17" s="1"/>
  <c r="AT25" i="17" s="1"/>
  <c r="AT45" i="17" s="1"/>
  <c r="AT53" i="17" s="1"/>
  <c r="AT57" i="17" s="1"/>
  <c r="AT78" i="17" s="1"/>
  <c r="AT80" i="17" s="1"/>
  <c r="AT84" i="17" s="1"/>
  <c r="AT86" i="17" s="1"/>
  <c r="AS263" i="17"/>
  <c r="AS267" i="17" l="1"/>
  <c r="AT262" i="17" s="1"/>
  <c r="AT179" i="17"/>
  <c r="AT180" i="17" s="1"/>
  <c r="AT184" i="17" s="1"/>
  <c r="AT27" i="17"/>
  <c r="AT28" i="17" s="1"/>
  <c r="AT126" i="17" l="1"/>
  <c r="AT46" i="17"/>
  <c r="AT92" i="17" s="1"/>
  <c r="AT95" i="17" s="1"/>
  <c r="AT185" i="17"/>
  <c r="AT14" i="16" s="1"/>
  <c r="AT19" i="16" s="1"/>
  <c r="AT35" i="17"/>
  <c r="AT29" i="17" l="1"/>
  <c r="AT36" i="17" s="1"/>
  <c r="AT201" i="17"/>
  <c r="AT248" i="17" l="1"/>
  <c r="AT127" i="17"/>
  <c r="AT129" i="17" s="1"/>
  <c r="AT137" i="17" l="1"/>
  <c r="AT140" i="17" s="1"/>
  <c r="AT153" i="17"/>
  <c r="AT144" i="17"/>
  <c r="AT149" i="17" l="1"/>
  <c r="AT147" i="17"/>
  <c r="AT158" i="17"/>
  <c r="AT156" i="17"/>
  <c r="AT167" i="17" s="1"/>
  <c r="AT164" i="17" l="1"/>
  <c r="AT170" i="17" s="1"/>
  <c r="AT38" i="17" s="1"/>
  <c r="AT131" i="17"/>
  <c r="AT171" i="17" l="1"/>
  <c r="AT204" i="17"/>
  <c r="AT253" i="17" s="1"/>
  <c r="AT169" i="17"/>
  <c r="AT203" i="17" s="1"/>
  <c r="AT37" i="17" l="1"/>
  <c r="AT252" i="17"/>
  <c r="AT326" i="17"/>
  <c r="AT327" i="17" s="1"/>
  <c r="AT331" i="17" s="1"/>
  <c r="AT333" i="17" s="1"/>
  <c r="AT217" i="17" s="1"/>
  <c r="AT264" i="17" s="1"/>
  <c r="AT207" i="17"/>
  <c r="AT216" i="17" l="1"/>
  <c r="AT294" i="17"/>
  <c r="AT296" i="17" s="1"/>
  <c r="AT297" i="17" s="1"/>
  <c r="AT299" i="17" s="1"/>
  <c r="AT218" i="17" l="1"/>
  <c r="AT219" i="17" s="1"/>
  <c r="AT225" i="17" s="1"/>
  <c r="AT227" i="17" s="1"/>
  <c r="AT231" i="17" s="1"/>
  <c r="AT235" i="17" s="1"/>
  <c r="AT303" i="17"/>
  <c r="AT307" i="17" s="1"/>
  <c r="AT236" i="17" s="1"/>
  <c r="AT220" i="17" l="1"/>
  <c r="AU215" i="17" s="1"/>
  <c r="AT237" i="17"/>
  <c r="AT239" i="17" l="1"/>
  <c r="AT240" i="17"/>
  <c r="AT20" i="16" s="1"/>
  <c r="AT22" i="16" s="1"/>
  <c r="AT49" i="101" s="1"/>
  <c r="AT53" i="101" s="1"/>
  <c r="AT58" i="101" s="1"/>
  <c r="AU69" i="101" l="1"/>
  <c r="AU50" i="101" s="1"/>
  <c r="AT63" i="101"/>
  <c r="AT39" i="17"/>
  <c r="AT250" i="17"/>
  <c r="AT256" i="17" s="1"/>
  <c r="AT266" i="17" l="1"/>
  <c r="AT272" i="17" s="1"/>
  <c r="AT274" i="17" s="1"/>
  <c r="AT40" i="17" s="1"/>
  <c r="AT41" i="17" s="1"/>
  <c r="AU25" i="17" s="1"/>
  <c r="AU45" i="17" s="1"/>
  <c r="AU53" i="17" s="1"/>
  <c r="AU57" i="17" s="1"/>
  <c r="AU78" i="17" s="1"/>
  <c r="AU80" i="17" s="1"/>
  <c r="AU84" i="17" s="1"/>
  <c r="AU86" i="17" s="1"/>
  <c r="AT263" i="17"/>
  <c r="AT267" i="17" l="1"/>
  <c r="AU262" i="17" s="1"/>
  <c r="AU27" i="17"/>
  <c r="AU28" i="17" s="1"/>
  <c r="AU179" i="17"/>
  <c r="AU180" i="17" s="1"/>
  <c r="AU184" i="17" s="1"/>
  <c r="AU35" i="17" l="1"/>
  <c r="AU185" i="17"/>
  <c r="AU14" i="16" s="1"/>
  <c r="AU19" i="16" s="1"/>
  <c r="AU126" i="17"/>
  <c r="AU46" i="17"/>
  <c r="AU92" i="17" s="1"/>
  <c r="AU95" i="17" s="1"/>
  <c r="AU29" i="17" l="1"/>
  <c r="AU36" i="17" s="1"/>
  <c r="AU127" i="17" s="1"/>
  <c r="AU129" i="17" s="1"/>
  <c r="AU201" i="17"/>
  <c r="AU248" i="17" l="1"/>
  <c r="AU144" i="17"/>
  <c r="AU153" i="17"/>
  <c r="AU137" i="17"/>
  <c r="AU140" i="17" s="1"/>
  <c r="AU156" i="17" l="1"/>
  <c r="AU158" i="17"/>
  <c r="AU147" i="17"/>
  <c r="AU149" i="17"/>
  <c r="AU167" i="17" l="1"/>
  <c r="AU131" i="17" s="1"/>
  <c r="AU164" i="17"/>
  <c r="AU170" i="17" s="1"/>
  <c r="AU38" i="17" l="1"/>
  <c r="AU171" i="17"/>
  <c r="AU204" i="17"/>
  <c r="AU253" i="17" s="1"/>
  <c r="AU169" i="17"/>
  <c r="AU37" i="17" l="1"/>
  <c r="AU203" i="17"/>
  <c r="AU326" i="17" l="1"/>
  <c r="AU327" i="17" s="1"/>
  <c r="AU331" i="17" s="1"/>
  <c r="AU333" i="17" s="1"/>
  <c r="AU217" i="17" s="1"/>
  <c r="AU264" i="17" s="1"/>
  <c r="AU252" i="17"/>
  <c r="AU207" i="17"/>
  <c r="AU216" i="17" l="1"/>
  <c r="AU294" i="17"/>
  <c r="AU296" i="17" s="1"/>
  <c r="AU297" i="17" s="1"/>
  <c r="AU299" i="17" s="1"/>
  <c r="AU218" i="17" l="1"/>
  <c r="AU219" i="17" s="1"/>
  <c r="AU225" i="17" s="1"/>
  <c r="AU227" i="17" s="1"/>
  <c r="AU231" i="17" s="1"/>
  <c r="AU235" i="17" s="1"/>
  <c r="AU303" i="17"/>
  <c r="AU307" i="17" s="1"/>
  <c r="AU236" i="17" s="1"/>
  <c r="AU220" i="17" l="1"/>
  <c r="AV215" i="17" s="1"/>
  <c r="AU237" i="17"/>
  <c r="AU239" i="17" l="1"/>
  <c r="AU240" i="17"/>
  <c r="AU20" i="16" s="1"/>
  <c r="AU22" i="16" s="1"/>
  <c r="AU49" i="101" s="1"/>
  <c r="AU53" i="101" s="1"/>
  <c r="AU58" i="101" s="1"/>
  <c r="AU61" i="101" l="1"/>
  <c r="AU62" i="101" s="1"/>
  <c r="AU63" i="101" s="1"/>
  <c r="AU93" i="101"/>
  <c r="AU94" i="101" s="1"/>
  <c r="AU250" i="17"/>
  <c r="AU256" i="17" s="1"/>
  <c r="AU39" i="17"/>
  <c r="AV69" i="101" l="1"/>
  <c r="AV50" i="101" s="1"/>
  <c r="AU100" i="101"/>
  <c r="AU101" i="101" s="1"/>
  <c r="AV103" i="101" s="1"/>
  <c r="AV105" i="101" s="1"/>
  <c r="AV51" i="101" s="1"/>
  <c r="AU266" i="17"/>
  <c r="AU272" i="17" s="1"/>
  <c r="AU274" i="17" s="1"/>
  <c r="AU40" i="17" s="1"/>
  <c r="AU41" i="17" s="1"/>
  <c r="AV25" i="17" s="1"/>
  <c r="AV45" i="17" s="1"/>
  <c r="AV53" i="17" s="1"/>
  <c r="AV57" i="17" s="1"/>
  <c r="AV78" i="17" s="1"/>
  <c r="AV80" i="17" s="1"/>
  <c r="AV84" i="17" s="1"/>
  <c r="AV86" i="17" s="1"/>
  <c r="AU263" i="17"/>
  <c r="AU95" i="101"/>
  <c r="AU267" i="17" l="1"/>
  <c r="AV262" i="17" s="1"/>
  <c r="AV27" i="17"/>
  <c r="AV28" i="17" s="1"/>
  <c r="AV179" i="17"/>
  <c r="AV180" i="17" s="1"/>
  <c r="AV184" i="17" s="1"/>
  <c r="AV35" i="17" l="1"/>
  <c r="AV185" i="17"/>
  <c r="AV14" i="16" s="1"/>
  <c r="AV19" i="16" s="1"/>
  <c r="AV126" i="17"/>
  <c r="AV46" i="17"/>
  <c r="AV92" i="17" s="1"/>
  <c r="AV95" i="17" s="1"/>
  <c r="AV29" i="17" l="1"/>
  <c r="AV36" i="17" s="1"/>
  <c r="AV201" i="17"/>
  <c r="AV248" i="17" l="1"/>
  <c r="AV127" i="17"/>
  <c r="AV129" i="17" s="1"/>
  <c r="AV137" i="17" l="1"/>
  <c r="AV140" i="17" s="1"/>
  <c r="AV144" i="17"/>
  <c r="AV153" i="17"/>
  <c r="AV158" i="17" l="1"/>
  <c r="AV156" i="17"/>
  <c r="AV149" i="17"/>
  <c r="AV147" i="17"/>
  <c r="AV167" i="17" s="1"/>
  <c r="AV131" i="17" l="1"/>
  <c r="AV164" i="17"/>
  <c r="AV170" i="17" s="1"/>
  <c r="AV38" i="17" l="1"/>
  <c r="AV204" i="17"/>
  <c r="AV253" i="17" s="1"/>
  <c r="AV171" i="17"/>
  <c r="AV169" i="17"/>
  <c r="AV203" i="17" l="1"/>
  <c r="AV37" i="17"/>
  <c r="AV252" i="17" l="1"/>
  <c r="AV326" i="17"/>
  <c r="AV327" i="17" s="1"/>
  <c r="AV331" i="17" s="1"/>
  <c r="AV333" i="17" s="1"/>
  <c r="AV217" i="17" s="1"/>
  <c r="AV264" i="17" s="1"/>
  <c r="AV207" i="17"/>
  <c r="AV216" i="17" l="1"/>
  <c r="AV294" i="17"/>
  <c r="AV296" i="17" s="1"/>
  <c r="AV297" i="17" s="1"/>
  <c r="AV299" i="17" s="1"/>
  <c r="AV218" i="17" l="1"/>
  <c r="AV219" i="17" s="1"/>
  <c r="AV225" i="17" s="1"/>
  <c r="AV227" i="17" s="1"/>
  <c r="AV231" i="17" s="1"/>
  <c r="AV235" i="17" s="1"/>
  <c r="AV303" i="17"/>
  <c r="AV307" i="17" s="1"/>
  <c r="AV236" i="17" s="1"/>
  <c r="AV220" i="17" l="1"/>
  <c r="AV237" i="17"/>
  <c r="AV239" i="17" l="1"/>
  <c r="AV240" i="17"/>
  <c r="AV20" i="16" s="1"/>
  <c r="AV22" i="16" s="1"/>
  <c r="AV49" i="101" s="1"/>
  <c r="AV53" i="101" s="1"/>
  <c r="AV58" i="101" s="1"/>
  <c r="AV61" i="101" l="1"/>
  <c r="AV62" i="101" s="1"/>
  <c r="AV63" i="101" s="1"/>
  <c r="AV93" i="101"/>
  <c r="AV94" i="101" s="1"/>
  <c r="AV250" i="17"/>
  <c r="AV256" i="17" s="1"/>
  <c r="AV39" i="17"/>
  <c r="AV100" i="101" l="1"/>
  <c r="AV101" i="101" s="1"/>
  <c r="AV266" i="17"/>
  <c r="AV272" i="17" s="1"/>
  <c r="AV274" i="17" s="1"/>
  <c r="AV40" i="17" s="1"/>
  <c r="AV41" i="17" s="1"/>
  <c r="AV263" i="17"/>
  <c r="AV95" i="101"/>
  <c r="AV267"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<sst xmlns="http://schemas.openxmlformats.org/spreadsheetml/2006/main" count="4563" uniqueCount="1397">
  <si>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Combined RPI-CPIH price index (financial year end)</t>
  </si>
  <si>
    <t>Real to nominal prices conversion factor (splice index for RIIO-2)</t>
  </si>
  <si>
    <t>Forecast cost of debt (RPI index-linked)</t>
  </si>
  <si>
    <t>Other revenue allowances</t>
  </si>
  <si>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</si>
  <si>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</si>
  <si>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</si>
  <si>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</si>
  <si>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</si>
  <si>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</si>
  <si>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</si>
  <si>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</si>
  <si>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</si>
  <si>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</si>
  <si>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</si>
  <si>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</si>
  <si>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</si>
  <si>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</si>
  <si>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</si>
  <si>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</si>
  <si>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</si>
  <si>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</si>
  <si>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</si>
  <si>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</si>
  <si>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</si>
  <si>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</si>
  <si>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</si>
  <si>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</si>
  <si>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</si>
  <si>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</si>
  <si>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</si>
  <si>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</si>
  <si>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</si>
  <si>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</si>
  <si>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</si>
  <si>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</si>
  <si>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</si>
  <si>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</si>
  <si>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</si>
  <si>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</si>
  <si>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</si>
  <si>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</si>
  <si>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</si>
  <si>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</si>
  <si>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</si>
  <si>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</si>
  <si>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</si>
  <si>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</si>
  <si>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</si>
  <si>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</si>
  <si>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</si>
  <si>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</si>
  <si>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</si>
  <si>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</si>
  <si>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</si>
  <si>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</si>
  <si>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</si>
  <si>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</si>
  <si>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</si>
  <si>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</si>
  <si>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</si>
  <si>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</si>
  <si>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</si>
  <si>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</si>
  <si>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</si>
  <si>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</si>
  <si>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</si>
  <si>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</si>
  <si>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</si>
  <si>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</si>
  <si>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</si>
  <si>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</si>
  <si>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</si>
  <si>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</si>
  <si>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</si>
  <si>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</si>
  <si>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</si>
  <si>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</si>
  <si>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</si>
  <si>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</si>
  <si>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</si>
  <si>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</si>
  <si>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</si>
  <si>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</si>
  <si>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</si>
  <si>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</si>
  <si>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</si>
  <si>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</si>
  <si>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</si>
  <si>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</si>
  <si>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</si>
  <si>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</si>
  <si>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</si>
  <si>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</si>
  <si>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</si>
  <si>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</si>
  <si>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</si>
  <si>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</si>
  <si>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</si>
  <si>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</si>
  <si>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</si>
  <si>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</si>
  <si>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</si>
  <si>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</si>
  <si>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</si>
  <si>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</si>
  <si>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</si>
  <si>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</si>
  <si>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</si>
  <si>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</si>
  <si>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</si>
  <si>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</si>
  <si>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</si>
  <si>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</si>
  <si>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</si>
  <si>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</si>
  <si>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</si>
  <si>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</si>
  <si>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</si>
  <si>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</si>
  <si>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</si>
  <si>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</si>
  <si>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</si>
  <si>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</si>
  <si>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</si>
  <si>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</si>
  <si>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</si>
  <si>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</si>
  <si>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</si>
  <si>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</si>
  <si>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</si>
  <si>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</si>
  <si>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</si>
  <si>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</si>
  <si>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</si>
  <si>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</si>
  <si>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</si>
  <si>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</si>
  <si>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</si>
  <si>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</si>
  <si>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</si>
  <si>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</si>
  <si>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</si>
  <si>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</si>
  <si>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</si>
  <si>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</si>
  <si>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</si>
  <si>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</si>
  <si>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</si>
  <si>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</si>
  <si>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</si>
  <si>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</si>
  <si>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</si>
  <si>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</si>
  <si>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</si>
  <si>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</si>
  <si>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</si>
  <si>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</si>
  <si>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</si>
  <si>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</si>
  <si>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</si>
  <si>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</si>
  <si>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</si>
  <si>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</si>
  <si>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</si>
  <si>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</si>
  <si>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</si>
  <si>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</si>
  <si>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</si>
  <si>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</si>
  <si>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</si>
  <si>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</si>
  <si>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</si>
  <si>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</si>
  <si>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</si>
  <si>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</si>
  <si>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</si>
  <si>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</si>
  <si>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</si>
  <si>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</si>
  <si>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</si>
  <si>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</si>
  <si>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</si>
  <si>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</si>
  <si>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</si>
  <si>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</si>
  <si>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</si>
  <si>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</si>
  <si>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</si>
  <si>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</si>
  <si>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</si>
  <si>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</si>
  <si>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</si>
  <si>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</si>
  <si>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</si>
  <si>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</si>
  <si>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</si>
  <si>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</si>
  <si>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</si>
  <si>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</si>
  <si>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</si>
  <si>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</si>
  <si>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</si>
  <si>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</si>
  <si>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</si>
  <si>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</si>
  <si>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</si>
  <si>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</si>
  <si>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</si>
  <si>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</si>
  <si>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</si>
  <si>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</si>
  <si>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</si>
  <si>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</si>
  <si>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</si>
  <si>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</si>
  <si>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</si>
  <si>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</si>
  <si>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</si>
  <si>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</si>
  <si>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</si>
  <si>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</si>
  <si>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</si>
  <si>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</si>
  <si>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</si>
  <si>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</si>
  <si>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</si>
  <si>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</si>
  <si>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</si>
  <si>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</si>
  <si>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</si>
  <si>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</si>
  <si>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</si>
  <si>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</si>
  <si>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</si>
  <si>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</si>
  <si>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</si>
  <si>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</si>
  <si>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</si>
  <si>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</si>
  <si>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</si>
  <si>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</si>
  <si>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</si>
  <si>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</si>
  <si>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</si>
  <si>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</si>
  <si>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</si>
  <si>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</si>
  <si>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</si>
  <si>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</si>
  <si>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</si>
  <si>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</si>
  <si>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</si>
  <si>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</si>
  <si>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</si>
  <si>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</si>
  <si>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</si>
  <si>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</si>
  <si>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</si>
  <si>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</si>
  <si>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</si>
  <si>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</si>
  <si>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</si>
  <si>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</si>
  <si>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</si>
  <si>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</si>
  <si>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</si>
  <si>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</si>
  <si>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</si>
  <si>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</si>
  <si>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</si>
  <si>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</si>
  <si>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</si>
  <si>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</si>
  <si>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</si>
  <si>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</si>
  <si>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</si>
  <si>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</si>
  <si>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</si>
  <si>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</si>
  <si>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</si>
  <si>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</si>
  <si>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</si>
  <si>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</si>
  <si>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</si>
  <si>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</si>
  <si>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</si>
  <si>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</si>
  <si>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</si>
  <si>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</si>
  <si>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</si>
  <si>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</si>
  <si>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</si>
  <si>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</si>
  <si>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</si>
  <si>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</si>
  <si>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</si>
  <si>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</si>
  <si>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</si>
  <si>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</si>
  <si>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£m real</t>
  </si>
  <si>
    <t>Revenue as billed (ignoring bad debt)</t>
  </si>
  <si>
    <t>£m nominal</t>
  </si>
  <si>
    <t>BILLRt</t>
  </si>
  <si>
    <t>Allowed Revenue (as published)</t>
  </si>
  <si>
    <t>AR*t</t>
  </si>
  <si>
    <t>Base Revenue (as published)</t>
  </si>
  <si>
    <t>BRt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</si>
  <si>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</si>
  <si>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</si>
  <si>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</si>
  <si>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</si>
  <si>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</si>
  <si>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</si>
  <si>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</si>
  <si>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</si>
  <si>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</si>
  <si>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</si>
  <si>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</si>
  <si>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</si>
  <si>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</si>
  <si>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</si>
  <si>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</si>
  <si>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</si>
  <si>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</si>
  <si>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</si>
  <si>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</si>
  <si>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</si>
  <si>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</si>
  <si>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</si>
  <si>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</si>
  <si>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</si>
  <si>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</si>
  <si>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</si>
  <si>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</si>
  <si>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</si>
  <si>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</si>
  <si>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</si>
  <si>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</si>
  <si>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</si>
  <si>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</si>
  <si>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</si>
  <si>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</si>
  <si>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</si>
  <si>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</si>
  <si>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</si>
  <si>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</si>
  <si>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</si>
  <si>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</si>
  <si>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</si>
  <si>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</si>
  <si>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</si>
  <si>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</si>
  <si>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</si>
  <si>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</si>
  <si>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</si>
  <si>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</si>
  <si>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</si>
  <si>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</si>
  <si>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</si>
  <si>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</si>
  <si>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</si>
  <si>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</si>
  <si>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</si>
  <si>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</si>
  <si>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</si>
  <si>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</si>
  <si>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</si>
  <si>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</si>
  <si>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</si>
  <si>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</si>
  <si>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</si>
  <si>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</si>
  <si>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</si>
  <si>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</si>
  <si>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</si>
  <si>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</si>
  <si>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</si>
  <si>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</si>
  <si>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</si>
  <si>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</si>
  <si>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</si>
  <si>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</si>
  <si>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</si>
  <si>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</si>
  <si>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</si>
  <si>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</si>
  <si>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</si>
  <si>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</si>
  <si>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</si>
  <si>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</si>
  <si>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</si>
  <si>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</si>
  <si>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</si>
  <si>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</si>
  <si>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</si>
  <si>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</si>
  <si>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</si>
  <si>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</si>
  <si>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</si>
  <si>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</si>
  <si>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</si>
  <si>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</si>
  <si>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</si>
  <si>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</si>
  <si>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</si>
  <si>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</si>
  <si>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</si>
  <si>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</si>
  <si>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</si>
  <si>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</si>
  <si>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</si>
  <si>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</si>
  <si>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</si>
  <si>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</si>
  <si>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</si>
  <si>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</si>
  <si>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</si>
  <si>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</si>
  <si>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</si>
  <si>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</si>
  <si>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</si>
  <si>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</si>
  <si>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</si>
  <si>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</si>
  <si>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</si>
  <si>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</si>
  <si>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</si>
  <si>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</si>
  <si>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</si>
  <si>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</si>
  <si>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</si>
  <si>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</si>
  <si>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</si>
  <si>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</si>
  <si>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</si>
  <si>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</si>
  <si>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</si>
  <si>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</si>
  <si>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</si>
  <si>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</si>
  <si>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</si>
  <si>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</si>
  <si>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</si>
  <si>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</si>
  <si>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</si>
  <si>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</si>
  <si>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</si>
  <si>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</si>
  <si>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</si>
  <si>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</si>
  <si>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</si>
  <si>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</si>
  <si>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</si>
  <si>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</si>
  <si>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</si>
  <si>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</si>
  <si>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</si>
  <si>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</si>
  <si>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</si>
  <si>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</si>
  <si>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</si>
  <si>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</si>
  <si>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</si>
  <si>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</si>
  <si>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</si>
  <si>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</si>
  <si>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</si>
  <si>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</si>
  <si>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</si>
  <si>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</si>
  <si>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</si>
  <si>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</si>
  <si>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</si>
  <si>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</si>
  <si>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</si>
  <si>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</si>
  <si>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</si>
  <si>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</si>
  <si>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</si>
  <si>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</si>
  <si>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</si>
  <si>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</si>
  <si>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</si>
  <si>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</si>
  <si>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</si>
  <si>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</si>
  <si>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</si>
  <si>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</si>
  <si>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</si>
  <si>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</si>
  <si>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</si>
  <si>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</si>
  <si>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</si>
  <si>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</si>
  <si>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</si>
  <si>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</si>
  <si>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</si>
  <si>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</si>
  <si>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</si>
  <si>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</si>
  <si>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</si>
  <si>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</si>
  <si>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</si>
  <si>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</si>
  <si>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</si>
  <si>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</si>
  <si>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</si>
  <si>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</si>
  <si>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</si>
  <si>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</si>
  <si>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</si>
  <si>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</si>
  <si>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</si>
  <si>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</si>
  <si>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</si>
  <si>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</si>
  <si>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</si>
  <si>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</si>
  <si>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</si>
  <si>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</si>
  <si>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</si>
  <si>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</si>
  <si>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</si>
  <si>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</si>
  <si>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Fast pot expenditure</t>
  </si>
  <si>
    <t>£m 12/13 prices</t>
  </si>
  <si>
    <t>Return</t>
  </si>
  <si>
    <t>Equity issuance cost</t>
  </si>
  <si>
    <t>Additional income</t>
  </si>
  <si>
    <t>Tax allowance</t>
  </si>
  <si>
    <t>Recalculated base revenue</t>
  </si>
  <si>
    <t>Add net impact of DARTs on core net debt</t>
  </si>
  <si>
    <t>Add net DART impact on tax calculation</t>
  </si>
  <si>
    <t>Less actual totex</t>
  </si>
  <si>
    <t>Less revenue tax pool additions</t>
  </si>
  <si>
    <t>Less capital allowances</t>
  </si>
  <si>
    <t>index value</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</si>
  <si>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</si>
  <si>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</si>
  <si>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</si>
  <si>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</si>
  <si>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</si>
  <si>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</si>
  <si>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</si>
  <si>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</si>
  <si>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</si>
  <si>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</si>
  <si>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</si>
  <si>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</si>
  <si>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</si>
  <si>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</si>
  <si>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</si>
  <si>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</si>
  <si>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</si>
  <si>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</si>
  <si>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</si>
  <si>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</si>
  <si>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</si>
  <si>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</si>
  <si>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</si>
  <si>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</si>
  <si>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</si>
  <si>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</si>
  <si>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</si>
  <si>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</si>
  <si>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</si>
  <si>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</si>
  <si>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</si>
  <si>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</si>
  <si>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</si>
  <si>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</si>
  <si>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</si>
  <si>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</si>
  <si>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</si>
  <si>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</si>
  <si>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</si>
  <si>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</si>
  <si>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</si>
  <si>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</si>
  <si>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</si>
  <si>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</si>
  <si>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</si>
  <si>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</si>
  <si>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</si>
  <si>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</si>
  <si>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</si>
  <si>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</si>
  <si>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</si>
  <si>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</si>
  <si>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</si>
  <si>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</si>
  <si>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</si>
  <si>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</si>
  <si>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</si>
  <si>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</si>
  <si>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</si>
  <si>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</si>
  <si>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</si>
  <si>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</si>
  <si>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</si>
  <si>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</si>
  <si>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</si>
  <si>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</si>
  <si>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</si>
  <si>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</si>
  <si>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</si>
  <si>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</si>
  <si>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</si>
  <si>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</si>
  <si>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</si>
  <si>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</si>
  <si>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</si>
  <si>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</si>
  <si>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</si>
  <si>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</si>
  <si>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RRt</t>
  </si>
  <si>
    <t>Tax</t>
  </si>
  <si>
    <t>Tax policy</t>
  </si>
  <si>
    <t>Capital allowances and tax losses</t>
  </si>
  <si>
    <t>Tax trigger and tax clawback</t>
  </si>
  <si>
    <t>Allocation to "General" pool</t>
  </si>
  <si>
    <t>Allocation to "Special Rate" pool</t>
  </si>
  <si>
    <t>Allocation to "Deferred Revenue" pool</t>
  </si>
  <si>
    <t>Allocation to "Structures and Buildings" pool</t>
  </si>
  <si>
    <t>Allocation to "Revenue" pool</t>
  </si>
  <si>
    <t>Allocation to "Non Qualifying" pool</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</si>
  <si>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</si>
  <si>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</si>
  <si>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</si>
  <si>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</si>
  <si>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</si>
  <si>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</si>
  <si>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</si>
  <si>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</si>
  <si>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</si>
  <si>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</si>
  <si>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</si>
  <si>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</si>
  <si>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</si>
  <si>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</si>
  <si>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</si>
  <si>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</si>
  <si>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</si>
  <si>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</si>
  <si>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</si>
  <si>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</si>
  <si>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</si>
  <si>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</si>
  <si>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</si>
  <si>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</si>
  <si>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</si>
  <si>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</si>
  <si>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</si>
  <si>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</si>
  <si>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</si>
  <si>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</si>
  <si>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</si>
  <si>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</si>
  <si>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</si>
  <si>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</si>
  <si>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</si>
  <si>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</si>
  <si>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</si>
  <si>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</si>
  <si>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</si>
  <si>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</si>
  <si>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</si>
  <si>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</si>
  <si>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</si>
  <si>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</si>
  <si>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</si>
  <si>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</si>
  <si>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</si>
  <si>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</si>
  <si>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</si>
  <si>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</si>
  <si>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</si>
  <si>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</si>
  <si>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</si>
  <si>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</si>
  <si>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</si>
  <si>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</si>
  <si>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</si>
  <si>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</si>
  <si>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</si>
  <si>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</si>
  <si>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</si>
  <si>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</si>
  <si>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</si>
  <si>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</si>
  <si>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</si>
  <si>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</si>
  <si>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</si>
  <si>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</si>
  <si>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</si>
  <si>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</si>
  <si>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</si>
  <si>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</si>
  <si>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</si>
  <si>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</si>
  <si>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</si>
  <si>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</si>
  <si>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</si>
  <si>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</si>
  <si>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</si>
  <si>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</si>
  <si>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</si>
  <si>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</si>
  <si>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</si>
  <si>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</si>
  <si>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</si>
  <si>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</si>
  <si>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</si>
  <si>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</si>
  <si>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</si>
  <si>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</si>
  <si>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</si>
  <si>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</si>
  <si>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</si>
  <si>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</si>
  <si>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</si>
  <si>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</si>
  <si>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</si>
  <si>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</si>
  <si>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</si>
  <si>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</si>
  <si>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</si>
  <si>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</si>
  <si>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</si>
  <si>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</si>
  <si>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</si>
  <si>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</si>
  <si>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</si>
  <si>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</si>
  <si>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</si>
  <si>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</si>
  <si>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</si>
  <si>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</si>
  <si>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</si>
  <si>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</si>
  <si>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</si>
  <si>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</si>
  <si>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</si>
  <si>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</si>
  <si>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</si>
  <si>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</si>
  <si>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</si>
  <si>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</si>
  <si>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</si>
  <si>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</si>
  <si>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</si>
  <si>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</si>
  <si>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</si>
  <si>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</si>
  <si>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</si>
  <si>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</si>
  <si>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</si>
  <si>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</si>
  <si>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</si>
  <si>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</si>
  <si>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</si>
  <si>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</si>
  <si>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</si>
  <si>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</si>
  <si>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</si>
  <si>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</si>
  <si>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</si>
  <si>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</si>
  <si>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</si>
  <si>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</si>
  <si>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</si>
  <si>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</si>
  <si>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</si>
  <si>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</si>
  <si>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</si>
  <si>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</si>
  <si>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</si>
  <si>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</si>
  <si>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</si>
  <si>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</si>
  <si>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</si>
  <si>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</si>
  <si>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</si>
  <si>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</si>
  <si>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</si>
  <si>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</si>
  <si>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</si>
  <si>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</si>
  <si>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</si>
  <si>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</si>
  <si>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</si>
  <si>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</si>
  <si>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</si>
  <si>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</si>
  <si>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</si>
  <si>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</si>
  <si>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</si>
  <si>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</si>
  <si>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</si>
  <si>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</si>
  <si>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</si>
  <si>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</si>
  <si>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</si>
  <si>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</si>
  <si>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</si>
  <si>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</si>
  <si>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</si>
  <si>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</si>
  <si>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</si>
  <si>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</si>
  <si>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</si>
  <si>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</si>
  <si>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</si>
  <si>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</si>
  <si>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</si>
  <si>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</si>
  <si>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</si>
  <si>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</si>
  <si>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</si>
  <si>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</si>
  <si>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</si>
  <si>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</si>
  <si>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</si>
  <si>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</si>
  <si>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</si>
  <si>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</si>
  <si>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</si>
  <si>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</si>
  <si>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</si>
  <si>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</si>
  <si>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</si>
  <si>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</si>
  <si>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</si>
  <si>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</si>
  <si>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</si>
  <si>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</si>
  <si>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</si>
  <si>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</si>
  <si>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</si>
  <si>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</si>
  <si>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</si>
  <si>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</si>
  <si>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</si>
  <si>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</si>
  <si>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</si>
  <si>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</si>
  <si>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</si>
  <si>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</si>
  <si>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</si>
  <si>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</si>
  <si>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</si>
  <si>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</si>
  <si>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</si>
  <si>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</si>
  <si>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</si>
  <si>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Slow pot expenditure</t>
  </si>
  <si>
    <t xml:space="preserve">RIIO-2 allocation 2 capitalisation </t>
  </si>
  <si>
    <t>Totex after capitalisation</t>
  </si>
  <si>
    <t>Calculated output capitalisation rate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</si>
  <si>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</si>
  <si>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</si>
  <si>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</si>
  <si>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</si>
  <si>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</si>
  <si>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</si>
  <si>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</si>
  <si>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</si>
  <si>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</si>
  <si>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</si>
  <si>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</si>
  <si>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</si>
  <si>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</si>
  <si>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</si>
  <si>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</si>
  <si>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</si>
  <si>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</si>
  <si>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</si>
  <si>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</si>
  <si>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</si>
  <si>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</si>
  <si>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</si>
  <si>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</si>
  <si>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</si>
  <si>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</si>
  <si>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</si>
  <si>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</si>
  <si>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</si>
  <si>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</si>
  <si>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</si>
  <si>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</si>
  <si>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</si>
  <si>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</si>
  <si>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</si>
  <si>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</si>
  <si>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</si>
  <si>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</si>
  <si>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</si>
  <si>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</si>
  <si>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</si>
  <si>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</si>
  <si>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</si>
  <si>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</si>
  <si>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</si>
  <si>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</si>
  <si>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</si>
  <si>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</si>
  <si>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</si>
  <si>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</si>
  <si>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</si>
  <si>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</si>
  <si>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</si>
  <si>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</si>
  <si>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</si>
  <si>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</si>
  <si>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</si>
  <si>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</si>
  <si>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</si>
  <si>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</si>
  <si>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</si>
  <si>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</si>
  <si>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</si>
  <si>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</si>
  <si>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</si>
  <si>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</si>
  <si>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</si>
  <si>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</si>
  <si>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</si>
  <si>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</si>
  <si>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</si>
  <si>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</si>
  <si>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</si>
  <si>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</si>
  <si>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</si>
  <si>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</si>
  <si>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</si>
  <si>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</si>
  <si>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</si>
  <si>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</si>
  <si>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</si>
  <si>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</si>
  <si>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</si>
  <si>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</si>
  <si>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</si>
  <si>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</si>
  <si>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</si>
  <si>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</si>
  <si>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</si>
  <si>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</si>
  <si>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</si>
  <si>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</si>
  <si>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</si>
  <si>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</si>
  <si>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</si>
  <si>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</si>
  <si>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</si>
  <si>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</si>
  <si>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</si>
  <si>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</si>
  <si>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</si>
  <si>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</si>
  <si>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</si>
  <si>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</si>
  <si>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</si>
  <si>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</si>
  <si>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</si>
  <si>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</si>
  <si>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</si>
  <si>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</si>
  <si>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</si>
  <si>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</si>
  <si>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</si>
  <si>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</si>
  <si>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</si>
  <si>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</si>
  <si>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</si>
  <si>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</si>
  <si>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</si>
  <si>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</si>
  <si>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</si>
  <si>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</si>
  <si>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</si>
  <si>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</si>
  <si>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</si>
  <si>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</si>
  <si>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</si>
  <si>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</si>
  <si>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</si>
  <si>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</si>
  <si>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</si>
  <si>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</si>
  <si>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</si>
  <si>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</si>
  <si>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</si>
  <si>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</si>
  <si>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</si>
  <si>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</si>
  <si>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</si>
  <si>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</si>
  <si>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</si>
  <si>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</si>
  <si>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</si>
  <si>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</si>
  <si>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</si>
  <si>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</si>
  <si>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</si>
  <si>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</si>
  <si>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</si>
  <si>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</si>
  <si>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</si>
  <si>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</si>
  <si>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</si>
  <si>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</si>
  <si>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</si>
  <si>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</si>
  <si>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</si>
  <si>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</si>
  <si>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</si>
  <si>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</si>
  <si>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</si>
  <si>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</si>
  <si>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</si>
  <si>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</si>
  <si>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</si>
  <si>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</si>
  <si>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</si>
  <si>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</si>
  <si>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</si>
  <si>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</si>
  <si>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</si>
  <si>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</si>
  <si>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</si>
  <si>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</si>
  <si>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</si>
  <si>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</si>
  <si>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</si>
  <si>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</si>
  <si>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</si>
  <si>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</si>
  <si>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</si>
  <si>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</si>
  <si>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</si>
  <si>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</si>
  <si>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</si>
  <si>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</si>
  <si>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</si>
  <si>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</si>
  <si>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</si>
  <si>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</si>
  <si>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</si>
  <si>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</si>
  <si>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</si>
  <si>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</si>
  <si>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</si>
  <si>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</si>
  <si>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</si>
  <si>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</si>
  <si>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</si>
  <si>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</si>
  <si>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</si>
  <si>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</si>
  <si>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</si>
  <si>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</si>
  <si>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</si>
  <si>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</si>
  <si>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</si>
  <si>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</si>
  <si>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</si>
  <si>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</si>
  <si>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</si>
  <si>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</si>
  <si>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</si>
  <si>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</si>
  <si>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</si>
  <si>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</si>
  <si>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</si>
  <si>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</si>
  <si>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</si>
  <si>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</si>
  <si>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</si>
  <si>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</si>
  <si>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</si>
  <si>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</si>
  <si>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</si>
  <si>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</si>
  <si>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</si>
  <si>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</si>
  <si>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</si>
  <si>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</si>
  <si>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</si>
  <si>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</si>
  <si>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</si>
  <si>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</si>
  <si>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</si>
  <si>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</si>
  <si>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</si>
  <si>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</si>
  <si>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</si>
  <si>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</si>
  <si>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</si>
  <si>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</si>
  <si>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</si>
  <si>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</si>
  <si>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</si>
  <si>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</si>
  <si>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</si>
  <si>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</si>
  <si>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</si>
  <si>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</si>
  <si>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</si>
  <si>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</si>
  <si>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</si>
  <si>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</si>
  <si>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</si>
  <si>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</si>
  <si>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</si>
  <si>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</si>
  <si>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</si>
  <si>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</si>
  <si>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</si>
  <si>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</si>
  <si>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</si>
  <si>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</si>
  <si>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</si>
  <si>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</si>
  <si>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</si>
  <si>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</si>
  <si>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</si>
  <si>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</si>
  <si>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</si>
  <si>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</si>
  <si>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</si>
  <si>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</si>
  <si>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</si>
  <si>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</si>
  <si>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</si>
  <si>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</si>
  <si>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</si>
  <si>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</si>
  <si>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</si>
  <si>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</si>
  <si>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</si>
  <si>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</si>
  <si>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</si>
  <si>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</si>
  <si>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</si>
  <si>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</si>
  <si>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</si>
  <si>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</si>
  <si>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</si>
  <si>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</si>
  <si>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</si>
  <si>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</si>
  <si>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</si>
  <si>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</si>
  <si>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</si>
  <si>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</si>
  <si>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</si>
  <si>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</si>
  <si>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</si>
  <si>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</si>
  <si>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</si>
  <si>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</si>
  <si>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</si>
  <si>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</si>
  <si>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</si>
  <si>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</si>
  <si>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</si>
  <si>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</si>
  <si>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</si>
  <si>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</si>
  <si>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</si>
  <si>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</si>
  <si>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</si>
  <si>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</si>
  <si>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</si>
  <si>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</si>
  <si>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</si>
  <si>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</si>
  <si>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</si>
  <si>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</si>
  <si>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</si>
  <si>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</si>
  <si>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</si>
  <si>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</si>
  <si>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</si>
  <si>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</si>
  <si>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</si>
  <si>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</si>
  <si>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</si>
  <si>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</si>
  <si>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</si>
  <si>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</si>
  <si>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</si>
  <si>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</si>
  <si>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</si>
  <si>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</si>
  <si>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</si>
  <si>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</si>
  <si>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</si>
  <si>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</si>
  <si>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</si>
  <si>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</si>
  <si>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</si>
  <si>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</si>
  <si>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</si>
  <si>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</si>
  <si>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</si>
  <si>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</si>
  <si>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</si>
  <si>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</si>
  <si>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</si>
  <si>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</si>
  <si>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</si>
  <si>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</si>
  <si>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</si>
  <si>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</si>
  <si>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</si>
  <si>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</si>
  <si>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</si>
  <si>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</si>
  <si>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</si>
  <si>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</si>
  <si>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</si>
  <si>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Recovered Revenue</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</si>
  <si>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</si>
  <si>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</si>
  <si>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</si>
  <si>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</si>
  <si>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</si>
  <si>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</si>
  <si>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</si>
  <si>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</si>
  <si>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</si>
  <si>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</si>
  <si>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</si>
  <si>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</si>
  <si>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</si>
  <si>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</si>
  <si>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</si>
  <si>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</si>
  <si>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</si>
  <si>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</si>
  <si>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</si>
  <si>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</si>
  <si>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</si>
  <si>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</si>
  <si>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</si>
  <si>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</si>
  <si>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</si>
  <si>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</si>
  <si>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</si>
  <si>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</si>
  <si>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</si>
  <si>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</si>
  <si>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</si>
  <si>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</si>
  <si>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</si>
  <si>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</si>
  <si>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</si>
  <si>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</si>
  <si>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</si>
  <si>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</si>
  <si>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</si>
  <si>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</si>
  <si>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</si>
  <si>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</si>
  <si>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</si>
  <si>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</si>
  <si>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</si>
  <si>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</si>
  <si>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</si>
  <si>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</si>
  <si>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</si>
  <si>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</si>
  <si>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</si>
  <si>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</si>
  <si>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</si>
  <si>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</si>
  <si>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</si>
  <si>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</si>
  <si>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</si>
  <si>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</si>
  <si>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</si>
  <si>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</si>
  <si>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</si>
  <si>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</si>
  <si>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</si>
  <si>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</si>
  <si>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</si>
  <si>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</si>
  <si>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</si>
  <si>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</si>
  <si>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</si>
  <si>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</si>
  <si>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</si>
  <si>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</si>
  <si>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</si>
  <si>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</si>
  <si>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</si>
  <si>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Other</t>
  </si>
  <si>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</si>
  <si>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</si>
  <si>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</si>
  <si>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</si>
  <si>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</si>
  <si>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</si>
  <si>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</si>
  <si>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</si>
  <si>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</si>
  <si>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</si>
  <si>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</si>
  <si>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</si>
  <si>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</si>
  <si>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</si>
  <si>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</si>
  <si>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</si>
  <si>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</si>
  <si>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</si>
  <si>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</si>
  <si>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</si>
  <si>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</si>
  <si>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</si>
  <si>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</si>
  <si>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</si>
  <si>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</si>
  <si>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</si>
  <si>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</si>
  <si>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</si>
  <si>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</si>
  <si>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</si>
  <si>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</si>
  <si>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</si>
  <si>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</si>
  <si>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</si>
  <si>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</si>
  <si>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</si>
  <si>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</si>
  <si>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</si>
  <si>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</si>
  <si>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</si>
  <si>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</si>
  <si>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</si>
  <si>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</si>
  <si>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</si>
  <si>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</si>
  <si>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</si>
  <si>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</si>
  <si>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</si>
  <si>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</si>
  <si>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</si>
  <si>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</si>
  <si>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</si>
  <si>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</si>
  <si>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</si>
  <si>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</si>
  <si>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</si>
  <si>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</si>
  <si>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</si>
  <si>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</si>
  <si>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</si>
  <si>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</si>
  <si>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</si>
  <si>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</si>
  <si>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</si>
  <si>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</si>
  <si>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</si>
  <si>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</si>
  <si>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</si>
  <si>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</si>
  <si>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</si>
  <si>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</si>
  <si>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</si>
  <si>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</si>
  <si>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</si>
  <si>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</si>
  <si>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</si>
  <si>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</si>
  <si>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</si>
  <si>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</si>
  <si>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</si>
  <si>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</si>
  <si>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</si>
  <si>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</si>
  <si>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</si>
  <si>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</si>
  <si>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Re-opener</t>
  </si>
  <si>
    <t>RPEs Don't Apply</t>
  </si>
  <si>
    <t>PCD</t>
  </si>
  <si>
    <t>RPEs Apply</t>
  </si>
  <si>
    <t>Volume driver</t>
  </si>
  <si>
    <t>UIOLI</t>
  </si>
  <si>
    <t>Network Innovation Allowance (NIA): cost multiplier</t>
  </si>
  <si>
    <t>Recovered Bad Debt (enter as a -ve)</t>
  </si>
  <si>
    <t>RIIO-1ARt</t>
  </si>
  <si>
    <t>RIIO-1 WACC</t>
  </si>
  <si>
    <t>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</si>
</sst>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1">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7">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4" fontId="5" fillId="0" borderId="0" applyFont="0" applyFill="0" applyBorder="0" applyAlignment="0" applyProtection="0"/>
    <xf numFmtId="164"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6" fontId="27" fillId="0" borderId="0" applyFont="0" applyFill="0" applyBorder="0" applyAlignment="0" applyProtection="0"/>
    <xf numFmtId="164"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5"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4"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4" fontId="5" fillId="0" borderId="0" applyFont="0" applyFill="0" applyBorder="0" applyAlignment="0" applyProtection="0"/>
    <xf numFmtId="164"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4" fontId="35" fillId="0" borderId="0" applyFont="0" applyFill="0" applyBorder="0" applyAlignment="0" applyProtection="0"/>
    <xf numFmtId="186" fontId="56" fillId="21" borderId="20" applyNumberFormat="0" applyProtection="0">
      <alignment horizontal="left" vertical="top" indent="1"/>
    </xf>
    <xf numFmtId="164" fontId="5" fillId="0" borderId="0" applyFont="0" applyFill="0" applyBorder="0" applyAlignment="0" applyProtection="0"/>
    <xf numFmtId="186" fontId="27" fillId="63" borderId="20" applyNumberFormat="0" applyProtection="0">
      <alignment horizontal="left" vertical="top" indent="1"/>
    </xf>
    <xf numFmtId="164"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4" fontId="54"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4" fontId="5" fillId="0" borderId="0" applyFont="0" applyFill="0" applyBorder="0" applyAlignment="0" applyProtection="0"/>
    <xf numFmtId="167"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4" fontId="5" fillId="90" borderId="0" applyBorder="0" applyAlignment="0" applyProtection="0"/>
    <xf numFmtId="164"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4"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4"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4"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4"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4"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4"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4"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4"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4" fontId="69" fillId="0" borderId="0" applyFont="0" applyFill="0" applyBorder="0" applyAlignment="0" applyProtection="0"/>
    <xf numFmtId="0" fontId="5" fillId="0" borderId="0"/>
    <xf numFmtId="0" fontId="5" fillId="0" borderId="0"/>
    <xf numFmtId="0" fontId="54" fillId="0" borderId="0"/>
    <xf numFmtId="164"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8" fontId="5" fillId="13" borderId="15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4"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4" fontId="5" fillId="0" borderId="0" applyFont="0" applyFill="0" applyBorder="0" applyAlignment="0" applyProtection="0"/>
    <xf numFmtId="186" fontId="56" fillId="14" borderId="142" applyNumberFormat="0" applyProtection="0">
      <alignment horizontal="left" vertical="top" indent="1"/>
    </xf>
    <xf numFmtId="164"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4"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4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4"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4"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4"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4"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4"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4"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4"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4" fontId="35" fillId="0" borderId="0" applyFont="0" applyFill="0" applyBorder="0" applyAlignment="0" applyProtection="0"/>
    <xf numFmtId="4" fontId="56" fillId="23"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4"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4"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4"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4"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4" fontId="5" fillId="0" borderId="0" applyFont="0" applyFill="0" applyBorder="0" applyAlignment="0" applyProtection="0"/>
    <xf numFmtId="164"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4"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151" applyFill="0"/>
    <xf numFmtId="164"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4" fontId="5" fillId="0" borderId="0" applyFont="0" applyFill="0" applyBorder="0" applyAlignment="0" applyProtection="0"/>
    <xf numFmtId="186" fontId="56" fillId="63" borderId="199" applyNumberFormat="0" applyProtection="0">
      <alignment horizontal="left" vertical="top" indent="1"/>
    </xf>
    <xf numFmtId="164"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4"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189"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4"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4"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4"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4" fontId="35" fillId="0" borderId="0" applyFont="0" applyFill="0" applyBorder="0" applyAlignment="0" applyProtection="0"/>
    <xf numFmtId="4" fontId="56" fillId="54" borderId="201" applyNumberFormat="0" applyProtection="0">
      <alignment horizontal="left" vertical="center" indent="1"/>
    </xf>
    <xf numFmtId="164" fontId="5" fillId="0" borderId="0" applyFont="0" applyFill="0" applyBorder="0" applyAlignment="0" applyProtection="0"/>
    <xf numFmtId="4" fontId="56" fillId="60" borderId="201" applyNumberFormat="0" applyProtection="0">
      <alignment horizontal="right" vertical="center"/>
    </xf>
    <xf numFmtId="164"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4"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4"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4"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4" fontId="5"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4"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4"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4"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4"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4"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4"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4"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4"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4"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4"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8">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4"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4" fontId="5" fillId="0" borderId="0" applyFont="0" applyFill="0" applyBorder="0" applyAlignment="0" applyProtection="0"/>
    <xf numFmtId="186" fontId="56" fillId="14" borderId="111" applyNumberFormat="0" applyProtection="0">
      <alignment horizontal="left" vertical="top" indent="1"/>
    </xf>
    <xf numFmtId="164"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4"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11"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4"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4"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4"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4"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4"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4"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4" fontId="35" fillId="0" borderId="0" applyFont="0" applyFill="0" applyBorder="0" applyAlignment="0" applyProtection="0"/>
    <xf numFmtId="4" fontId="56" fillId="23"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4"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4"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4"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4"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4"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99" applyFill="0"/>
    <xf numFmtId="164"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4" fontId="5" fillId="0" borderId="0" applyFont="0" applyFill="0" applyBorder="0" applyAlignment="0" applyProtection="0"/>
    <xf numFmtId="164"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4" fontId="5" fillId="0" borderId="0" applyFont="0" applyFill="0" applyBorder="0" applyAlignment="0" applyProtection="0"/>
    <xf numFmtId="164" fontId="34" fillId="0" borderId="0" applyFont="0" applyFill="0" applyBorder="0" applyAlignment="0" applyProtection="0"/>
    <xf numFmtId="186" fontId="27" fillId="21" borderId="216"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08" applyFill="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3" fillId="0" borderId="0"/>
    <xf numFmtId="9" fontId="3" fillId="0" borderId="0" applyFont="0" applyFill="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4"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4"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4"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4"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4"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4"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4" fontId="69"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4" fontId="5" fillId="0" borderId="0" applyFont="0" applyFill="0" applyBorder="0" applyAlignment="0" applyProtection="0"/>
    <xf numFmtId="186" fontId="56" fillId="14" borderId="232" applyNumberFormat="0" applyProtection="0">
      <alignment horizontal="left" vertical="top" indent="1"/>
    </xf>
    <xf numFmtId="164"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4"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3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4"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4"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4"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4"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4"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4"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4"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4" fontId="35" fillId="0" borderId="0" applyFont="0" applyFill="0" applyBorder="0" applyAlignment="0" applyProtection="0"/>
    <xf numFmtId="4" fontId="56" fillId="23"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4"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4"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4"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4"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6" fontId="42" fillId="44" borderId="23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4" fontId="5" fillId="0" borderId="0" applyFont="0" applyFill="0" applyBorder="0" applyAlignment="0" applyProtection="0"/>
    <xf numFmtId="186" fontId="56" fillId="63" borderId="261" applyNumberFormat="0" applyProtection="0">
      <alignment horizontal="left" vertical="top" indent="1"/>
    </xf>
    <xf numFmtId="164"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4"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25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4"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4"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4"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4" fontId="35" fillId="0" borderId="0" applyFont="0" applyFill="0" applyBorder="0" applyAlignment="0" applyProtection="0"/>
    <xf numFmtId="4" fontId="56" fillId="54" borderId="263" applyNumberFormat="0" applyProtection="0">
      <alignment horizontal="left" vertical="center" indent="1"/>
    </xf>
    <xf numFmtId="164" fontId="5" fillId="0" borderId="0" applyFont="0" applyFill="0" applyBorder="0" applyAlignment="0" applyProtection="0"/>
    <xf numFmtId="4" fontId="56" fillId="60" borderId="263" applyNumberFormat="0" applyProtection="0">
      <alignment horizontal="right" vertical="center"/>
    </xf>
    <xf numFmtId="164"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4"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4"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4"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4"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4"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4"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4"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4"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4"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4"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4"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197">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4"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4" fontId="5" fillId="0" borderId="0" applyFont="0" applyFill="0" applyBorder="0" applyAlignment="0" applyProtection="0"/>
    <xf numFmtId="186" fontId="56" fillId="14" borderId="222" applyNumberFormat="0" applyProtection="0">
      <alignment horizontal="left" vertical="top" indent="1"/>
    </xf>
    <xf numFmtId="164"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4"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2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4"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4"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4"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4"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4"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4"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4" fontId="35" fillId="0" borderId="0" applyFont="0" applyFill="0" applyBorder="0" applyAlignment="0" applyProtection="0"/>
    <xf numFmtId="4" fontId="56" fillId="23"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4"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4"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4"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4"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4"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21" applyFill="0"/>
    <xf numFmtId="164"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4"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4"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xf numFmtId="0" fontId="27" fillId="0" borderId="0"/>
  </cellStyleXfs>
  <cellXfs count="552">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4"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4"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4"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4" fontId="8" fillId="0" borderId="0" xfId="6" applyFont="1" applyFill="1" applyBorder="1" applyAlignment="1">
      <alignment vertical="center"/>
    </xf>
    <xf numFmtId="164" fontId="8" fillId="0" borderId="276" xfId="6" applyFont="1" applyFill="1" applyBorder="1" applyAlignment="1">
      <alignment vertical="center"/>
    </xf>
    <xf numFmtId="164"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4" fontId="0" fillId="0" borderId="0" xfId="6" applyFont="1" applyFill="1"/>
    <xf numFmtId="164"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4" fontId="10" fillId="2" borderId="0" xfId="0" applyNumberFormat="1" applyFont="1" applyFill="1" applyAlignment="1">
      <alignment vertical="top" wrapText="1"/>
    </xf>
  </cellXfs>
  <cellStyles count="55257">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29" xfId="55256" xr:uid="{5A51DF47-6C4C-4401-8B95-32B0D4FD676E}"/>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14" dropStyle="combo" dx="22" fmlaLink="UserInterface!$E$29" fmlaRange="$E$15:$E$28" sel="2" val="0"/>
</file>

<file path=xl/ctrlProps/ctrlProp2.xml><?xml version="1.0" encoding="utf-8"?>
<formControlPr xmlns="http://schemas.microsoft.com/office/spreadsheetml/2009/9/main" objectType="Drop" dropLines="14" dropStyle="combo" dx="22" fmlaLink="UserInterface!$E$29" fmlaRange="UserInterface!$E$15:$E$28" sel="2" val="0"/>
</file>

<file path=xl/ctrlProps/ctrlProp3.xml><?xml version="1.0" encoding="utf-8"?>
<formControlPr xmlns="http://schemas.microsoft.com/office/spreadsheetml/2009/9/main" objectType="Drop" dropLines="14" dropStyle="combo" dx="22" fmlaLink="UserInterface!$E$29" fmlaRange="UserInterface!$E$15:$E$28" sel="2" val="0"/>
</file>

<file path=xl/ctrlProps/ctrlProp4.xml><?xml version="1.0" encoding="utf-8"?>
<formControlPr xmlns="http://schemas.microsoft.com/office/spreadsheetml/2009/9/main" objectType="Drop" dropLines="14" dropStyle="combo" dx="22" fmlaLink="UserInterface!$E$29" fmlaRange="UserInterface!$E$15:$E$28" sel="2" val="0"/>
</file>

<file path=xl/ctrlProps/ctrlProp5.xml><?xml version="1.0" encoding="utf-8"?>
<formControlPr xmlns="http://schemas.microsoft.com/office/spreadsheetml/2009/9/main" objectType="Drop" dropLines="14" dropStyle="combo" dx="22" fmlaLink="UserInterface!$E$29" fmlaRange="UserInterface!$E$15:$E$28" sel="2" val="0"/>
</file>

<file path=xl/ctrlProps/ctrlProp6.xml><?xml version="1.0" encoding="utf-8"?>
<formControlPr xmlns="http://schemas.microsoft.com/office/spreadsheetml/2009/9/main" objectType="Drop" dropLines="14" dropStyle="combo" dx="22" fmlaLink="UserInterface!$E$29" fmlaRange="UserInterface!$E$15:$E$28" sel="2" val="0"/>
</file>

<file path=xl/ctrlProps/ctrlProp7.xml><?xml version="1.0" encoding="utf-8"?>
<formControlPr xmlns="http://schemas.microsoft.com/office/spreadsheetml/2009/9/main" objectType="Drop" dropLines="14" dropStyle="combo" dx="22" fmlaLink="UserInterface!$E$29" fmlaRange="UserInterface!$E$15:$E$28" sel="2" val="0"/>
</file>

<file path=xl/ctrlProps/ctrlProp8.xml><?xml version="1.0" encoding="utf-8"?>
<formControlPr xmlns="http://schemas.microsoft.com/office/spreadsheetml/2009/9/main" objectType="Drop" dropLines="14" dropStyle="combo" dx="22" fmlaLink="UserInterface!$E$29" fmlaRange="UserInterface!$E$15:$E$28" sel="2" val="0"/>
</file>

<file path=xl/ctrlProps/ctrlProp9.xml><?xml version="1.0" encoding="utf-8"?>
<formControlPr xmlns="http://schemas.microsoft.com/office/spreadsheetml/2009/9/main" objectType="Drop" dropLines="14" dropStyle="combo" dx="22" fmlaLink="UserInterface!$E$29" fmlaRange="UserInterface!$E$15:$E$28" sel="2" val="0"/>
</file>

<file path=xl/ctrlProps/ctrlProp10.xml><?xml version="1.0" encoding="utf-8"?>
<formControlPr xmlns="http://schemas.microsoft.com/office/spreadsheetml/2009/9/main" objectType="Drop" dropLines="14" dropStyle="combo" dx="22" fmlaLink="UserInterface!$E$29" fmlaRange="UserInterface!$E$15:$E$28" sel="2" val="0"/>
</file>

<file path=xl/ctrlProps/ctrlProp11.xml><?xml version="1.0" encoding="utf-8"?>
<formControlPr xmlns="http://schemas.microsoft.com/office/spreadsheetml/2009/9/main" objectType="Drop" dropLines="14" dropStyle="combo" dx="22" fmlaLink="UserInterface!$E$29" fmlaRange="UserInterface!$E$15:$E$28" sel="2" val="0"/>
</file>

<file path=xl/ctrlProps/ctrlProp12.xml><?xml version="1.0" encoding="utf-8"?>
<formControlPr xmlns="http://schemas.microsoft.com/office/spreadsheetml/2009/9/main" objectType="Drop" dropLines="14" dropStyle="combo" dx="22" fmlaLink="UserInterface!$E$29" fmlaRange="UserInterface!$E$15:$E$28" sel="2" val="0"/>
</file>

<file path=xl/ctrlProps/ctrlProp13.xml><?xml version="1.0" encoding="utf-8"?>
<formControlPr xmlns="http://schemas.microsoft.com/office/spreadsheetml/2009/9/main" objectType="Drop" dropLines="14" dropStyle="combo" dx="22" fmlaLink="UserInterface!$E$29" fmlaRange="UserInterface!$E$15:$E$28" sel="2" val="0"/>
</file>

<file path=xl/ctrlProps/ctrlProp14.xml><?xml version="1.0" encoding="utf-8"?>
<formControlPr xmlns="http://schemas.microsoft.com/office/spreadsheetml/2009/9/main" objectType="Drop" dropLines="14" dropStyle="combo" dx="22" fmlaLink="UserInterface!$E$29" fmlaRange="UserInterface!$E$15:$E$28" sel="2" val="0"/>
</file>

<file path=xl/ctrlProps/ctrlProp15.xml><?xml version="1.0" encoding="utf-8"?>
<formControlPr xmlns="http://schemas.microsoft.com/office/spreadsheetml/2009/9/main" objectType="Drop" dropLines="14" dropStyle="combo" dx="22" fmlaLink="UserInterface!$E$29" fmlaRange="UserInterface!$E$15:$E$28" sel="2" val="0"/>
</file>

<file path=xl/ctrlProps/ctrlProp16.xml><?xml version="1.0" encoding="utf-8"?>
<formControlPr xmlns="http://schemas.microsoft.com/office/spreadsheetml/2009/9/main" objectType="Drop" dropLines="14" dropStyle="combo" dx="22" fmlaLink="UserInterface!$E$29" fmlaRange="UserInterface!$E$15:$E$28" sel="2" val="0"/>
</file>

<file path=xl/ctrlProps/ctrlProp17.xml><?xml version="1.0" encoding="utf-8"?>
<formControlPr xmlns="http://schemas.microsoft.com/office/spreadsheetml/2009/9/main" objectType="Drop" dropLines="14" dropStyle="combo" dx="22" fmlaLink="UserInterface!$E$29" fmlaRange="UserInterface!$E$15:$E$28" sel="2" val="0"/>
</file>

<file path=xl/ctrlProps/ctrlProp18.xml><?xml version="1.0" encoding="utf-8"?>
<formControlPr xmlns="http://schemas.microsoft.com/office/spreadsheetml/2009/9/main" objectType="Drop" dropLines="14" dropStyle="combo" dx="22" fmlaLink="UserInterface!$E$29" fmlaRange="UserInterface!$E$15:$E$28" sel="2" val="0"/>
</file>

<file path=xl/ctrlProps/ctrlProp19.xml><?xml version="1.0" encoding="utf-8"?>
<formControlPr xmlns="http://schemas.microsoft.com/office/spreadsheetml/2009/9/main" objectType="Drop" dropLines="14" dropStyle="combo" dx="22" fmlaLink="UserInterface!$E$29" fmlaRange="UserInterface!$E$15:$E$28" sel="2" val="0"/>
</file>

<file path=xl/ctrlProps/ctrlProp20.xml><?xml version="1.0" encoding="utf-8"?>
<formControlPr xmlns="http://schemas.microsoft.com/office/spreadsheetml/2009/9/main" objectType="Drop" dropLines="14" dropStyle="combo" dx="22" fmlaLink="UserInterface!$E$29" fmlaRange="UserInterface!$E$15:$E$28" sel="2" val="0"/>
</file>

<file path=xl/ctrlProps/ctrlProp21.xml><?xml version="1.0" encoding="utf-8"?>
<formControlPr xmlns="http://schemas.microsoft.com/office/spreadsheetml/2009/9/main" objectType="Drop" dropLines="14" dropStyle="combo" dx="22" fmlaLink="UserInterface!$E$29" fmlaRange="UserInterface!$E$15:$E$28" sel="2" val="0"/>
</file>

<file path=xl/ctrlProps/ctrlProp22.xml><?xml version="1.0" encoding="utf-8"?>
<formControlPr xmlns="http://schemas.microsoft.com/office/spreadsheetml/2009/9/main" objectType="Drop" dropLines="14" dropStyle="combo" dx="22" fmlaLink="UserInterface!$E$29" fmlaRange="UserInterface!$E$15:$E$28" sel="2" val="0"/>
</file>

<file path=xl/ctrlProps/ctrlProp23.xml><?xml version="1.0" encoding="utf-8"?>
<formControlPr xmlns="http://schemas.microsoft.com/office/spreadsheetml/2009/9/main" objectType="Drop" dropLines="14" dropStyle="combo" dx="22" fmlaLink="UserInterface!$E$29" fmlaRange="UserInterface!$E$15:$E$28" sel="2" val="0"/>
</file>

<file path=xl/ctrlProps/ctrlProp24.xml><?xml version="1.0" encoding="utf-8"?>
<formControlPr xmlns="http://schemas.microsoft.com/office/spreadsheetml/2009/9/main" objectType="Drop" dropLines="14" dropStyle="combo" dx="22" fmlaLink="UserInterface!$E$29" fmlaRange="UserInterface!$E$15:$E$28" sel="2" val="0"/>
</file>

<file path=xl/ctrlProps/ctrlProp25.xml><?xml version="1.0" encoding="utf-8"?>
<formControlPr xmlns="http://schemas.microsoft.com/office/spreadsheetml/2009/9/main" objectType="Drop" dropLines="14" dropStyle="combo" dx="22" fmlaLink="UserInterface!$E$29" fmlaRange="UserInterface!$E$15:$E$28" sel="2" val="0"/>
</file>

<file path=xl/ctrlProps/ctrlProp26.xml><?xml version="1.0" encoding="utf-8"?>
<formControlPr xmlns="http://schemas.microsoft.com/office/spreadsheetml/2009/9/main" objectType="Drop" dropLines="14" dropStyle="combo" dx="22" fmlaLink="UserInterface!$E$29" fmlaRange="UserInterface!$E$15:$E$28" sel="2" val="0"/>
</file>

<file path=xl/ctrlProps/ctrlProp27.xml><?xml version="1.0" encoding="utf-8"?>
<formControlPr xmlns="http://schemas.microsoft.com/office/spreadsheetml/2009/9/main" objectType="Drop" dropLines="14" dropStyle="combo" dx="22" fmlaLink="UserInterface!$E$29" fmlaRange="UserInterface!$E$15:$E$28" sel="2" val="0"/>
</file>

<file path=xl/ctrlProps/ctrlProp28.xml><?xml version="1.0" encoding="utf-8"?>
<formControlPr xmlns="http://schemas.microsoft.com/office/spreadsheetml/2009/9/main" objectType="Drop" dropLines="14" dropStyle="combo" dx="22" fmlaLink="UserInterface!$E$29" fmlaRange="UserInterface!$E$15:$E$28"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179597</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9525</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180975</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161925</xdr:colOff>
          <xdr:row>0</xdr:row>
          <xdr:rowOff>161925</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8</xdr:col>
          <xdr:colOff>0</xdr:colOff>
          <xdr:row>0</xdr:row>
          <xdr:rowOff>161925</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3457575</xdr:colOff>
          <xdr:row>0</xdr:row>
          <xdr:rowOff>47625</xdr:rowOff>
        </xdr:from>
        <xdr:to>
          <xdr:col>4</xdr:col>
          <xdr:colOff>4391025</xdr:colOff>
          <xdr:row>0</xdr:row>
          <xdr:rowOff>180975</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1</xdr:row>
          <xdr:rowOff>9525</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heetViews>
  <sheetFormatPr defaultColWidth="0" defaultRowHeight="12.75" zeroHeight="1"/>
  <cols>
    <col min="1" max="4" width="1.5" customWidth="1"/>
    <col min="5" max="5" width="24.5" customWidth="1"/>
    <col min="6" max="6" width="2.5" customWidth="1"/>
    <col min="7" max="7" width="47" customWidth="1"/>
    <col min="8" max="8" width="2.375" customWidth="1"/>
    <col min="9" max="9" width="22.375" customWidth="1"/>
    <col min="10" max="10" width="2.75" customWidth="1"/>
    <col min="11" max="11" width="66" customWidth="1"/>
    <col min="12" max="12" width="1.75" customWidth="1"/>
    <col min="13" max="46" width="9.625" hidden="1" customWidth="1"/>
    <col min="47" max="47" width="3" hidden="1" customWidth="1"/>
  </cols>
  <sheetData>
    <row r="1" spans="1:12" ht="56.45" customHeight="1">
      <c r="A1" s="150"/>
      <c r="B1" s="150"/>
      <c r="C1" s="150"/>
      <c r="D1" s="150"/>
      <c r="E1" s="150"/>
      <c r="F1" s="150"/>
      <c r="G1" s="150"/>
      <c r="H1" s="150"/>
      <c r="I1" s="150"/>
      <c r="J1" s="150"/>
      <c r="K1" s="150"/>
      <c r="L1" s="150"/>
    </row>
    <row r="2" spans="1:12" ht="24.75">
      <c r="A2" s="156" t="s">
        <v>4</v>
      </c>
      <c r="B2" s="151"/>
      <c r="C2" s="151"/>
      <c r="D2" s="151"/>
      <c r="E2" s="151"/>
      <c r="F2" s="158"/>
      <c r="G2" s="158"/>
      <c r="H2" s="181"/>
      <c r="I2" s="181"/>
      <c r="J2" s="196"/>
      <c r="K2" s="196"/>
      <c r="L2" s="196"/>
    </row>
    <row r="3" spans="1:12" ht="19.5">
      <c r="A3" s="152"/>
      <c r="B3" s="152" t="s">
        <v>5</v>
      </c>
      <c r="C3" s="151"/>
      <c r="D3" s="151"/>
      <c r="E3" s="151"/>
      <c r="F3" s="158"/>
      <c r="G3" s="158"/>
      <c r="H3" s="181"/>
      <c r="I3" s="181"/>
      <c r="J3" s="181"/>
      <c r="K3" s="181"/>
      <c r="L3" s="181"/>
    </row>
    <row r="4" spans="1:12" ht="15">
      <c r="A4" s="151"/>
      <c r="B4" s="151"/>
      <c r="C4" s="153" t="s">
        <v>6</v>
      </c>
      <c r="D4" s="153"/>
      <c r="E4" s="153"/>
      <c r="F4" s="154"/>
      <c r="G4" s="158" t="str">
        <f ca="1">MID(CELL("filename"),SEARCH("[",CELL("filename"))+1,SEARCH("]",CELL("filename"))-SEARCH("[",CELL("filename"))-1)</f>
        <v>ED2 PCFM NPgN 20241223.xlsx</v>
      </c>
      <c r="H4" s="179"/>
      <c r="I4" s="179"/>
      <c r="J4" s="172"/>
      <c r="K4" s="172"/>
      <c r="L4" s="172"/>
    </row>
    <row r="5" spans="1:12" ht="15">
      <c r="A5" s="151"/>
      <c r="B5" s="151"/>
      <c r="C5" s="153" t="s">
        <v>7</v>
      </c>
      <c r="D5" s="155"/>
      <c r="E5" s="155"/>
      <c r="F5" s="155"/>
      <c r="G5" s="551">
        <v>45649</v>
      </c>
      <c r="H5" s="158"/>
      <c r="I5" s="169"/>
      <c r="J5" s="158"/>
      <c r="K5" s="168"/>
      <c r="L5" s="168"/>
    </row>
    <row r="6" spans="1:12" ht="15">
      <c r="A6" s="2"/>
      <c r="B6" s="2"/>
      <c r="C6" s="2"/>
      <c r="D6" s="2"/>
      <c r="E6" s="2"/>
      <c r="F6" s="2"/>
      <c r="G6" s="2"/>
      <c r="H6" s="2"/>
      <c r="I6" s="2"/>
      <c r="J6" s="2"/>
      <c r="K6" s="2"/>
      <c r="L6" s="2"/>
    </row>
    <row r="7" spans="1:12" ht="15">
      <c r="A7" s="159"/>
      <c r="B7" s="37" t="s">
        <v>8</v>
      </c>
      <c r="C7" s="37"/>
      <c r="D7" s="37"/>
      <c r="E7" s="37"/>
      <c r="F7" s="37"/>
      <c r="G7" s="37"/>
      <c r="H7" s="37"/>
      <c r="I7" s="37"/>
      <c r="J7" s="37"/>
      <c r="K7" s="37"/>
    </row>
    <row r="8" spans="1:12" ht="15">
      <c r="A8" s="159"/>
      <c r="B8" s="159"/>
      <c r="C8" s="159"/>
      <c r="D8" s="159"/>
      <c r="E8" s="21"/>
      <c r="F8" s="159"/>
      <c r="G8" s="160"/>
      <c r="H8" s="159"/>
      <c r="I8" s="159"/>
      <c r="J8" s="159"/>
      <c r="K8" s="159"/>
    </row>
    <row r="9" spans="1:12" ht="15">
      <c r="A9" s="159"/>
      <c r="B9" s="159"/>
      <c r="C9" s="159"/>
      <c r="D9" s="159"/>
      <c r="E9" s="160" t="s">
        <v>9</v>
      </c>
      <c r="F9" s="159"/>
      <c r="G9" s="160" t="s">
        <v>10</v>
      </c>
      <c r="H9" s="159"/>
      <c r="I9" s="172" t="s">
        <v>9</v>
      </c>
      <c r="J9" s="159"/>
      <c r="K9" s="159" t="s">
        <v>11</v>
      </c>
    </row>
    <row r="10" spans="1:12" ht="15">
      <c r="A10" s="159"/>
      <c r="B10" s="159"/>
      <c r="C10" s="159"/>
      <c r="D10" s="159"/>
      <c r="E10" s="8" t="s">
        <v>9</v>
      </c>
      <c r="F10" s="159"/>
      <c r="G10" s="160" t="s">
        <v>12</v>
      </c>
      <c r="H10" s="159"/>
      <c r="I10" s="175" t="s">
        <v>9</v>
      </c>
      <c r="J10" s="159"/>
      <c r="K10" s="159" t="s">
        <v>13</v>
      </c>
    </row>
    <row r="11" spans="1:12" ht="15.75" thickBot="1">
      <c r="A11" s="159"/>
      <c r="B11" s="159"/>
      <c r="C11" s="159"/>
      <c r="D11" s="159"/>
      <c r="E11" s="30" t="s">
        <v>9</v>
      </c>
      <c r="F11" s="159"/>
      <c r="G11" s="160" t="s">
        <v>14</v>
      </c>
      <c r="H11" s="159"/>
      <c r="I11" s="176" t="s">
        <v>9</v>
      </c>
      <c r="J11" s="159"/>
      <c r="K11" s="159" t="s">
        <v>15</v>
      </c>
    </row>
    <row r="12" spans="1:12" ht="15.75" thickBot="1">
      <c r="A12" s="159"/>
      <c r="B12" s="159"/>
      <c r="C12" s="159"/>
      <c r="D12" s="159"/>
      <c r="E12" s="161" t="s">
        <v>9</v>
      </c>
      <c r="F12" s="159"/>
      <c r="G12" s="160" t="s">
        <v>16</v>
      </c>
      <c r="H12" s="159"/>
      <c r="I12" s="177" t="s">
        <v>9</v>
      </c>
      <c r="J12" s="159"/>
      <c r="K12" s="159" t="s">
        <v>17</v>
      </c>
    </row>
    <row r="13" spans="1:12" ht="15">
      <c r="A13" s="159"/>
      <c r="B13" s="159"/>
      <c r="C13" s="159"/>
      <c r="D13" s="159"/>
      <c r="E13" s="159" t="s">
        <v>9</v>
      </c>
      <c r="F13" s="159"/>
      <c r="G13" s="159" t="s">
        <v>18</v>
      </c>
      <c r="H13" s="159"/>
      <c r="I13" s="178" t="s">
        <v>9</v>
      </c>
      <c r="J13" s="159"/>
      <c r="K13" s="159" t="s">
        <v>19</v>
      </c>
    </row>
    <row r="14" spans="1:12" ht="15">
      <c r="A14" s="159"/>
      <c r="B14" s="159"/>
      <c r="C14" s="159"/>
      <c r="D14" s="159"/>
      <c r="E14" s="159"/>
      <c r="F14" s="159"/>
      <c r="G14" s="159"/>
      <c r="H14" s="159"/>
      <c r="I14" s="12" t="s">
        <v>9</v>
      </c>
      <c r="J14" s="159"/>
      <c r="K14" s="159" t="s">
        <v>20</v>
      </c>
    </row>
    <row r="15" spans="1:12" ht="15">
      <c r="A15" s="159"/>
      <c r="B15" s="159"/>
      <c r="C15" s="159"/>
      <c r="D15" s="159"/>
      <c r="E15" s="159"/>
      <c r="F15" s="159"/>
      <c r="G15" s="159"/>
      <c r="H15" s="159"/>
      <c r="I15" s="174" t="s">
        <v>9</v>
      </c>
      <c r="J15" s="159"/>
      <c r="K15" s="159" t="s">
        <v>21</v>
      </c>
    </row>
    <row r="16" spans="1:12" ht="15">
      <c r="A16" s="159"/>
      <c r="B16" s="159"/>
      <c r="C16" s="159"/>
      <c r="D16" s="159"/>
      <c r="E16" s="159"/>
      <c r="F16" s="159"/>
      <c r="G16" s="159"/>
      <c r="H16" s="159"/>
      <c r="I16" s="292" t="s">
        <v>9</v>
      </c>
      <c r="J16" s="159"/>
      <c r="K16" s="159" t="s">
        <v>22</v>
      </c>
    </row>
    <row r="17" spans="1:11" ht="15">
      <c r="A17" s="159"/>
      <c r="B17" s="159"/>
      <c r="C17" s="159"/>
      <c r="D17" s="159"/>
      <c r="E17" s="159"/>
      <c r="F17" s="159"/>
      <c r="G17" s="159"/>
      <c r="H17" s="159"/>
    </row>
    <row r="18" spans="1:11" ht="15">
      <c r="A18" s="159"/>
      <c r="B18" s="159"/>
      <c r="C18" s="159"/>
      <c r="D18" s="159"/>
      <c r="E18" s="159"/>
      <c r="F18" s="159"/>
      <c r="G18" s="159"/>
      <c r="H18" s="159"/>
      <c r="I18" s="159"/>
      <c r="J18" s="159"/>
      <c r="K18" s="159"/>
    </row>
    <row r="19" spans="1:11" ht="15">
      <c r="A19" s="159"/>
      <c r="B19" s="37" t="s">
        <v>23</v>
      </c>
      <c r="C19" s="37"/>
      <c r="D19" s="37"/>
      <c r="E19" s="37"/>
      <c r="F19" s="37"/>
      <c r="G19" s="37"/>
      <c r="H19" s="37"/>
      <c r="I19" s="37"/>
      <c r="J19" s="37"/>
      <c r="K19" s="37"/>
    </row>
    <row r="20" spans="1:11" ht="15">
      <c r="A20" s="159"/>
      <c r="B20" s="159"/>
      <c r="C20" s="159"/>
      <c r="D20" s="159"/>
      <c r="E20" s="21"/>
      <c r="F20" s="159"/>
      <c r="G20" s="160"/>
      <c r="H20" s="159"/>
      <c r="I20" s="159"/>
      <c r="J20" s="159"/>
      <c r="K20" s="159"/>
    </row>
    <row r="21" spans="1:11" ht="15.75" thickBot="1">
      <c r="A21" s="159"/>
      <c r="B21" s="159"/>
      <c r="C21" s="159"/>
      <c r="D21" s="159"/>
      <c r="E21" s="159" t="s">
        <v>24</v>
      </c>
      <c r="F21" s="159"/>
      <c r="G21" s="159"/>
      <c r="H21" s="159"/>
      <c r="I21" s="159" t="s">
        <v>25</v>
      </c>
      <c r="J21" s="159"/>
      <c r="K21" s="160"/>
    </row>
    <row r="22" spans="1:11" ht="16.5" thickTop="1" thickBot="1">
      <c r="A22" s="159"/>
      <c r="B22" s="159"/>
      <c r="C22" s="159"/>
      <c r="D22" s="159"/>
      <c r="E22" s="162" t="s">
        <v>26</v>
      </c>
      <c r="F22" s="173"/>
      <c r="G22" s="163" t="s">
        <v>27</v>
      </c>
      <c r="H22" s="159"/>
      <c r="I22" s="162" t="s">
        <v>28</v>
      </c>
      <c r="J22" s="167"/>
      <c r="K22" s="163"/>
    </row>
    <row r="23" spans="1:11" ht="16.5" thickTop="1" thickBot="1">
      <c r="A23" s="159"/>
      <c r="B23" s="159"/>
      <c r="C23" s="159"/>
      <c r="D23" s="159"/>
      <c r="E23" s="162" t="s">
        <v>29</v>
      </c>
      <c r="F23" s="173"/>
      <c r="G23" s="163" t="s">
        <v>30</v>
      </c>
      <c r="H23" s="159"/>
      <c r="I23" s="162" t="s">
        <v>31</v>
      </c>
      <c r="J23" s="167"/>
      <c r="K23" s="163"/>
    </row>
    <row r="24" spans="1:11" ht="16.5" thickTop="1" thickBot="1">
      <c r="A24" s="159"/>
      <c r="B24" s="159"/>
      <c r="C24" s="159"/>
      <c r="D24" s="159"/>
      <c r="E24" s="162" t="s">
        <v>32</v>
      </c>
      <c r="F24" s="173"/>
      <c r="G24" s="163" t="s">
        <v>33</v>
      </c>
      <c r="H24" s="159"/>
      <c r="I24" s="162" t="s">
        <v>34</v>
      </c>
      <c r="J24" s="167"/>
      <c r="K24" s="163"/>
    </row>
    <row r="25" spans="1:11" ht="16.5" thickTop="1" thickBot="1">
      <c r="A25" s="159"/>
      <c r="B25" s="159"/>
      <c r="C25" s="159"/>
      <c r="D25" s="159"/>
      <c r="E25" s="164"/>
      <c r="F25" s="164"/>
      <c r="G25" s="163"/>
      <c r="H25" s="159"/>
      <c r="I25" s="162" t="s">
        <v>35</v>
      </c>
      <c r="J25" s="167"/>
      <c r="K25" s="163"/>
    </row>
    <row r="26" spans="1:11" ht="16.5" thickTop="1" thickBot="1">
      <c r="A26" s="159"/>
      <c r="B26" s="159"/>
      <c r="C26" s="159"/>
      <c r="D26" s="159"/>
      <c r="E26" s="159" t="s">
        <v>36</v>
      </c>
      <c r="F26" s="159"/>
      <c r="G26" s="160"/>
      <c r="H26" s="159"/>
      <c r="I26" s="162" t="s">
        <v>37</v>
      </c>
      <c r="J26" s="167"/>
      <c r="K26" s="163"/>
    </row>
    <row r="27" spans="1:11" ht="16.5" thickTop="1" thickBot="1">
      <c r="A27" s="159"/>
      <c r="B27" s="159"/>
      <c r="C27" s="159"/>
      <c r="D27" s="159"/>
      <c r="E27" s="162" t="s">
        <v>14</v>
      </c>
      <c r="F27" s="167"/>
      <c r="G27" s="163" t="s">
        <v>38</v>
      </c>
      <c r="H27" s="159"/>
      <c r="I27" s="162" t="s">
        <v>39</v>
      </c>
      <c r="J27" s="167"/>
      <c r="K27" s="163"/>
    </row>
    <row r="28" spans="1:11" ht="16.5" thickTop="1" thickBot="1">
      <c r="A28" s="159"/>
      <c r="B28" s="159"/>
      <c r="C28" s="159"/>
      <c r="D28" s="159"/>
      <c r="E28" s="162" t="s">
        <v>40</v>
      </c>
      <c r="F28" s="167"/>
      <c r="G28" s="163" t="s">
        <v>41</v>
      </c>
      <c r="H28" s="159"/>
      <c r="I28" s="162" t="s">
        <v>42</v>
      </c>
      <c r="J28" s="167"/>
      <c r="K28" s="163"/>
    </row>
    <row r="29" spans="1:11" ht="16.5" thickTop="1" thickBot="1">
      <c r="A29" s="159"/>
      <c r="B29" s="159"/>
      <c r="C29" s="159"/>
      <c r="D29" s="159"/>
      <c r="E29" s="162" t="s">
        <v>43</v>
      </c>
      <c r="F29" s="167"/>
      <c r="G29" s="163" t="s">
        <v>44</v>
      </c>
      <c r="H29" s="159"/>
      <c r="I29" s="162" t="s">
        <v>45</v>
      </c>
      <c r="J29" s="167"/>
      <c r="K29" s="163"/>
    </row>
    <row r="30" spans="1:11" ht="16.5" thickTop="1" thickBot="1">
      <c r="A30" s="159"/>
      <c r="B30" s="159"/>
      <c r="C30" s="159"/>
      <c r="D30" s="159"/>
      <c r="E30" s="159"/>
      <c r="F30" s="159"/>
      <c r="G30" s="160"/>
      <c r="H30" s="159"/>
      <c r="I30" s="162" t="s">
        <v>46</v>
      </c>
      <c r="J30" s="167"/>
      <c r="K30" s="163"/>
    </row>
    <row r="31" spans="1:11" ht="16.5" thickTop="1" thickBot="1">
      <c r="E31" s="159" t="s">
        <v>47</v>
      </c>
      <c r="F31" s="159"/>
      <c r="G31" s="159"/>
      <c r="I31" s="162" t="s">
        <v>48</v>
      </c>
      <c r="J31" s="167"/>
      <c r="K31" s="159"/>
    </row>
    <row r="32" spans="1:11" ht="16.5" thickTop="1" thickBot="1">
      <c r="E32" s="162" t="s">
        <v>49</v>
      </c>
      <c r="F32" s="332"/>
      <c r="G32" s="163" t="s">
        <v>50</v>
      </c>
      <c r="I32" s="162" t="s">
        <v>51</v>
      </c>
      <c r="J32" s="167"/>
      <c r="K32" s="159"/>
    </row>
    <row r="33" spans="1:11" ht="16.5" thickTop="1" thickBot="1">
      <c r="A33" s="159"/>
      <c r="B33" s="159"/>
      <c r="C33" s="159"/>
      <c r="D33" s="159"/>
      <c r="E33" s="162" t="s">
        <v>52</v>
      </c>
      <c r="F33" s="332"/>
      <c r="G33" s="163" t="s">
        <v>53</v>
      </c>
      <c r="H33" s="159"/>
      <c r="I33" s="162" t="s">
        <v>54</v>
      </c>
      <c r="J33" s="167"/>
      <c r="K33" s="159"/>
    </row>
    <row r="34" spans="1:11" ht="16.5" thickTop="1" thickBot="1">
      <c r="A34" s="159"/>
      <c r="B34" s="159"/>
      <c r="C34" s="159"/>
      <c r="D34" s="159"/>
      <c r="E34" s="162" t="s">
        <v>55</v>
      </c>
      <c r="F34" s="332"/>
      <c r="G34" s="163" t="s">
        <v>56</v>
      </c>
      <c r="H34" s="159"/>
      <c r="I34" s="162" t="s">
        <v>57</v>
      </c>
      <c r="J34" s="167"/>
      <c r="K34" s="159"/>
    </row>
    <row r="35" spans="1:11" ht="16.5" thickTop="1" thickBot="1">
      <c r="A35" s="159"/>
      <c r="B35" s="159"/>
      <c r="C35" s="159"/>
      <c r="D35" s="159"/>
      <c r="E35" s="162" t="s">
        <v>58</v>
      </c>
      <c r="F35" s="332"/>
      <c r="G35" s="159" t="s">
        <v>59</v>
      </c>
      <c r="H35" s="159"/>
      <c r="I35" s="162" t="s">
        <v>60</v>
      </c>
      <c r="J35" s="167"/>
      <c r="K35" s="159"/>
    </row>
    <row r="36" spans="1:11" ht="15.75" thickBot="1">
      <c r="A36" s="159"/>
      <c r="B36" s="159"/>
      <c r="C36" s="159"/>
      <c r="D36" s="159"/>
      <c r="E36" s="162" t="s">
        <v>61</v>
      </c>
      <c r="F36" s="332"/>
      <c r="G36" s="163" t="s">
        <v>62</v>
      </c>
      <c r="H36" s="159"/>
      <c r="K36" s="159"/>
    </row>
    <row r="37" spans="1:11" ht="15.75" thickBot="1">
      <c r="A37" s="159"/>
      <c r="B37" s="159"/>
      <c r="C37" s="159"/>
      <c r="D37" s="159"/>
      <c r="E37" s="162" t="s">
        <v>63</v>
      </c>
      <c r="F37" s="332"/>
      <c r="G37" s="163" t="s">
        <v>64</v>
      </c>
      <c r="H37" s="159"/>
    </row>
    <row r="38" spans="1:11" ht="15.75" thickBot="1">
      <c r="A38" s="159"/>
      <c r="B38" s="159"/>
      <c r="C38" s="159"/>
      <c r="D38" s="159"/>
      <c r="E38" s="162" t="s">
        <v>65</v>
      </c>
      <c r="F38" s="332"/>
      <c r="G38" s="163" t="s">
        <v>66</v>
      </c>
      <c r="H38" s="159"/>
    </row>
    <row r="39" spans="1:11" ht="15.75" thickBot="1">
      <c r="A39" s="159"/>
      <c r="B39" s="159"/>
      <c r="C39" s="159"/>
      <c r="D39" s="159"/>
      <c r="E39" s="162" t="s">
        <v>67</v>
      </c>
      <c r="F39" s="332"/>
      <c r="G39" s="163" t="s">
        <v>68</v>
      </c>
      <c r="H39" s="159"/>
    </row>
    <row r="40" spans="1:11" ht="15.75" thickBot="1">
      <c r="A40" s="159"/>
      <c r="B40" s="159"/>
      <c r="C40" s="159"/>
      <c r="D40" s="159"/>
      <c r="E40" s="162" t="s">
        <v>69</v>
      </c>
      <c r="F40" s="332"/>
      <c r="G40" s="163" t="s">
        <v>70</v>
      </c>
      <c r="H40" s="159"/>
      <c r="I40" s="164"/>
      <c r="J40" s="159"/>
      <c r="K40" s="159"/>
    </row>
    <row r="41" spans="1:11" ht="15">
      <c r="A41" s="159"/>
      <c r="B41" s="159"/>
      <c r="C41" s="159"/>
      <c r="D41" s="159"/>
      <c r="H41" s="159"/>
    </row>
    <row r="42" spans="1:11" ht="15.75" thickBot="1">
      <c r="A42" s="159"/>
      <c r="B42" s="159"/>
      <c r="C42" s="159"/>
      <c r="D42" s="159"/>
      <c r="E42" s="159" t="s">
        <v>71</v>
      </c>
      <c r="F42" s="159"/>
      <c r="G42" s="159"/>
      <c r="H42" s="159"/>
    </row>
    <row r="43" spans="1:11" ht="16.5" thickTop="1" thickBot="1">
      <c r="A43" s="159"/>
      <c r="B43" s="159"/>
      <c r="C43" s="159"/>
      <c r="D43" s="159"/>
      <c r="E43" s="164" t="s">
        <v>72</v>
      </c>
      <c r="F43" s="167"/>
      <c r="G43" s="159" t="s">
        <v>73</v>
      </c>
      <c r="H43" s="159"/>
    </row>
    <row r="44" spans="1:11" ht="16.5" thickTop="1" thickBot="1">
      <c r="A44" s="159"/>
      <c r="B44" s="159"/>
      <c r="C44" s="159"/>
      <c r="D44" s="159"/>
      <c r="E44" s="164" t="s">
        <v>74</v>
      </c>
      <c r="F44" s="167"/>
      <c r="G44" s="159" t="s">
        <v>75</v>
      </c>
      <c r="H44" s="159"/>
    </row>
    <row r="45" spans="1:11" ht="15.75" thickTop="1">
      <c r="A45" s="159"/>
      <c r="B45" s="159"/>
      <c r="C45" s="159"/>
      <c r="D45" s="159"/>
      <c r="H45" s="159"/>
    </row>
    <row r="46" spans="1:11" ht="15.75" thickBot="1">
      <c r="A46" s="159"/>
      <c r="B46" s="159"/>
      <c r="C46" s="159"/>
      <c r="D46" s="159"/>
      <c r="E46" s="159" t="s">
        <v>76</v>
      </c>
      <c r="F46" s="2"/>
      <c r="G46" s="2"/>
      <c r="H46" s="2"/>
    </row>
    <row r="47" spans="1:11" ht="15.75" thickBot="1">
      <c r="A47" s="159"/>
      <c r="B47" s="159"/>
      <c r="C47" s="159"/>
      <c r="D47" s="159"/>
      <c r="E47" s="164" t="s">
        <v>77</v>
      </c>
      <c r="F47" s="173"/>
      <c r="G47" s="163" t="s">
        <v>78</v>
      </c>
      <c r="H47" s="2"/>
    </row>
    <row r="48" spans="1:11" ht="15">
      <c r="A48" s="159"/>
      <c r="B48" s="159"/>
      <c r="C48" s="159"/>
      <c r="D48" s="159"/>
      <c r="H48" s="2"/>
    </row>
    <row r="49" spans="1:12" ht="15">
      <c r="A49" s="159"/>
      <c r="B49" s="159"/>
      <c r="C49" s="159"/>
      <c r="D49" s="159"/>
      <c r="H49" s="2"/>
      <c r="I49" s="164"/>
      <c r="J49" s="159"/>
      <c r="K49" s="163"/>
      <c r="L49" s="2"/>
    </row>
    <row r="50" spans="1:12" ht="15">
      <c r="A50" s="159"/>
      <c r="B50" s="37" t="s">
        <v>79</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75" zeroHeight="1"/>
  <cols>
    <col min="1" max="4" width="1.5" customWidth="1"/>
    <col min="5" max="5" width="26.5" customWidth="1"/>
    <col min="6" max="21" width="9.375" customWidth="1"/>
    <col min="22" max="23" width="9.625" customWidth="1"/>
    <col min="24" max="46" width="9.625" hidden="1" customWidth="1"/>
    <col min="47" max="47" width="3" hidden="1" customWidth="1"/>
    <col min="48" max="16384" width="9" hidden="1"/>
  </cols>
  <sheetData>
    <row r="1" spans="1:23" ht="19.5">
      <c r="A1" s="195" t="s">
        <v>29</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5">
      <c r="A3" s="2"/>
      <c r="B3" s="22" t="s">
        <v>30</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5">
      <c r="A5" s="2"/>
      <c r="B5" s="2"/>
      <c r="C5" s="141"/>
      <c r="D5" s="2" t="s">
        <v>80</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5.75" thickBot="1">
      <c r="A7" s="2"/>
      <c r="B7" s="2"/>
      <c r="C7" s="2"/>
      <c r="D7" s="34" t="s">
        <v>81</v>
      </c>
      <c r="E7" s="82"/>
      <c r="F7" s="524">
        <v>2021</v>
      </c>
      <c r="G7" s="82"/>
      <c r="H7" s="2"/>
      <c r="I7" s="82"/>
      <c r="J7" s="82"/>
      <c r="K7" s="34"/>
      <c r="L7" s="34"/>
      <c r="N7" s="82"/>
      <c r="O7" s="34"/>
      <c r="P7" s="34"/>
    </row>
    <row r="8" spans="1:23" ht="12" customHeight="1" thickBot="1">
      <c r="A8" s="2"/>
      <c r="B8" s="2"/>
      <c r="C8" s="2"/>
      <c r="D8" s="82" t="s">
        <v>82</v>
      </c>
      <c r="E8" s="82"/>
      <c r="F8" s="343" t="str">
        <f>Checks!I6</f>
        <v>OK</v>
      </c>
      <c r="G8" s="82"/>
      <c r="H8" s="2"/>
      <c r="I8" s="82"/>
      <c r="J8" s="82"/>
      <c r="K8" s="2"/>
      <c r="L8" s="2"/>
      <c r="N8" s="82"/>
      <c r="O8" s="2"/>
      <c r="P8" s="2"/>
    </row>
    <row r="9" spans="1:23" ht="15">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5">
      <c r="A11" s="82"/>
      <c r="B11" s="82"/>
      <c r="C11" s="82"/>
      <c r="D11" s="82"/>
      <c r="E11" s="82"/>
      <c r="F11" s="82"/>
      <c r="G11" s="82"/>
      <c r="H11" s="82"/>
      <c r="I11" s="82"/>
      <c r="J11" s="82"/>
      <c r="K11" s="82"/>
      <c r="L11" s="82"/>
      <c r="M11" s="82"/>
      <c r="N11" s="82"/>
      <c r="O11" s="82"/>
      <c r="P11" s="82"/>
      <c r="Q11" s="82"/>
      <c r="R11" s="82"/>
      <c r="S11" s="82"/>
      <c r="T11" s="82"/>
      <c r="U11" s="82"/>
      <c r="V11" s="82"/>
      <c r="W11" s="82"/>
    </row>
    <row r="12" spans="1:23" ht="15">
      <c r="A12" s="2"/>
      <c r="B12" s="22" t="s">
        <v>83</v>
      </c>
      <c r="C12" s="22"/>
      <c r="D12" s="22"/>
      <c r="E12" s="22"/>
      <c r="F12" s="22"/>
      <c r="G12" s="22"/>
      <c r="H12" s="22"/>
      <c r="I12" s="22"/>
      <c r="J12" s="22"/>
      <c r="K12" s="22"/>
      <c r="L12" s="22"/>
      <c r="M12" s="22"/>
      <c r="N12" s="22"/>
      <c r="O12" s="22"/>
      <c r="P12" s="22"/>
      <c r="Q12" s="22"/>
      <c r="R12" s="22"/>
      <c r="S12" s="22"/>
      <c r="T12" s="22"/>
      <c r="U12" s="22"/>
      <c r="V12" s="22"/>
      <c r="W12" s="22"/>
    </row>
    <row r="13" spans="1:23" ht="15">
      <c r="A13" s="82"/>
      <c r="B13" s="82"/>
      <c r="C13" s="82"/>
      <c r="D13" s="82"/>
      <c r="E13" s="82"/>
      <c r="F13" s="82"/>
      <c r="H13" s="82"/>
      <c r="I13" s="82"/>
      <c r="J13" s="82"/>
      <c r="K13" s="82"/>
      <c r="L13" s="82"/>
      <c r="M13" s="82"/>
      <c r="N13" s="82"/>
      <c r="O13" s="82"/>
      <c r="P13" s="82"/>
      <c r="Q13" s="82"/>
      <c r="R13" s="82"/>
      <c r="S13" s="82"/>
      <c r="T13" s="82"/>
      <c r="U13" s="82"/>
      <c r="V13" s="82"/>
      <c r="W13" s="82"/>
    </row>
    <row r="14" spans="1:23" ht="15">
      <c r="A14" s="82"/>
      <c r="B14" s="82"/>
      <c r="C14" s="82"/>
      <c r="D14" s="82"/>
      <c r="E14" s="182" t="s">
        <v>84</v>
      </c>
      <c r="H14" s="82"/>
      <c r="I14" s="82"/>
      <c r="J14" s="82"/>
      <c r="K14" s="82"/>
      <c r="L14" s="82"/>
      <c r="M14" s="82"/>
      <c r="N14" s="82"/>
      <c r="O14" s="82"/>
      <c r="P14" s="82"/>
      <c r="Q14" s="82"/>
      <c r="R14" s="82"/>
      <c r="S14" s="82"/>
      <c r="T14" s="82"/>
      <c r="U14" s="82"/>
      <c r="V14" s="82"/>
      <c r="W14" s="82"/>
    </row>
    <row r="15" spans="1:23" ht="15">
      <c r="A15" s="82"/>
      <c r="B15" s="82"/>
      <c r="C15" s="82"/>
      <c r="D15" s="82"/>
      <c r="E15" s="381" t="s">
        <v>28</v>
      </c>
      <c r="H15" s="82"/>
      <c r="I15" s="82"/>
      <c r="J15" s="82"/>
      <c r="K15" s="82"/>
      <c r="L15" s="82"/>
      <c r="M15" s="82"/>
      <c r="N15" s="82"/>
      <c r="O15" s="82"/>
      <c r="P15" s="82"/>
      <c r="Q15" s="82"/>
      <c r="R15" s="82"/>
      <c r="S15" s="82"/>
      <c r="T15" s="82"/>
      <c r="U15" s="82"/>
      <c r="V15" s="82"/>
      <c r="W15" s="82"/>
    </row>
    <row r="16" spans="1:23" ht="15">
      <c r="A16" s="82"/>
      <c r="B16" s="82"/>
      <c r="C16" s="82"/>
      <c r="D16" s="82"/>
      <c r="E16" s="199" t="s">
        <v>31</v>
      </c>
      <c r="H16" s="82"/>
      <c r="I16" s="82"/>
      <c r="J16" s="82"/>
      <c r="K16" s="82"/>
      <c r="L16" s="82"/>
      <c r="M16" s="82"/>
      <c r="N16" s="82"/>
      <c r="O16" s="82"/>
      <c r="P16" s="82"/>
      <c r="Q16" s="82"/>
      <c r="R16" s="82"/>
      <c r="S16" s="82"/>
      <c r="T16" s="82"/>
      <c r="U16" s="82"/>
      <c r="V16" s="82"/>
      <c r="W16" s="82"/>
    </row>
    <row r="17" spans="1:23" ht="15">
      <c r="A17" s="82"/>
      <c r="B17" s="82"/>
      <c r="C17" s="82"/>
      <c r="D17" s="82"/>
      <c r="E17" s="199" t="s">
        <v>34</v>
      </c>
      <c r="H17" s="82"/>
      <c r="I17" s="82"/>
      <c r="J17" s="82"/>
      <c r="K17" s="82"/>
      <c r="L17" s="82"/>
      <c r="M17" s="82"/>
      <c r="N17" s="82"/>
      <c r="O17" s="82"/>
      <c r="P17" s="82"/>
      <c r="Q17" s="82"/>
      <c r="R17" s="82"/>
      <c r="S17" s="82"/>
      <c r="T17" s="82"/>
      <c r="U17" s="82"/>
      <c r="V17" s="82"/>
      <c r="W17" s="82"/>
    </row>
    <row r="18" spans="1:23" ht="15">
      <c r="A18" s="82"/>
      <c r="B18" s="82"/>
      <c r="C18" s="82"/>
      <c r="D18" s="82"/>
      <c r="E18" s="199" t="s">
        <v>35</v>
      </c>
      <c r="H18" s="82"/>
      <c r="I18" s="82"/>
      <c r="J18" s="82"/>
      <c r="K18" s="82"/>
      <c r="L18" s="82"/>
      <c r="M18" s="82"/>
      <c r="N18" s="82"/>
      <c r="O18" s="82"/>
      <c r="P18" s="82"/>
      <c r="Q18" s="82"/>
      <c r="R18" s="82"/>
      <c r="S18" s="82"/>
      <c r="T18" s="82"/>
      <c r="U18" s="82"/>
      <c r="V18" s="82"/>
      <c r="W18" s="82"/>
    </row>
    <row r="19" spans="1:23" ht="15">
      <c r="A19" s="82"/>
      <c r="B19" s="82"/>
      <c r="C19" s="82"/>
      <c r="D19" s="82"/>
      <c r="E19" s="199" t="s">
        <v>37</v>
      </c>
      <c r="H19" s="82"/>
      <c r="I19" s="82"/>
      <c r="J19" s="82"/>
      <c r="K19" s="82"/>
      <c r="L19" s="82"/>
      <c r="M19" s="82"/>
      <c r="N19" s="82"/>
      <c r="O19" s="82"/>
      <c r="P19" s="82"/>
      <c r="Q19" s="82"/>
      <c r="R19" s="82"/>
      <c r="S19" s="82"/>
      <c r="T19" s="82"/>
      <c r="U19" s="82"/>
      <c r="V19" s="82"/>
      <c r="W19" s="82"/>
    </row>
    <row r="20" spans="1:23" ht="15">
      <c r="A20" s="82"/>
      <c r="B20" s="82"/>
      <c r="C20" s="82"/>
      <c r="D20" s="82"/>
      <c r="E20" s="199" t="s">
        <v>39</v>
      </c>
      <c r="H20" s="82"/>
      <c r="I20" s="82"/>
      <c r="J20" s="82"/>
      <c r="K20" s="82"/>
      <c r="L20" s="82"/>
      <c r="M20" s="82"/>
      <c r="N20" s="82"/>
      <c r="O20" s="82"/>
      <c r="P20" s="82"/>
      <c r="Q20" s="82"/>
      <c r="R20" s="82"/>
      <c r="S20" s="82"/>
      <c r="T20" s="82"/>
      <c r="U20" s="82"/>
      <c r="V20" s="82"/>
      <c r="W20" s="82"/>
    </row>
    <row r="21" spans="1:23" ht="15">
      <c r="A21" s="82"/>
      <c r="B21" s="82"/>
      <c r="C21" s="82"/>
      <c r="D21" s="82"/>
      <c r="E21" s="199" t="s">
        <v>42</v>
      </c>
      <c r="H21" s="82"/>
      <c r="I21" s="82"/>
      <c r="J21" s="82"/>
      <c r="K21" s="82"/>
      <c r="L21" s="82"/>
      <c r="M21" s="82"/>
      <c r="N21" s="82"/>
      <c r="O21" s="82"/>
      <c r="P21" s="82"/>
      <c r="Q21" s="82"/>
      <c r="R21" s="82"/>
      <c r="S21" s="82"/>
      <c r="T21" s="82"/>
      <c r="U21" s="82"/>
      <c r="V21" s="82"/>
      <c r="W21" s="82"/>
    </row>
    <row r="22" spans="1:23" ht="15">
      <c r="A22" s="82"/>
      <c r="B22" s="82"/>
      <c r="C22" s="82"/>
      <c r="D22" s="82"/>
      <c r="E22" s="199" t="s">
        <v>45</v>
      </c>
      <c r="H22" s="82"/>
      <c r="I22" s="82"/>
      <c r="J22" s="82"/>
      <c r="K22" s="82"/>
      <c r="L22" s="82"/>
      <c r="M22" s="82"/>
      <c r="N22" s="82"/>
      <c r="O22" s="82"/>
      <c r="P22" s="82"/>
      <c r="Q22" s="82"/>
      <c r="R22" s="82"/>
      <c r="S22" s="82"/>
      <c r="T22" s="82"/>
      <c r="U22" s="82"/>
      <c r="V22" s="82"/>
      <c r="W22" s="82"/>
    </row>
    <row r="23" spans="1:23" ht="15">
      <c r="A23" s="82"/>
      <c r="B23" s="82"/>
      <c r="C23" s="82"/>
      <c r="D23" s="82"/>
      <c r="E23" s="199" t="s">
        <v>46</v>
      </c>
      <c r="H23" s="82"/>
      <c r="I23" s="82"/>
      <c r="J23" s="82"/>
      <c r="K23" s="82"/>
      <c r="L23" s="82"/>
      <c r="M23" s="82"/>
      <c r="N23" s="82"/>
      <c r="O23" s="82"/>
      <c r="P23" s="82"/>
      <c r="Q23" s="82"/>
      <c r="R23" s="82"/>
      <c r="S23" s="82"/>
      <c r="T23" s="82"/>
      <c r="U23" s="82"/>
      <c r="V23" s="82"/>
      <c r="W23" s="82"/>
    </row>
    <row r="24" spans="1:23" ht="15">
      <c r="A24" s="82"/>
      <c r="B24" s="82"/>
      <c r="C24" s="82"/>
      <c r="D24" s="82"/>
      <c r="E24" s="199" t="s">
        <v>48</v>
      </c>
      <c r="H24" s="82"/>
      <c r="I24" s="82"/>
      <c r="J24" s="82"/>
      <c r="K24" s="82"/>
      <c r="L24" s="82"/>
      <c r="M24" s="82"/>
      <c r="N24" s="82"/>
      <c r="O24" s="82"/>
      <c r="P24" s="82"/>
      <c r="Q24" s="82"/>
      <c r="R24" s="82"/>
      <c r="S24" s="82"/>
      <c r="T24" s="82"/>
      <c r="U24" s="82"/>
      <c r="V24" s="82"/>
      <c r="W24" s="82"/>
    </row>
    <row r="25" spans="1:23" ht="15">
      <c r="A25" s="82"/>
      <c r="B25" s="82"/>
      <c r="C25" s="82"/>
      <c r="D25" s="82"/>
      <c r="E25" s="199" t="s">
        <v>51</v>
      </c>
      <c r="H25" s="82"/>
      <c r="I25" s="82"/>
      <c r="J25" s="82"/>
      <c r="K25" s="82"/>
      <c r="L25" s="82"/>
      <c r="M25" s="82"/>
      <c r="N25" s="82"/>
      <c r="O25" s="82"/>
      <c r="P25" s="82"/>
      <c r="Q25" s="82"/>
      <c r="R25" s="82"/>
      <c r="S25" s="82"/>
      <c r="T25" s="82"/>
      <c r="U25" s="82"/>
      <c r="V25" s="82"/>
      <c r="W25" s="82"/>
    </row>
    <row r="26" spans="1:23" ht="15">
      <c r="A26" s="82"/>
      <c r="B26" s="82"/>
      <c r="C26" s="82"/>
      <c r="D26" s="82"/>
      <c r="E26" s="199" t="s">
        <v>54</v>
      </c>
      <c r="H26" s="82"/>
      <c r="I26" s="82"/>
      <c r="J26" s="82"/>
      <c r="K26" s="82"/>
      <c r="L26" s="82"/>
      <c r="M26" s="82"/>
      <c r="N26" s="82"/>
      <c r="O26" s="82"/>
      <c r="P26" s="82"/>
      <c r="Q26" s="82"/>
      <c r="R26" s="82"/>
      <c r="S26" s="82"/>
      <c r="T26" s="82"/>
      <c r="U26" s="82"/>
      <c r="V26" s="82"/>
      <c r="W26" s="82"/>
    </row>
    <row r="27" spans="1:23" ht="15">
      <c r="A27" s="82"/>
      <c r="B27" s="82"/>
      <c r="C27" s="82"/>
      <c r="D27" s="82"/>
      <c r="E27" s="199" t="s">
        <v>57</v>
      </c>
      <c r="H27" s="82"/>
      <c r="I27" s="82"/>
      <c r="J27" s="82"/>
      <c r="K27" s="82"/>
      <c r="L27" s="82"/>
      <c r="M27" s="82"/>
      <c r="N27" s="82"/>
      <c r="O27" s="82"/>
      <c r="P27" s="82"/>
      <c r="Q27" s="82"/>
      <c r="R27" s="82"/>
      <c r="S27" s="82"/>
      <c r="T27" s="82"/>
      <c r="U27" s="82"/>
      <c r="V27" s="82"/>
      <c r="W27" s="82"/>
    </row>
    <row r="28" spans="1:23" ht="15">
      <c r="A28" s="82"/>
      <c r="B28" s="82"/>
      <c r="C28" s="82"/>
      <c r="D28" s="82"/>
      <c r="E28" s="198" t="s">
        <v>60</v>
      </c>
      <c r="H28" s="82"/>
      <c r="I28" s="82"/>
      <c r="J28" s="82"/>
      <c r="K28" s="82"/>
      <c r="L28" s="82"/>
      <c r="M28" s="82"/>
      <c r="N28" s="82"/>
      <c r="O28" s="82"/>
      <c r="P28" s="82"/>
      <c r="Q28" s="82"/>
      <c r="R28" s="82"/>
      <c r="S28" s="82"/>
      <c r="T28" s="82"/>
      <c r="U28" s="82"/>
      <c r="V28" s="82"/>
      <c r="W28" s="82"/>
    </row>
    <row r="29" spans="1:23" ht="15">
      <c r="A29" s="82"/>
      <c r="B29" s="82"/>
      <c r="C29" s="82"/>
      <c r="D29" s="82"/>
      <c r="E29" s="200">
        <v>2</v>
      </c>
      <c r="F29" s="76" t="s">
        <v>85</v>
      </c>
      <c r="G29" s="82"/>
      <c r="H29" s="82"/>
      <c r="I29" s="82"/>
      <c r="J29" s="82"/>
      <c r="K29" s="82"/>
      <c r="L29" s="82"/>
      <c r="M29" s="82"/>
      <c r="N29" s="82"/>
      <c r="O29" s="82"/>
      <c r="P29" s="82"/>
      <c r="Q29" s="82"/>
      <c r="R29" s="82"/>
      <c r="S29" s="82"/>
      <c r="T29" s="82"/>
      <c r="U29" s="82"/>
      <c r="V29" s="82"/>
      <c r="W29" s="82"/>
    </row>
    <row r="30" spans="1:23" ht="15">
      <c r="A30" s="82"/>
      <c r="B30" s="82"/>
      <c r="C30" s="82"/>
      <c r="D30" s="82"/>
      <c r="E30" s="200" t="str" cm="1">
        <f t="array" ref="E30">INDEX(E15:E28,m_identity)</f>
        <v>NPgN</v>
      </c>
      <c r="F30" s="76" t="s">
        <v>86</v>
      </c>
      <c r="G30" s="82"/>
      <c r="H30" s="82"/>
      <c r="I30" s="82"/>
      <c r="J30" s="82"/>
      <c r="K30" s="82"/>
      <c r="L30" s="82"/>
      <c r="M30" s="82"/>
      <c r="N30" s="82"/>
      <c r="O30" s="82"/>
      <c r="P30" s="82"/>
      <c r="Q30" s="82"/>
      <c r="R30" s="82"/>
      <c r="S30" s="82"/>
      <c r="T30" s="82"/>
      <c r="U30" s="82"/>
      <c r="V30" s="82"/>
      <c r="W30" s="82"/>
    </row>
    <row r="31" spans="1:23" ht="15">
      <c r="A31" s="82"/>
      <c r="B31" s="82"/>
      <c r="C31" s="82"/>
      <c r="D31" s="82"/>
      <c r="E31" s="200">
        <f>INDEX(F15:F28,MATCH(n_identity,E15:E28,0))</f>
        <v>0</v>
      </c>
      <c r="F31" s="76" t="s">
        <v>87</v>
      </c>
      <c r="G31" s="82"/>
      <c r="H31" s="82"/>
      <c r="I31" s="82"/>
      <c r="J31" s="82"/>
      <c r="K31" s="82"/>
      <c r="L31" s="82"/>
      <c r="M31" s="82"/>
      <c r="N31" s="82"/>
      <c r="O31" s="82"/>
      <c r="P31" s="82"/>
      <c r="Q31" s="82"/>
      <c r="R31" s="82"/>
      <c r="S31" s="82"/>
      <c r="T31" s="82"/>
      <c r="U31" s="82"/>
      <c r="V31" s="82"/>
      <c r="W31" s="82"/>
    </row>
    <row r="32" spans="1:23" ht="15">
      <c r="A32" s="82"/>
      <c r="B32" s="82"/>
      <c r="C32" s="82"/>
      <c r="D32" s="82"/>
      <c r="E32" s="82"/>
      <c r="F32" s="82"/>
      <c r="G32" s="82"/>
      <c r="H32" s="82"/>
      <c r="I32" s="82"/>
      <c r="J32" s="82"/>
      <c r="K32" s="82"/>
      <c r="L32" s="82"/>
      <c r="M32" s="82"/>
      <c r="N32" s="82"/>
      <c r="O32" s="82"/>
      <c r="P32" s="82"/>
      <c r="Q32" s="82"/>
      <c r="R32" s="82"/>
      <c r="S32" s="82"/>
      <c r="T32" s="82"/>
      <c r="U32" s="82"/>
      <c r="V32" s="82"/>
      <c r="W32" s="82"/>
    </row>
    <row r="33" spans="1:23" ht="15">
      <c r="A33" s="82"/>
      <c r="B33" s="82"/>
      <c r="C33" s="82"/>
      <c r="D33" s="82"/>
      <c r="E33" s="82"/>
      <c r="F33" s="82"/>
      <c r="G33" s="82"/>
      <c r="H33" s="82"/>
      <c r="I33" s="82"/>
      <c r="J33" s="82"/>
      <c r="K33" s="82"/>
      <c r="L33" s="82"/>
      <c r="M33" s="82"/>
      <c r="N33" s="82"/>
      <c r="O33" s="82"/>
      <c r="P33" s="82"/>
      <c r="Q33" s="82"/>
      <c r="R33" s="82"/>
      <c r="S33" s="82"/>
      <c r="T33" s="82"/>
      <c r="U33" s="82"/>
      <c r="V33" s="82"/>
      <c r="W33" s="82"/>
    </row>
    <row r="34" spans="1:23" ht="15">
      <c r="A34" s="2"/>
      <c r="B34" s="22" t="s">
        <v>79</v>
      </c>
      <c r="C34" s="22"/>
      <c r="D34" s="22"/>
      <c r="E34" s="22"/>
      <c r="F34" s="22"/>
      <c r="G34" s="22"/>
      <c r="H34" s="22"/>
      <c r="I34" s="22"/>
      <c r="J34" s="22"/>
      <c r="K34" s="22"/>
      <c r="L34" s="22"/>
      <c r="M34" s="22"/>
      <c r="N34" s="22"/>
      <c r="O34" s="22"/>
      <c r="P34" s="22"/>
      <c r="Q34" s="22"/>
      <c r="R34" s="22"/>
      <c r="S34" s="22"/>
      <c r="T34" s="22"/>
      <c r="U34" s="22"/>
      <c r="V34" s="22"/>
      <c r="W34" s="22"/>
    </row>
    <row r="35" spans="1:23" ht="15">
      <c r="A35" s="82"/>
      <c r="B35" s="82"/>
      <c r="C35" s="82"/>
      <c r="D35" s="82"/>
      <c r="E35" s="82"/>
      <c r="F35" s="82"/>
      <c r="G35" s="82"/>
      <c r="H35" s="82"/>
      <c r="I35" s="82"/>
      <c r="J35" s="82"/>
      <c r="K35" s="82"/>
      <c r="L35" s="82"/>
      <c r="M35" s="82"/>
      <c r="N35" s="82"/>
      <c r="O35" s="82"/>
      <c r="P35" s="82"/>
      <c r="Q35" s="82"/>
      <c r="R35" s="82"/>
      <c r="S35" s="82"/>
      <c r="T35" s="82"/>
      <c r="U35" s="82"/>
      <c r="V35" s="82"/>
      <c r="W35" s="82"/>
    </row>
    <row r="36" spans="1:23" ht="15">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0"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273" activePane="bottomRight" state="frozen"/>
      <selection pane="topRight" activeCell="K1" sqref="K1"/>
      <selection pane="bottomLeft" activeCell="A5" sqref="A5"/>
      <selection pane="bottomRight"/>
    </sheetView>
  </sheetViews>
  <sheetFormatPr defaultColWidth="0" defaultRowHeight="12.75" zeroHeight="1" outlineLevelCol="1"/>
  <cols>
    <col min="1" max="1" width="2.62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88</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529">
        <f>m_identity</f>
        <v>2</v>
      </c>
      <c r="C3" s="181"/>
      <c r="D3" s="181"/>
      <c r="E3" s="179" t="s">
        <v>91</v>
      </c>
      <c r="F3" s="179" t="s">
        <v>92</v>
      </c>
      <c r="G3" s="179" t="s">
        <v>93</v>
      </c>
      <c r="H3" s="179" t="s">
        <v>94</v>
      </c>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16.82</v>
      </c>
      <c r="AS15" s="528">
        <f>CHOOSE($B$3,ENWL!AS15,NPgN!AS15,NPgY!AS15,WMID!AS15,EMID!AS15,SWALES!AS15,SWEST!AS15,LPN!AS15,SPN!AS15,EPN!AS15,SPD!AS15,SPMW!AS15,SSEH!AS15,SSES!AS15)</f>
        <v>18.329999999999998</v>
      </c>
      <c r="AT15" s="528">
        <f>CHOOSE($B$3,ENWL!AT15,NPgN!AT15,NPgY!AT15,WMID!AT15,EMID!AT15,SWALES!AT15,SWEST!AT15,LPN!AT15,SPN!AT15,EPN!AT15,SPD!AT15,SPMW!AT15,SSEH!AT15,SSES!AT15)</f>
        <v>11.69</v>
      </c>
      <c r="AU15" s="528">
        <f>CHOOSE($B$3,ENWL!AU15,NPgN!AU15,NPgY!AU15,WMID!AU15,EMID!AU15,SWALES!AU15,SWEST!AU15,LPN!AU15,SPN!AU15,EPN!AU15,SPD!AU15,SPMW!AU15,SSEH!AU15,SSES!AU15)</f>
        <v>13.81</v>
      </c>
      <c r="AV15" s="528">
        <f>CHOOSE($B$3,ENWL!AV15,NPgN!AV15,NPgY!AV15,WMID!AV15,EMID!AV15,SWALES!AV15,SWEST!AV15,LPN!AV15,SPN!AV15,EPN!AV15,SPD!AV15,SPMW!AV15,SSEH!AV15,SSES!AV15)</f>
        <v>12.08</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32.630000000000003</v>
      </c>
      <c r="AS16" s="528">
        <f>CHOOSE($B$3,ENWL!AS16,NPgN!AS16,NPgY!AS16,WMID!AS16,EMID!AS16,SWALES!AS16,SWEST!AS16,LPN!AS16,SPN!AS16,EPN!AS16,SPD!AS16,SPMW!AS16,SSEH!AS16,SSES!AS16)</f>
        <v>34.89</v>
      </c>
      <c r="AT16" s="528">
        <f>CHOOSE($B$3,ENWL!AT16,NPgN!AT16,NPgY!AT16,WMID!AT16,EMID!AT16,SWALES!AT16,SWEST!AT16,LPN!AT16,SPN!AT16,EPN!AT16,SPD!AT16,SPMW!AT16,SSEH!AT16,SSES!AT16)</f>
        <v>36.58</v>
      </c>
      <c r="AU16" s="528">
        <f>CHOOSE($B$3,ENWL!AU16,NPgN!AU16,NPgY!AU16,WMID!AU16,EMID!AU16,SWALES!AU16,SWEST!AU16,LPN!AU16,SPN!AU16,EPN!AU16,SPD!AU16,SPMW!AU16,SSEH!AU16,SSES!AU16)</f>
        <v>39.92</v>
      </c>
      <c r="AV16" s="528">
        <f>CHOOSE($B$3,ENWL!AV16,NPgN!AV16,NPgY!AV16,WMID!AV16,EMID!AV16,SWALES!AV16,SWEST!AV16,LPN!AV16,SPN!AV16,EPN!AV16,SPD!AV16,SPMW!AV16,SSEH!AV16,SSES!AV16)</f>
        <v>40.36</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18.66</v>
      </c>
      <c r="AS17" s="528">
        <f>CHOOSE($B$3,ENWL!AS17,NPgN!AS17,NPgY!AS17,WMID!AS17,EMID!AS17,SWALES!AS17,SWEST!AS17,LPN!AS17,SPN!AS17,EPN!AS17,SPD!AS17,SPMW!AS17,SSEH!AS17,SSES!AS17)</f>
        <v>20.69</v>
      </c>
      <c r="AT17" s="528">
        <f>CHOOSE($B$3,ENWL!AT17,NPgN!AT17,NPgY!AT17,WMID!AT17,EMID!AT17,SWALES!AT17,SWEST!AT17,LPN!AT17,SPN!AT17,EPN!AT17,SPD!AT17,SPMW!AT17,SSEH!AT17,SSES!AT17)</f>
        <v>19.399999999999999</v>
      </c>
      <c r="AU17" s="528">
        <f>CHOOSE($B$3,ENWL!AU17,NPgN!AU17,NPgY!AU17,WMID!AU17,EMID!AU17,SWALES!AU17,SWEST!AU17,LPN!AU17,SPN!AU17,EPN!AU17,SPD!AU17,SPMW!AU17,SSEH!AU17,SSES!AU17)</f>
        <v>21.5</v>
      </c>
      <c r="AV17" s="528">
        <f>CHOOSE($B$3,ENWL!AV17,NPgN!AV17,NPgY!AV17,WMID!AV17,EMID!AV17,SWALES!AV17,SWEST!AV17,LPN!AV17,SPN!AV17,EPN!AV17,SPD!AV17,SPMW!AV17,SSEH!AV17,SSES!AV17)</f>
        <v>21.18</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23.68</v>
      </c>
      <c r="AS18" s="528">
        <f>CHOOSE($B$3,ENWL!AS18,NPgN!AS18,NPgY!AS18,WMID!AS18,EMID!AS18,SWALES!AS18,SWEST!AS18,LPN!AS18,SPN!AS18,EPN!AS18,SPD!AS18,SPMW!AS18,SSEH!AS18,SSES!AS18)</f>
        <v>23.9</v>
      </c>
      <c r="AT18" s="528">
        <f>CHOOSE($B$3,ENWL!AT18,NPgN!AT18,NPgY!AT18,WMID!AT18,EMID!AT18,SWALES!AT18,SWEST!AT18,LPN!AT18,SPN!AT18,EPN!AT18,SPD!AT18,SPMW!AT18,SSEH!AT18,SSES!AT18)</f>
        <v>23.91</v>
      </c>
      <c r="AU18" s="528">
        <f>CHOOSE($B$3,ENWL!AU18,NPgN!AU18,NPgY!AU18,WMID!AU18,EMID!AU18,SWALES!AU18,SWEST!AU18,LPN!AU18,SPN!AU18,EPN!AU18,SPD!AU18,SPMW!AU18,SSEH!AU18,SSES!AU18)</f>
        <v>24.67</v>
      </c>
      <c r="AV18" s="528">
        <f>CHOOSE($B$3,ENWL!AV18,NPgN!AV18,NPgY!AV18,WMID!AV18,EMID!AV18,SWALES!AV18,SWEST!AV18,LPN!AV18,SPN!AV18,EPN!AV18,SPD!AV18,SPMW!AV18,SSEH!AV18,SSES!AV18)</f>
        <v>24.25</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3.87</v>
      </c>
      <c r="AS19" s="528">
        <f>CHOOSE($B$3,ENWL!AS19,NPgN!AS19,NPgY!AS19,WMID!AS19,EMID!AS19,SWALES!AS19,SWEST!AS19,LPN!AS19,SPN!AS19,EPN!AS19,SPD!AS19,SPMW!AS19,SSEH!AS19,SSES!AS19)</f>
        <v>3.59</v>
      </c>
      <c r="AT19" s="528">
        <f>CHOOSE($B$3,ENWL!AT19,NPgN!AT19,NPgY!AT19,WMID!AT19,EMID!AT19,SWALES!AT19,SWEST!AT19,LPN!AT19,SPN!AT19,EPN!AT19,SPD!AT19,SPMW!AT19,SSEH!AT19,SSES!AT19)</f>
        <v>3.58</v>
      </c>
      <c r="AU19" s="528">
        <f>CHOOSE($B$3,ENWL!AU19,NPgN!AU19,NPgY!AU19,WMID!AU19,EMID!AU19,SWALES!AU19,SWEST!AU19,LPN!AU19,SPN!AU19,EPN!AU19,SPD!AU19,SPMW!AU19,SSEH!AU19,SSES!AU19)</f>
        <v>3.87</v>
      </c>
      <c r="AV19" s="528">
        <f>CHOOSE($B$3,ENWL!AV19,NPgN!AV19,NPgY!AV19,WMID!AV19,EMID!AV19,SWALES!AV19,SWEST!AV19,LPN!AV19,SPN!AV19,EPN!AV19,SPD!AV19,SPMW!AV19,SSEH!AV19,SSES!AV19)</f>
        <v>3.59</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6.38</v>
      </c>
      <c r="AS20" s="528">
        <f>CHOOSE($B$3,ENWL!AS20,NPgN!AS20,NPgY!AS20,WMID!AS20,EMID!AS20,SWALES!AS20,SWEST!AS20,LPN!AS20,SPN!AS20,EPN!AS20,SPD!AS20,SPMW!AS20,SSEH!AS20,SSES!AS20)</f>
        <v>6.43</v>
      </c>
      <c r="AT20" s="528">
        <f>CHOOSE($B$3,ENWL!AT20,NPgN!AT20,NPgY!AT20,WMID!AT20,EMID!AT20,SWALES!AT20,SWEST!AT20,LPN!AT20,SPN!AT20,EPN!AT20,SPD!AT20,SPMW!AT20,SSEH!AT20,SSES!AT20)</f>
        <v>6.32</v>
      </c>
      <c r="AU20" s="528">
        <f>CHOOSE($B$3,ENWL!AU20,NPgN!AU20,NPgY!AU20,WMID!AU20,EMID!AU20,SWALES!AU20,SWEST!AU20,LPN!AU20,SPN!AU20,EPN!AU20,SPD!AU20,SPMW!AU20,SSEH!AU20,SSES!AU20)</f>
        <v>6.46</v>
      </c>
      <c r="AV20" s="528">
        <f>CHOOSE($B$3,ENWL!AV20,NPgN!AV20,NPgY!AV20,WMID!AV20,EMID!AV20,SWALES!AV20,SWEST!AV20,LPN!AV20,SPN!AV20,EPN!AV20,SPD!AV20,SPMW!AV20,SSEH!AV20,SSES!AV20)</f>
        <v>6.34</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74.099999999999994</v>
      </c>
      <c r="AS21" s="528">
        <f>CHOOSE($B$3,ENWL!AS21,NPgN!AS21,NPgY!AS21,WMID!AS21,EMID!AS21,SWALES!AS21,SWEST!AS21,LPN!AS21,SPN!AS21,EPN!AS21,SPD!AS21,SPMW!AS21,SSEH!AS21,SSES!AS21)</f>
        <v>74.42</v>
      </c>
      <c r="AT21" s="528">
        <f>CHOOSE($B$3,ENWL!AT21,NPgN!AT21,NPgY!AT21,WMID!AT21,EMID!AT21,SWALES!AT21,SWEST!AT21,LPN!AT21,SPN!AT21,EPN!AT21,SPD!AT21,SPMW!AT21,SSEH!AT21,SSES!AT21)</f>
        <v>72.94</v>
      </c>
      <c r="AU21" s="528">
        <f>CHOOSE($B$3,ENWL!AU21,NPgN!AU21,NPgY!AU21,WMID!AU21,EMID!AU21,SWALES!AU21,SWEST!AU21,LPN!AU21,SPN!AU21,EPN!AU21,SPD!AU21,SPMW!AU21,SSEH!AU21,SSES!AU21)</f>
        <v>74.12</v>
      </c>
      <c r="AV21" s="528">
        <f>CHOOSE($B$3,ENWL!AV21,NPgN!AV21,NPgY!AV21,WMID!AV21,EMID!AV21,SWALES!AV21,SWEST!AV21,LPN!AV21,SPN!AV21,EPN!AV21,SPD!AV21,SPMW!AV21,SSEH!AV21,SSES!AV21)</f>
        <v>72.540000000000006</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tr">
        <f>CHOOSE($B$3,ENWL!E24,NPgN!E24,NPgY!E24,WMID!E24,EMID!E24,SWALES!E24,SWEST!E24,LPN!E24,SPN!E24,EPN!E24,SPD!E24,SPMW!E24,SSEH!E24,SSES!E24)</f>
        <v>RPEs (bucket 1 allowances)</v>
      </c>
      <c r="F24" s="82"/>
      <c r="G24" s="82" t="s">
        <v>105</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-9.8407442315106533</v>
      </c>
      <c r="AS24" s="207">
        <f>CHOOSE($B$3,ENWL!AS24,NPgN!AS24,NPgY!AS24,WMID!AS24,EMID!AS24,SWALES!AS24,SWEST!AS24,LPN!AS24,SPN!AS24,EPN!AS24,SPD!AS24,SPMW!AS24,SSEH!AS24,SSES!AS24)</f>
        <v>-7.9082499344215504</v>
      </c>
      <c r="AT24" s="207">
        <f>CHOOSE($B$3,ENWL!AT24,NPgN!AT24,NPgY!AT24,WMID!AT24,EMID!AT24,SWALES!AT24,SWEST!AT24,LPN!AT24,SPN!AT24,EPN!AT24,SPD!AT24,SPMW!AT24,SSEH!AT24,SSES!AT24)</f>
        <v>-5.423205935516016</v>
      </c>
      <c r="AU24" s="207">
        <f>CHOOSE($B$3,ENWL!AU24,NPgN!AU24,NPgY!AU24,WMID!AU24,EMID!AU24,SWALES!AU24,SWEST!AU24,LPN!AU24,SPN!AU24,EPN!AU24,SPD!AU24,SPMW!AU24,SSEH!AU24,SSES!AU24)</f>
        <v>-4.0203529767977537</v>
      </c>
      <c r="AV24" s="207">
        <f>CHOOSE($B$3,ENWL!AV24,NPgN!AV24,NPgY!AV24,WMID!AV24,EMID!AV24,SWALES!AV24,SWEST!AV24,LPN!AV24,SPN!AV24,EPN!AV24,SPD!AV24,SPMW!AV24,SSEH!AV24,SSES!AV24)</f>
        <v>-2.2888945836210275</v>
      </c>
      <c r="AW24" s="184"/>
      <c r="AX24" s="258"/>
    </row>
    <row r="25" spans="1:50" ht="15">
      <c r="A25" s="82"/>
      <c r="B25" s="82"/>
      <c r="C25" s="82"/>
      <c r="D25" s="82"/>
      <c r="E25" s="82" t="str">
        <f>CHOOSE($B$3,ENWL!E25,NPgN!E25,NPgY!E25,WMID!E25,EMID!E25,SWALES!E25,SWEST!E25,LPN!E25,SPN!E25,EPN!E25,SPD!E25,SPMW!E25,SSEH!E25,SSES!E25)</f>
        <v>RPEs (bucket 2 allowances)</v>
      </c>
      <c r="F25" s="82"/>
      <c r="G25" s="82" t="s">
        <v>105</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-0.29393937238201606</v>
      </c>
      <c r="AS25" s="207">
        <f>CHOOSE($B$3,ENWL!AS25,NPgN!AS25,NPgY!AS25,WMID!AS25,EMID!AS25,SWALES!AS25,SWEST!AS25,LPN!AS25,SPN!AS25,EPN!AS25,SPD!AS25,SPMW!AS25,SSEH!AS25,SSES!AS25)</f>
        <v>-0.35712358977667091</v>
      </c>
      <c r="AT25" s="207">
        <f>CHOOSE($B$3,ENWL!AT25,NPgN!AT25,NPgY!AT25,WMID!AT25,EMID!AT25,SWALES!AT25,SWEST!AT25,LPN!AT25,SPN!AT25,EPN!AT25,SPD!AT25,SPMW!AT25,SSEH!AT25,SSES!AT25)</f>
        <v>-0.51570916591322491</v>
      </c>
      <c r="AU25" s="207">
        <f>CHOOSE($B$3,ENWL!AU25,NPgN!AU25,NPgY!AU25,WMID!AU25,EMID!AU25,SWALES!AU25,SWEST!AU25,LPN!AU25,SPN!AU25,EPN!AU25,SPD!AU25,SPMW!AU25,SSEH!AU25,SSES!AU25)</f>
        <v>-0.28792265074664686</v>
      </c>
      <c r="AV25" s="207">
        <f>CHOOSE($B$3,ENWL!AV25,NPgN!AV25,NPgY!AV25,WMID!AV25,EMID!AV25,SWALES!AV25,SWEST!AV25,LPN!AV25,SPN!AV25,EPN!AV25,SPD!AV25,SPMW!AV25,SSEH!AV25,SSES!AV25)</f>
        <v>-0.18788928174333749</v>
      </c>
      <c r="AW25" s="184"/>
      <c r="AX25" s="258"/>
    </row>
    <row r="26" spans="1:50" ht="15">
      <c r="A26" s="82"/>
      <c r="B26" s="82"/>
      <c r="C26" s="82"/>
      <c r="D26" s="82"/>
      <c r="E26" s="82" t="str">
        <f>CHOOSE($B$3,ENWL!E26,NPgN!E26,NPgY!E26,WMID!E26,EMID!E26,SWALES!E26,SWEST!E26,LPN!E26,SPN!E26,EPN!E26,SPD!E26,SPMW!E26,SSEH!E26,SSES!E26)</f>
        <v>Physical Security Re-opener</v>
      </c>
      <c r="F26" s="82"/>
      <c r="G26" s="82" t="s">
        <v>105</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0</v>
      </c>
      <c r="AS26" s="476">
        <f>CHOOSE($B$3,ENWL!AS26,NPgN!AS26,NPgY!AS26,WMID!AS26,EMID!AS26,SWALES!AS26,SWEST!AS26,LPN!AS26,SPN!AS26,EPN!AS26,SPD!AS26,SPMW!AS26,SSEH!AS26,SSES!AS26)</f>
        <v>0</v>
      </c>
      <c r="AT26" s="476">
        <f>CHOOSE($B$3,ENWL!AT26,NPgN!AT26,NPgY!AT26,WMID!AT26,EMID!AT26,SWALES!AT26,SWEST!AT26,LPN!AT26,SPN!AT26,EPN!AT26,SPD!AT26,SPMW!AT26,SSEH!AT26,SSES!AT26)</f>
        <v>0</v>
      </c>
      <c r="AU26" s="476">
        <f>CHOOSE($B$3,ENWL!AU26,NPgN!AU26,NPgY!AU26,WMID!AU26,EMID!AU26,SWALES!AU26,SWEST!AU26,LPN!AU26,SPN!AU26,EPN!AU26,SPD!AU26,SPMW!AU26,SSEH!AU26,SSES!AU26)</f>
        <v>0</v>
      </c>
      <c r="AV26" s="476">
        <f>CHOOSE($B$3,ENWL!AV26,NPgN!AV26,NPgY!AV26,WMID!AV26,EMID!AV26,SWALES!AV26,SWEST!AV26,LPN!AV26,SPN!AV26,EPN!AV26,SPD!AV26,SPMW!AV26,SSEH!AV26,SSES!AV26)</f>
        <v>0</v>
      </c>
      <c r="AW26" s="184"/>
      <c r="AX26" s="258"/>
    </row>
    <row r="27" spans="1:50" ht="15">
      <c r="A27" s="82"/>
      <c r="B27" s="82"/>
      <c r="C27" s="82"/>
      <c r="D27" s="82"/>
      <c r="E27" s="82" t="str">
        <f>CHOOSE($B$3,ENWL!E27,NPgN!E27,NPgY!E27,WMID!E27,EMID!E27,SWALES!E27,SWEST!E27,LPN!E27,SPN!E27,EPN!E27,SPD!E27,SPMW!E27,SSEH!E27,SSES!E27)</f>
        <v>Specified Street Works Costs Re-opener</v>
      </c>
      <c r="F27" s="82"/>
      <c r="G27" s="82" t="s">
        <v>105</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v>
      </c>
      <c r="AU27" s="476">
        <f>CHOOSE($B$3,ENWL!AU27,NPgN!AU27,NPgY!AU27,WMID!AU27,EMID!AU27,SWALES!AU27,SWEST!AU27,LPN!AU27,SPN!AU27,EPN!AU27,SPD!AU27,SPMW!AU27,SSEH!AU27,SSES!AU27)</f>
        <v>0</v>
      </c>
      <c r="AV27" s="476">
        <f>CHOOSE($B$3,ENWL!AV27,NPgN!AV27,NPgY!AV27,WMID!AV27,EMID!AV27,SWALES!AV27,SWEST!AV27,LPN!AV27,SPN!AV27,EPN!AV27,SPD!AV27,SPMW!AV27,SSEH!AV27,SSES!AV27)</f>
        <v>0</v>
      </c>
      <c r="AW27" s="184"/>
      <c r="AX27" s="258"/>
    </row>
    <row r="28" spans="1:50" ht="15">
      <c r="A28" s="82"/>
      <c r="B28" s="82"/>
      <c r="C28" s="82"/>
      <c r="D28" s="82"/>
      <c r="E28" s="82" t="str">
        <f>CHOOSE($B$3,ENWL!E28,NPgN!E28,NPgY!E28,WMID!E28,EMID!E28,SWALES!E28,SWEST!E28,LPN!E28,SPN!E28,EPN!E28,SPD!E28,SPMW!E28,SSEH!E28,SSES!E28)</f>
        <v>Rail Electrification Costs Re-opener</v>
      </c>
      <c r="F28" s="82"/>
      <c r="G28" s="82" t="s">
        <v>105</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5">
      <c r="A29" s="82"/>
      <c r="B29" s="82"/>
      <c r="C29" s="82"/>
      <c r="D29" s="82"/>
      <c r="E29" s="82" t="str">
        <f>CHOOSE($B$3,ENWL!E29,NPgN!E29,NPgY!E29,WMID!E29,EMID!E29,SWALES!E29,SWEST!E29,LPN!E29,SPN!E29,EPN!E29,SPD!E29,SPMW!E29,SSEH!E29,SSES!E29)</f>
        <v>Net Zero Re-opener</v>
      </c>
      <c r="F29" s="82"/>
      <c r="G29" s="82" t="s">
        <v>105</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5">
      <c r="A30" s="82"/>
      <c r="B30" s="82"/>
      <c r="C30" s="82"/>
      <c r="D30" s="82"/>
      <c r="E30" s="82" t="str">
        <f>CHOOSE($B$3,ENWL!E30,NPgN!E30,NPgY!E30,WMID!E30,EMID!E30,SWALES!E30,SWEST!E30,LPN!E30,SPN!E30,EPN!E30,SPD!E30,SPMW!E30,SSEH!E30,SSES!E30)</f>
        <v>Coordinated Adjustment Mechanism Re-opener</v>
      </c>
      <c r="F30" s="82"/>
      <c r="G30" s="82" t="s">
        <v>105</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5">
      <c r="A31" s="82"/>
      <c r="B31" s="82"/>
      <c r="C31" s="82"/>
      <c r="D31" s="82"/>
      <c r="E31" s="82" t="str">
        <f>CHOOSE($B$3,ENWL!E31,NPgN!E31,NPgY!E31,WMID!E31,EMID!E31,SWALES!E31,SWEST!E31,LPN!E31,SPN!E31,EPN!E31,SPD!E31,SPMW!E31,SSEH!E31,SSES!E31)</f>
        <v>Electricity System Restoration Re-opener</v>
      </c>
      <c r="F31" s="82"/>
      <c r="G31" s="82" t="s">
        <v>105</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0</v>
      </c>
      <c r="AU31" s="476">
        <f>CHOOSE($B$3,ENWL!AU31,NPgN!AU31,NPgY!AU31,WMID!AU31,EMID!AU31,SWALES!AU31,SWEST!AU31,LPN!AU31,SPN!AU31,EPN!AU31,SPD!AU31,SPMW!AU31,SSEH!AU31,SSES!AU31)</f>
        <v>0</v>
      </c>
      <c r="AV31" s="476">
        <f>CHOOSE($B$3,ENWL!AV31,NPgN!AV31,NPgY!AV31,WMID!AV31,EMID!AV31,SWALES!AV31,SWEST!AV31,LPN!AV31,SPN!AV31,EPN!AV31,SPD!AV31,SPMW!AV31,SSEH!AV31,SSES!AV31)</f>
        <v>0</v>
      </c>
      <c r="AW31" s="184"/>
      <c r="AX31" s="258"/>
    </row>
    <row r="32" spans="1:50" ht="15">
      <c r="A32" s="82"/>
      <c r="B32" s="82"/>
      <c r="C32" s="82"/>
      <c r="D32" s="82"/>
      <c r="E32" s="82" t="str">
        <f>CHOOSE($B$3,ENWL!E32,NPgN!E32,NPgY!E32,WMID!E32,EMID!E32,SWALES!E32,SWEST!E32,LPN!E32,SPN!E32,EPN!E32,SPD!E32,SPMW!E32,SSEH!E32,SSES!E32)</f>
        <v>Environmental Re-opener</v>
      </c>
      <c r="F32" s="82"/>
      <c r="G32" s="82" t="s">
        <v>105</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5">
      <c r="A33" s="82"/>
      <c r="B33" s="82"/>
      <c r="C33" s="82"/>
      <c r="D33" s="82"/>
      <c r="E33" s="82" t="str">
        <f>CHOOSE($B$3,ENWL!E33,NPgN!E33,NPgY!E33,WMID!E33,EMID!E33,SWALES!E33,SWEST!E33,LPN!E33,SPN!E33,EPN!E33,SPD!E33,SPMW!E33,SSEH!E33,SSES!E33)</f>
        <v>Network Asset Risk Metric Expenditure</v>
      </c>
      <c r="F33" s="82"/>
      <c r="G33" s="82" t="s">
        <v>105</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27.89</v>
      </c>
      <c r="AS33" s="476">
        <f>CHOOSE($B$3,ENWL!AS33,NPgN!AS33,NPgY!AS33,WMID!AS33,EMID!AS33,SWALES!AS33,SWEST!AS33,LPN!AS33,SPN!AS33,EPN!AS33,SPD!AS33,SPMW!AS33,SSEH!AS33,SSES!AS33)</f>
        <v>28.57</v>
      </c>
      <c r="AT33" s="476">
        <f>CHOOSE($B$3,ENWL!AT33,NPgN!AT33,NPgY!AT33,WMID!AT33,EMID!AT33,SWALES!AT33,SWEST!AT33,LPN!AT33,SPN!AT33,EPN!AT33,SPD!AT33,SPMW!AT33,SSEH!AT33,SSES!AT33)</f>
        <v>27.4</v>
      </c>
      <c r="AU33" s="476">
        <f>CHOOSE($B$3,ENWL!AU33,NPgN!AU33,NPgY!AU33,WMID!AU33,EMID!AU33,SWALES!AU33,SWEST!AU33,LPN!AU33,SPN!AU33,EPN!AU33,SPD!AU33,SPMW!AU33,SSEH!AU33,SSES!AU33)</f>
        <v>28.81</v>
      </c>
      <c r="AV33" s="476">
        <f>CHOOSE($B$3,ENWL!AV33,NPgN!AV33,NPgY!AV33,WMID!AV33,EMID!AV33,SWALES!AV33,SWEST!AV33,LPN!AV33,SPN!AV33,EPN!AV33,SPD!AV33,SPMW!AV33,SSEH!AV33,SSES!AV33)</f>
        <v>30.92</v>
      </c>
      <c r="AW33" s="184"/>
      <c r="AX33" s="258"/>
    </row>
    <row r="34" spans="1:50" ht="15">
      <c r="A34" s="82"/>
      <c r="B34" s="82"/>
      <c r="C34" s="82"/>
      <c r="D34" s="82"/>
      <c r="E34" s="82" t="str">
        <f>CHOOSE($B$3,ENWL!E34,NPgN!E34,NPgY!E34,WMID!E34,EMID!E34,SWALES!E34,SWEST!E34,LPN!E34,SPN!E34,EPN!E34,SPD!E34,SPMW!E34,SSEH!E34,SSES!E34)</f>
        <v>Load Related Expenditure: Secondary Reinforcement</v>
      </c>
      <c r="F34" s="82"/>
      <c r="G34" s="82" t="s">
        <v>105</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1.2121595297734984</v>
      </c>
      <c r="AS34" s="476">
        <f>CHOOSE($B$3,ENWL!AS34,NPgN!AS34,NPgY!AS34,WMID!AS34,EMID!AS34,SWALES!AS34,SWEST!AS34,LPN!AS34,SPN!AS34,EPN!AS34,SPD!AS34,SPMW!AS34,SSEH!AS34,SSES!AS34)</f>
        <v>2.7911507905607693</v>
      </c>
      <c r="AT34" s="476">
        <f>CHOOSE($B$3,ENWL!AT34,NPgN!AT34,NPgY!AT34,WMID!AT34,EMID!AT34,SWALES!AT34,SWEST!AT34,LPN!AT34,SPN!AT34,EPN!AT34,SPD!AT34,SPMW!AT34,SSEH!AT34,SSES!AT34)</f>
        <v>7.0462792863212274</v>
      </c>
      <c r="AU34" s="476">
        <f>CHOOSE($B$3,ENWL!AU34,NPgN!AU34,NPgY!AU34,WMID!AU34,EMID!AU34,SWALES!AU34,SWEST!AU34,LPN!AU34,SPN!AU34,EPN!AU34,SPD!AU34,SPMW!AU34,SSEH!AU34,SSES!AU34)</f>
        <v>11.217891812057836</v>
      </c>
      <c r="AV34" s="476">
        <f>CHOOSE($B$3,ENWL!AV34,NPgN!AV34,NPgY!AV34,WMID!AV34,EMID!AV34,SWALES!AV34,SWEST!AV34,LPN!AV34,SPN!AV34,EPN!AV34,SPD!AV34,SPMW!AV34,SSEH!AV34,SSES!AV34)</f>
        <v>13.182518581286661</v>
      </c>
      <c r="AW34" s="184"/>
      <c r="AX34" s="258"/>
    </row>
    <row r="35" spans="1:50" ht="15">
      <c r="A35" s="82"/>
      <c r="B35" s="82"/>
      <c r="C35" s="82"/>
      <c r="D35" s="82"/>
      <c r="E35" s="82" t="str">
        <f>CHOOSE($B$3,ENWL!E35,NPgN!E35,NPgY!E35,WMID!E35,EMID!E35,SWALES!E35,SWEST!E35,LPN!E35,SPN!E35,EPN!E35,SPD!E35,SPMW!E35,SSEH!E35,SSES!E35)</f>
        <v>Load Related Expenditure: Low Voltage Services</v>
      </c>
      <c r="F35" s="82"/>
      <c r="G35" s="82" t="s">
        <v>105</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3.9415714762141003</v>
      </c>
      <c r="AS35" s="476">
        <f>CHOOSE($B$3,ENWL!AS35,NPgN!AS35,NPgY!AS35,WMID!AS35,EMID!AS35,SWALES!AS35,SWEST!AS35,LPN!AS35,SPN!AS35,EPN!AS35,SPD!AS35,SPMW!AS35,SSEH!AS35,SSES!AS35)</f>
        <v>2.3284926302841589</v>
      </c>
      <c r="AT35" s="476">
        <f>CHOOSE($B$3,ENWL!AT35,NPgN!AT35,NPgY!AT35,WMID!AT35,EMID!AT35,SWALES!AT35,SWEST!AT35,LPN!AT35,SPN!AT35,EPN!AT35,SPD!AT35,SPMW!AT35,SSEH!AT35,SSES!AT35)</f>
        <v>4.0081559556872808</v>
      </c>
      <c r="AU35" s="476">
        <f>CHOOSE($B$3,ENWL!AU35,NPgN!AU35,NPgY!AU35,WMID!AU35,EMID!AU35,SWALES!AU35,SWEST!AU35,LPN!AU35,SPN!AU35,EPN!AU35,SPD!AU35,SPMW!AU35,SSEH!AU35,SSES!AU35)</f>
        <v>4.097142802125477</v>
      </c>
      <c r="AV35" s="476">
        <f>CHOOSE($B$3,ENWL!AV35,NPgN!AV35,NPgY!AV35,WMID!AV35,EMID!AV35,SWALES!AV35,SWEST!AV35,LPN!AV35,SPN!AV35,EPN!AV35,SPD!AV35,SPMW!AV35,SSEH!AV35,SSES!AV35)</f>
        <v>4.2146371356889807</v>
      </c>
      <c r="AW35" s="184"/>
      <c r="AX35" s="258"/>
    </row>
    <row r="36" spans="1:50" ht="15">
      <c r="A36" s="82"/>
      <c r="B36" s="82"/>
      <c r="C36" s="82"/>
      <c r="D36" s="82"/>
      <c r="E36" s="82" t="str">
        <f>CHOOSE($B$3,ENWL!E36,NPgN!E36,NPgY!E36,WMID!E36,EMID!E36,SWALES!E36,SWEST!E36,LPN!E36,SPN!E36,EPN!E36,SPD!E36,SPMW!E36,SSEH!E36,SSES!E36)</f>
        <v>Load Related Expenditure Re-opener</v>
      </c>
      <c r="F36" s="82"/>
      <c r="G36" s="82" t="s">
        <v>105</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0</v>
      </c>
      <c r="AU36" s="476">
        <f>CHOOSE($B$3,ENWL!AU36,NPgN!AU36,NPgY!AU36,WMID!AU36,EMID!AU36,SWALES!AU36,SWEST!AU36,LPN!AU36,SPN!AU36,EPN!AU36,SPD!AU36,SPMW!AU36,SSEH!AU36,SSES!AU36)</f>
        <v>0</v>
      </c>
      <c r="AV36" s="476">
        <f>CHOOSE($B$3,ENWL!AV36,NPgN!AV36,NPgY!AV36,WMID!AV36,EMID!AV36,SWALES!AV36,SWEST!AV36,LPN!AV36,SPN!AV36,EPN!AV36,SPD!AV36,SPMW!AV36,SSEH!AV36,SSES!AV36)</f>
        <v>0</v>
      </c>
      <c r="AW36" s="184"/>
    </row>
    <row r="37" spans="1:50" ht="15">
      <c r="A37" s="82"/>
      <c r="B37" s="82"/>
      <c r="C37" s="82"/>
      <c r="D37" s="82"/>
      <c r="E37" s="82" t="str">
        <f>CHOOSE($B$3,ENWL!E37,NPgN!E37,NPgY!E37,WMID!E37,EMID!E37,SWALES!E37,SWEST!E37,LPN!E37,SPN!E37,EPN!E37,SPD!E37,SPMW!E37,SSEH!E37,SSES!E37)</f>
        <v>Digitalisation Re-opener</v>
      </c>
      <c r="F37" s="82"/>
      <c r="G37" s="82" t="s">
        <v>105</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v>
      </c>
      <c r="AS37" s="476">
        <f>CHOOSE($B$3,ENWL!AS37,NPgN!AS37,NPgY!AS37,WMID!AS37,EMID!AS37,SWALES!AS37,SWEST!AS37,LPN!AS37,SPN!AS37,EPN!AS37,SPD!AS37,SPMW!AS37,SSEH!AS37,SSES!AS37)</f>
        <v>0</v>
      </c>
      <c r="AT37" s="476">
        <f>CHOOSE($B$3,ENWL!AT37,NPgN!AT37,NPgY!AT37,WMID!AT37,EMID!AT37,SWALES!AT37,SWEST!AT37,LPN!AT37,SPN!AT37,EPN!AT37,SPD!AT37,SPMW!AT37,SSEH!AT37,SSES!AT37)</f>
        <v>0</v>
      </c>
      <c r="AU37" s="476">
        <f>CHOOSE($B$3,ENWL!AU37,NPgN!AU37,NPgY!AU37,WMID!AU37,EMID!AU37,SWALES!AU37,SWEST!AU37,LPN!AU37,SPN!AU37,EPN!AU37,SPD!AU37,SPMW!AU37,SSEH!AU37,SSES!AU37)</f>
        <v>0</v>
      </c>
      <c r="AV37" s="476">
        <f>CHOOSE($B$3,ENWL!AV37,NPgN!AV37,NPgY!AV37,WMID!AV37,EMID!AV37,SWALES!AV37,SWEST!AV37,LPN!AV37,SPN!AV37,EPN!AV37,SPD!AV37,SPMW!AV37,SSEH!AV37,SSES!AV37)</f>
        <v>0</v>
      </c>
      <c r="AW37" s="184"/>
    </row>
    <row r="38" spans="1:50" ht="15">
      <c r="A38" s="82"/>
      <c r="B38" s="82"/>
      <c r="C38" s="82"/>
      <c r="D38" s="82"/>
      <c r="E38" s="82" t="str">
        <f>CHOOSE($B$3,ENWL!E38,NPgN!E38,NPgY!E38,WMID!E38,EMID!E38,SWALES!E38,SWEST!E38,LPN!E38,SPN!E38,EPN!E38,SPD!E38,SPMW!E38,SSEH!E38,SSES!E38)</f>
        <v>PCB Interventions</v>
      </c>
      <c r="F38" s="82"/>
      <c r="G38" s="82" t="s">
        <v>105</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1.0870200000000001</v>
      </c>
      <c r="AS38" s="476">
        <f>CHOOSE($B$3,ENWL!AS38,NPgN!AS38,NPgY!AS38,WMID!AS38,EMID!AS38,SWALES!AS38,SWEST!AS38,LPN!AS38,SPN!AS38,EPN!AS38,SPD!AS38,SPMW!AS38,SSEH!AS38,SSES!AS38)</f>
        <v>4.7184720000000002</v>
      </c>
      <c r="AT38" s="476">
        <f>CHOOSE($B$3,ENWL!AT38,NPgN!AT38,NPgY!AT38,WMID!AT38,EMID!AT38,SWALES!AT38,SWEST!AT38,LPN!AT38,SPN!AT38,EPN!AT38,SPD!AT38,SPMW!AT38,SSEH!AT38,SSES!AT38)</f>
        <v>8.406288</v>
      </c>
      <c r="AU38" s="476">
        <f>CHOOSE($B$3,ENWL!AU38,NPgN!AU38,NPgY!AU38,WMID!AU38,EMID!AU38,SWALES!AU38,SWEST!AU38,LPN!AU38,SPN!AU38,EPN!AU38,SPD!AU38,SPMW!AU38,SSEH!AU38,SSES!AU38)</f>
        <v>0</v>
      </c>
      <c r="AV38" s="476">
        <f>CHOOSE($B$3,ENWL!AV38,NPgN!AV38,NPgY!AV38,WMID!AV38,EMID!AV38,SWALES!AV38,SWEST!AV38,LPN!AV38,SPN!AV38,EPN!AV38,SPD!AV38,SPMW!AV38,SSEH!AV38,SSES!AV38)</f>
        <v>0</v>
      </c>
      <c r="AW38" s="184"/>
    </row>
    <row r="39" spans="1:50" ht="15">
      <c r="A39" s="82"/>
      <c r="B39" s="82"/>
      <c r="C39" s="82"/>
      <c r="D39" s="82"/>
      <c r="E39" s="82" t="str">
        <f>CHOOSE($B$3,ENWL!E39,NPgN!E39,NPgY!E39,WMID!E39,EMID!E39,SWALES!E39,SWEST!E39,LPN!E39,SPN!E39,EPN!E39,SPD!E39,SPMW!E39,SSEH!E39,SSES!E39)</f>
        <v>Visual Amenity Projects</v>
      </c>
      <c r="F39" s="82"/>
      <c r="G39" s="82" t="s">
        <v>105</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0.12277012864963041</v>
      </c>
      <c r="AS39" s="476">
        <f>CHOOSE($B$3,ENWL!AS39,NPgN!AS39,NPgY!AS39,WMID!AS39,EMID!AS39,SWALES!AS39,SWEST!AS39,LPN!AS39,SPN!AS39,EPN!AS39,SPD!AS39,SPMW!AS39,SSEH!AS39,SSES!AS39)</f>
        <v>0.80272635385754232</v>
      </c>
      <c r="AT39" s="476">
        <f>CHOOSE($B$3,ENWL!AT39,NPgN!AT39,NPgY!AT39,WMID!AT39,EMID!AT39,SWALES!AT39,SWEST!AT39,LPN!AT39,SPN!AT39,EPN!AT39,SPD!AT39,SPMW!AT39,SSEH!AT39,SSES!AT39)</f>
        <v>1.5015011724976099</v>
      </c>
      <c r="AU39" s="476">
        <f>CHOOSE($B$3,ENWL!AU39,NPgN!AU39,NPgY!AU39,WMID!AU39,EMID!AU39,SWALES!AU39,SWEST!AU39,LPN!AU39,SPN!AU39,EPN!AU39,SPD!AU39,SPMW!AU39,SSEH!AU39,SSES!AU39)</f>
        <v>1.5015011724976091</v>
      </c>
      <c r="AV39" s="476">
        <f>CHOOSE($B$3,ENWL!AV39,NPgN!AV39,NPgY!AV39,WMID!AV39,EMID!AV39,SWALES!AV39,SWEST!AV39,LPN!AV39,SPN!AV39,EPN!AV39,SPD!AV39,SPMW!AV39,SSEH!AV39,SSES!AV39)</f>
        <v>1.5015011724976084</v>
      </c>
      <c r="AW39" s="184"/>
    </row>
    <row r="40" spans="1:50" ht="15">
      <c r="A40" s="82"/>
      <c r="B40" s="82"/>
      <c r="C40" s="82"/>
      <c r="D40" s="82"/>
      <c r="E40" s="82" t="str">
        <f>CHOOSE($B$3,ENWL!E40,NPgN!E40,NPgY!E40,WMID!E40,EMID!E40,SWALES!E40,SWEST!E40,LPN!E40,SPN!E40,EPN!E40,SPD!E40,SPMW!E40,SSEH!E40,SSES!E40)</f>
        <v>Cyber Resilience OT baseline</v>
      </c>
      <c r="F40" s="82"/>
      <c r="G40" s="82" t="s">
        <v>105</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3.0251288143409791</v>
      </c>
      <c r="AS40" s="476">
        <f>CHOOSE($B$3,ENWL!AS40,NPgN!AS40,NPgY!AS40,WMID!AS40,EMID!AS40,SWALES!AS40,SWEST!AS40,LPN!AS40,SPN!AS40,EPN!AS40,SPD!AS40,SPMW!AS40,SSEH!AS40,SSES!AS40)</f>
        <v>5.2147940662465242</v>
      </c>
      <c r="AT40" s="476">
        <f>CHOOSE($B$3,ENWL!AT40,NPgN!AT40,NPgY!AT40,WMID!AT40,EMID!AT40,SWALES!AT40,SWEST!AT40,LPN!AT40,SPN!AT40,EPN!AT40,SPD!AT40,SPMW!AT40,SSEH!AT40,SSES!AT40)</f>
        <v>2.4856981026147724</v>
      </c>
      <c r="AU40" s="476">
        <f>CHOOSE($B$3,ENWL!AU40,NPgN!AU40,NPgY!AU40,WMID!AU40,EMID!AU40,SWALES!AU40,SWEST!AU40,LPN!AU40,SPN!AU40,EPN!AU40,SPD!AU40,SPMW!AU40,SSEH!AU40,SSES!AU40)</f>
        <v>0.4544371077188587</v>
      </c>
      <c r="AV40" s="476">
        <f>CHOOSE($B$3,ENWL!AV40,NPgN!AV40,NPgY!AV40,WMID!AV40,EMID!AV40,SWALES!AV40,SWEST!AV40,LPN!AV40,SPN!AV40,EPN!AV40,SPD!AV40,SPMW!AV40,SSEH!AV40,SSES!AV40)</f>
        <v>0.4544371077188587</v>
      </c>
      <c r="AW40" s="184"/>
    </row>
    <row r="41" spans="1:50" ht="15">
      <c r="A41" s="82"/>
      <c r="B41" s="82"/>
      <c r="C41" s="82"/>
      <c r="D41" s="82"/>
      <c r="E41" s="82" t="str">
        <f>CHOOSE($B$3,ENWL!E41,NPgN!E41,NPgY!E41,WMID!E41,EMID!E41,SWALES!E41,SWEST!E41,LPN!E41,SPN!E41,EPN!E41,SPD!E41,SPMW!E41,SSEH!E41,SSES!E41)</f>
        <v>Cyber Resilience OT Re-opener</v>
      </c>
      <c r="F41" s="82"/>
      <c r="G41" s="82" t="s">
        <v>105</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1.3567828843754117</v>
      </c>
      <c r="AS41" s="476">
        <f>CHOOSE($B$3,ENWL!AS41,NPgN!AS41,NPgY!AS41,WMID!AS41,EMID!AS41,SWALES!AS41,SWEST!AS41,LPN!AS41,SPN!AS41,EPN!AS41,SPD!AS41,SPMW!AS41,SSEH!AS41,SSES!AS41)</f>
        <v>5.8228996376647384</v>
      </c>
      <c r="AT41" s="476">
        <f>CHOOSE($B$3,ENWL!AT41,NPgN!AT41,NPgY!AT41,WMID!AT41,EMID!AT41,SWALES!AT41,SWEST!AT41,LPN!AT41,SPN!AT41,EPN!AT41,SPD!AT41,SPMW!AT41,SSEH!AT41,SSES!AT41)</f>
        <v>3.6844292058871524</v>
      </c>
      <c r="AU41" s="476">
        <f>CHOOSE($B$3,ENWL!AU41,NPgN!AU41,NPgY!AU41,WMID!AU41,EMID!AU41,SWALES!AU41,SWEST!AU41,LPN!AU41,SPN!AU41,EPN!AU41,SPD!AU41,SPMW!AU41,SSEH!AU41,SSES!AU41)</f>
        <v>1.2534731346989161</v>
      </c>
      <c r="AV41" s="476">
        <f>CHOOSE($B$3,ENWL!AV41,NPgN!AV41,NPgY!AV41,WMID!AV41,EMID!AV41,SWALES!AV41,SWEST!AV41,LPN!AV41,SPN!AV41,EPN!AV41,SPD!AV41,SPMW!AV41,SSEH!AV41,SSES!AV41)</f>
        <v>1.0120070437258475</v>
      </c>
      <c r="AW41" s="184"/>
    </row>
    <row r="42" spans="1:50" ht="15">
      <c r="A42" s="82"/>
      <c r="B42" s="82"/>
      <c r="C42" s="82"/>
      <c r="D42" s="82"/>
      <c r="E42" s="82" t="str">
        <f>CHOOSE($B$3,ENWL!E42,NPgN!E42,NPgY!E42,WMID!E42,EMID!E42,SWALES!E42,SWEST!E42,LPN!E42,SPN!E42,EPN!E42,SPD!E42,SPMW!E42,SSEH!E42,SSES!E42)</f>
        <v>Cyber Resilience IT Re-opener</v>
      </c>
      <c r="F42" s="82"/>
      <c r="G42" s="82" t="s">
        <v>105</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0.90483933642877112</v>
      </c>
      <c r="AS42" s="476">
        <f>CHOOSE($B$3,ENWL!AS42,NPgN!AS42,NPgY!AS42,WMID!AS42,EMID!AS42,SWALES!AS42,SWEST!AS42,LPN!AS42,SPN!AS42,EPN!AS42,SPD!AS42,SPMW!AS42,SSEH!AS42,SSES!AS42)</f>
        <v>0.7079540459447361</v>
      </c>
      <c r="AT42" s="476">
        <f>CHOOSE($B$3,ENWL!AT42,NPgN!AT42,NPgY!AT42,WMID!AT42,EMID!AT42,SWALES!AT42,SWEST!AT42,LPN!AT42,SPN!AT42,EPN!AT42,SPD!AT42,SPMW!AT42,SSEH!AT42,SSES!AT42)</f>
        <v>1.1078784008342608</v>
      </c>
      <c r="AU42" s="476">
        <f>CHOOSE($B$3,ENWL!AU42,NPgN!AU42,NPgY!AU42,WMID!AU42,EMID!AU42,SWALES!AU42,SWEST!AU42,LPN!AU42,SPN!AU42,EPN!AU42,SPD!AU42,SPMW!AU42,SSEH!AU42,SSES!AU42)</f>
        <v>0.46619896351755913</v>
      </c>
      <c r="AV42" s="476">
        <f>CHOOSE($B$3,ENWL!AV42,NPgN!AV42,NPgY!AV42,WMID!AV42,EMID!AV42,SWALES!AV42,SWEST!AV42,LPN!AV42,SPN!AV42,EPN!AV42,SPD!AV42,SPMW!AV42,SSEH!AV42,SSES!AV42)</f>
        <v>0.45329524220591244</v>
      </c>
      <c r="AW42" s="184"/>
    </row>
    <row r="43" spans="1:50" ht="15">
      <c r="A43" s="82"/>
      <c r="B43" s="82"/>
      <c r="C43" s="82"/>
      <c r="D43" s="82"/>
      <c r="E43" s="82" t="str">
        <f>CHOOSE($B$3,ENWL!E43,NPgN!E43,NPgY!E43,WMID!E43,EMID!E43,SWALES!E43,SWEST!E43,LPN!E43,SPN!E43,EPN!E43,SPD!E43,SPMW!E43,SSEH!E43,SSES!E43)</f>
        <v>Off-gas Grid Mechanistic Price Control Deliverable</v>
      </c>
      <c r="F43" s="82"/>
      <c r="G43" s="82" t="s">
        <v>105</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5">
      <c r="A44" s="82"/>
      <c r="B44" s="82"/>
      <c r="C44" s="82"/>
      <c r="D44" s="82"/>
      <c r="E44" s="82" t="s">
        <v>113</v>
      </c>
      <c r="F44" s="82"/>
      <c r="G44" s="82" t="s">
        <v>105</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5">
      <c r="A45" s="82"/>
      <c r="B45" s="82"/>
      <c r="C45" s="82"/>
      <c r="D45" s="82"/>
      <c r="E45" s="82" t="str">
        <f>CHOOSE($B$3,ENWL!E45,NPgN!E45,NPgY!E45,WMID!E45,EMID!E45,SWALES!E45,SWEST!E45,LPN!E45,SPN!E45,EPN!E45,SPD!E45,SPMW!E45,SSEH!E45,SSES!E45)</f>
        <v>West Coast of Cumbria Re-opener (ENWL only)</v>
      </c>
      <c r="F45" s="82"/>
      <c r="G45" s="82" t="s">
        <v>105</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5">
      <c r="A46" s="82"/>
      <c r="B46" s="82"/>
      <c r="C46" s="82"/>
      <c r="D46" s="82"/>
      <c r="E46" s="82" t="str">
        <f>CHOOSE($B$3,ENWL!E46,NPgN!E46,NPgY!E46,WMID!E46,EMID!E46,SWALES!E46,SWEST!E46,LPN!E46,SPN!E46,EPN!E46,SPD!E46,SPMW!E46,SSEH!E46,SSES!E46)</f>
        <v>Shetland Enduring Solution Re-opener (SSEH only)</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5">
      <c r="A47" s="82"/>
      <c r="B47" s="82"/>
      <c r="C47" s="82"/>
      <c r="D47" s="82"/>
      <c r="E47" s="82" t="str">
        <f>CHOOSE($B$3,ENWL!E47,NPgN!E47,NPgY!E47,WMID!E47,EMID!E47,SWALES!E47,SWEST!E47,LPN!E47,SPN!E47,EPN!E47,SPD!E47,SPMW!E47,SSEH!E47,SSES!E47)</f>
        <v>Shetland Extension Fixed Energy Costs Re-opener (SSEH only)</v>
      </c>
      <c r="F47" s="82"/>
      <c r="G47" s="82" t="s">
        <v>105</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5">
      <c r="A48" s="82"/>
      <c r="B48" s="82"/>
      <c r="C48" s="82"/>
      <c r="D48" s="82"/>
      <c r="E48" s="82" t="str">
        <f>CHOOSE($B$3,ENWL!E48,NPgN!E48,NPgY!E48,WMID!E48,EMID!E48,SWALES!E48,SWEST!E48,LPN!E48,SPN!E48,EPN!E48,SPD!E48,SPMW!E48,SSEH!E48,SSES!E48)</f>
        <v>Hebrides and Orkney Re-opener (SSEH only)</v>
      </c>
      <c r="F48" s="82"/>
      <c r="G48" s="82" t="s">
        <v>105</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5">
      <c r="A49" s="82"/>
      <c r="B49" s="82"/>
      <c r="C49" s="82"/>
      <c r="D49" s="82"/>
      <c r="E49" s="82" t="str">
        <f>CHOOSE($B$3,ENWL!E49,NPgN!E49,NPgY!E49,WMID!E49,EMID!E49,SWALES!E49,SWEST!E49,LPN!E49,SPN!E49,EPN!E49,SPD!E49,SPMW!E49,SSEH!E49,SSES!E49)</f>
        <v>Smart Street Mechanistic Price Control Deliverable (ENWL only)</v>
      </c>
      <c r="F49" s="82"/>
      <c r="G49" s="82" t="s">
        <v>105</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0</v>
      </c>
      <c r="AS49" s="476">
        <f>CHOOSE($B$3,ENWL!AS49,NPgN!AS49,NPgY!AS49,WMID!AS49,EMID!AS49,SWALES!AS49,SWEST!AS49,LPN!AS49,SPN!AS49,EPN!AS49,SPD!AS49,SPMW!AS49,SSEH!AS49,SSES!AS49)</f>
        <v>0</v>
      </c>
      <c r="AT49" s="476">
        <f>CHOOSE($B$3,ENWL!AT49,NPgN!AT49,NPgY!AT49,WMID!AT49,EMID!AT49,SWALES!AT49,SWEST!AT49,LPN!AT49,SPN!AT49,EPN!AT49,SPD!AT49,SPMW!AT49,SSEH!AT49,SSES!AT49)</f>
        <v>0</v>
      </c>
      <c r="AU49" s="476">
        <f>CHOOSE($B$3,ENWL!AU49,NPgN!AU49,NPgY!AU49,WMID!AU49,EMID!AU49,SWALES!AU49,SWEST!AU49,LPN!AU49,SPN!AU49,EPN!AU49,SPD!AU49,SPMW!AU49,SSEH!AU49,SSES!AU49)</f>
        <v>0</v>
      </c>
      <c r="AV49" s="476">
        <f>CHOOSE($B$3,ENWL!AV49,NPgN!AV49,NPgY!AV49,WMID!AV49,EMID!AV49,SWALES!AV49,SWEST!AV49,LPN!AV49,SPN!AV49,EPN!AV49,SPD!AV49,SPMW!AV49,SSEH!AV49,SSES!AV49)</f>
        <v>0</v>
      </c>
      <c r="AW49" s="184"/>
    </row>
    <row r="50" spans="1:49" ht="15">
      <c r="A50" s="82"/>
      <c r="B50" s="82"/>
      <c r="C50" s="82"/>
      <c r="D50" s="82"/>
      <c r="E50" s="82" t="str">
        <f>CHOOSE($B$3,ENWL!E50,NPgN!E50,NPgY!E50,WMID!E50,EMID!E50,SWALES!E50,SWEST!E50,LPN!E50,SPN!E50,EPN!E50,SPD!E50,SPMW!E50,SSEH!E50,SSES!E50)</f>
        <v>Worst Served Customers</v>
      </c>
      <c r="F50" s="82"/>
      <c r="G50" s="82" t="s">
        <v>105</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2.9058668770545453E-2</v>
      </c>
      <c r="AS50" s="476">
        <f>CHOOSE($B$3,ENWL!AS50,NPgN!AS50,NPgY!AS50,WMID!AS50,EMID!AS50,SWALES!AS50,SWEST!AS50,LPN!AS50,SPN!AS50,EPN!AS50,SPD!AS50,SPMW!AS50,SSEH!AS50,SSES!AS50)</f>
        <v>6.495915034856907E-2</v>
      </c>
      <c r="AT50" s="476">
        <f>CHOOSE($B$3,ENWL!AT50,NPgN!AT50,NPgY!AT50,WMID!AT50,EMID!AT50,SWALES!AT50,SWEST!AT50,LPN!AT50,SPN!AT50,EPN!AT50,SPD!AT50,SPMW!AT50,SSEH!AT50,SSES!AT50)</f>
        <v>0.25866072696029513</v>
      </c>
      <c r="AU50" s="476">
        <f>CHOOSE($B$3,ENWL!AU50,NPgN!AU50,NPgY!AU50,WMID!AU50,EMID!AU50,SWALES!AU50,SWEST!AU50,LPN!AU50,SPN!AU50,EPN!AU50,SPD!AU50,SPMW!AU50,SSEH!AU50,SSES!AU50)</f>
        <v>0.25866072696029513</v>
      </c>
      <c r="AV50" s="476">
        <f>CHOOSE($B$3,ENWL!AV50,NPgN!AV50,NPgY!AV50,WMID!AV50,EMID!AV50,SWALES!AV50,SWEST!AV50,LPN!AV50,SPN!AV50,EPN!AV50,SPD!AV50,SPMW!AV50,SSEH!AV50,SSES!AV50)</f>
        <v>0.25866072696029507</v>
      </c>
      <c r="AW50" s="184"/>
    </row>
    <row r="51" spans="1:49" ht="15">
      <c r="A51" s="82"/>
      <c r="B51" s="82"/>
      <c r="C51" s="82"/>
      <c r="D51" s="82"/>
      <c r="E51" s="82" t="str">
        <f>CHOOSE($B$3,ENWL!E51,NPgN!E51,NPgY!E51,WMID!E51,EMID!E51,SWALES!E51,SWEST!E51,LPN!E51,SPN!E51,EPN!E51,SPD!E51,SPMW!E51,SSEH!E51,SSES!E51)</f>
        <v>EV Optioneering Projects</v>
      </c>
      <c r="F51" s="82"/>
      <c r="G51" s="82" t="s">
        <v>105</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5">
      <c r="A52" s="82"/>
      <c r="B52" s="82"/>
      <c r="C52" s="82"/>
      <c r="D52" s="82"/>
      <c r="E52" s="82" t="str">
        <f>CHOOSE($B$3,ENWL!E52,NPgN!E52,NPgY!E52,WMID!E52,EMID!E52,SWALES!E52,SWEST!E52,LPN!E52,SPN!E52,EPN!E52,SPD!E52,SPMW!E52,SSEH!E52,SSES!E52)</f>
        <v>Cyber Resilience IT baseline</v>
      </c>
      <c r="F52" s="82"/>
      <c r="G52" s="82" t="s">
        <v>105</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1.8778697315326225</v>
      </c>
      <c r="AS52" s="476">
        <f>CHOOSE($B$3,ENWL!AS52,NPgN!AS52,NPgY!AS52,WMID!AS52,EMID!AS52,SWALES!AS52,SWEST!AS52,LPN!AS52,SPN!AS52,EPN!AS52,SPD!AS52,SPMW!AS52,SSEH!AS52,SSES!AS52)</f>
        <v>1.8233308489477031</v>
      </c>
      <c r="AT52" s="476">
        <f>CHOOSE($B$3,ENWL!AT52,NPgN!AT52,NPgY!AT52,WMID!AT52,EMID!AT52,SWALES!AT52,SWEST!AT52,LPN!AT52,SPN!AT52,EPN!AT52,SPD!AT52,SPMW!AT52,SSEH!AT52,SSES!AT52)</f>
        <v>0.34358248289552884</v>
      </c>
      <c r="AU52" s="476">
        <f>CHOOSE($B$3,ENWL!AU52,NPgN!AU52,NPgY!AU52,WMID!AU52,EMID!AU52,SWALES!AU52,SWEST!AU52,LPN!AU52,SPN!AU52,EPN!AU52,SPD!AU52,SPMW!AU52,SSEH!AU52,SSES!AU52)</f>
        <v>0.23412548790587023</v>
      </c>
      <c r="AV52" s="476">
        <f>CHOOSE($B$3,ENWL!AV52,NPgN!AV52,NPgY!AV52,WMID!AV52,EMID!AV52,SWALES!AV52,SWEST!AV52,LPN!AV52,SPN!AV52,EPN!AV52,SPD!AV52,SPMW!AV52,SSEH!AV52,SSES!AV52)</f>
        <v>0.2202465608941582</v>
      </c>
      <c r="AW52" s="184"/>
    </row>
    <row r="53" spans="1:49" ht="15">
      <c r="A53" s="82"/>
      <c r="B53" s="82"/>
      <c r="C53" s="82"/>
      <c r="D53" s="82"/>
      <c r="E53" s="82" t="str">
        <f>CHOOSE($B$3,ENWL!E53,NPgN!E53,NPgY!E53,WMID!E53,EMID!E53,SWALES!E53,SWEST!E53,LPN!E53,SPN!E53,EPN!E53,SPD!E53,SPMW!E53,SSEH!E53,SSES!E53)</f>
        <v>Wayleaves and Diversions Re-opener</v>
      </c>
      <c r="F53" s="82"/>
      <c r="G53" s="82" t="s">
        <v>105</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2.0422929042753846</v>
      </c>
      <c r="AS53" s="476">
        <f>CHOOSE($B$3,ENWL!AS53,NPgN!AS53,NPgY!AS53,WMID!AS53,EMID!AS53,SWALES!AS53,SWEST!AS53,LPN!AS53,SPN!AS53,EPN!AS53,SPD!AS53,SPMW!AS53,SSEH!AS53,SSES!AS53)</f>
        <v>1.8554094570414685</v>
      </c>
      <c r="AT53" s="476">
        <f>CHOOSE($B$3,ENWL!AT53,NPgN!AT53,NPgY!AT53,WMID!AT53,EMID!AT53,SWALES!AT53,SWEST!AT53,LPN!AT53,SPN!AT53,EPN!AT53,SPD!AT53,SPMW!AT53,SSEH!AT53,SSES!AT53)</f>
        <v>0.1259120033531298</v>
      </c>
      <c r="AU53" s="476">
        <f>CHOOSE($B$3,ENWL!AU53,NPgN!AU53,NPgY!AU53,WMID!AU53,EMID!AU53,SWALES!AU53,SWEST!AU53,LPN!AU53,SPN!AU53,EPN!AU53,SPD!AU53,SPMW!AU53,SSEH!AU53,SSES!AU53)</f>
        <v>2.5934640811908771E-2</v>
      </c>
      <c r="AV53" s="476">
        <f>CHOOSE($B$3,ENWL!AV53,NPgN!AV53,NPgY!AV53,WMID!AV53,EMID!AV53,SWALES!AV53,SWEST!AV53,LPN!AV53,SPN!AV53,EPN!AV53,SPD!AV53,SPMW!AV53,SSEH!AV53,SSES!AV53)</f>
        <v>9.2349636922068434E-2</v>
      </c>
      <c r="AW53" s="184"/>
    </row>
    <row r="54" spans="1:49" ht="15">
      <c r="A54" s="82"/>
      <c r="B54" s="82"/>
      <c r="C54" s="82"/>
      <c r="D54" s="82"/>
      <c r="E54" s="82" t="str">
        <f>CHOOSE($B$3,ENWL!E54,NPgN!E54,NPgY!E54,WMID!E54,EMID!E54,SWALES!E54,SWEST!E54,LPN!E54,SPN!E54,EPN!E54,SPD!E54,SPMW!E54,SSEH!E54,SSES!E54)</f>
        <v>Indirects Scaler</v>
      </c>
      <c r="F54" s="82"/>
      <c r="G54" s="82" t="s">
        <v>105</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0.5566029486466606</v>
      </c>
      <c r="AS54" s="476">
        <f>CHOOSE($B$3,ENWL!AS54,NPgN!AS54,NPgY!AS54,WMID!AS54,EMID!AS54,SWALES!AS54,SWEST!AS54,LPN!AS54,SPN!AS54,EPN!AS54,SPD!AS54,SPMW!AS54,SSEH!AS54,SSES!AS54)</f>
        <v>0.5529214894512523</v>
      </c>
      <c r="AT54" s="476">
        <f>CHOOSE($B$3,ENWL!AT54,NPgN!AT54,NPgY!AT54,WMID!AT54,EMID!AT54,SWALES!AT54,SWEST!AT54,LPN!AT54,SPN!AT54,EPN!AT54,SPD!AT54,SPMW!AT54,SSEH!AT54,SSES!AT54)</f>
        <v>1.1938790061369189</v>
      </c>
      <c r="AU54" s="476">
        <f>CHOOSE($B$3,ENWL!AU54,NPgN!AU54,NPgY!AU54,WMID!AU54,EMID!AU54,SWALES!AU54,SWEST!AU54,LPN!AU54,SPN!AU54,EPN!AU54,SPD!AU54,SPMW!AU54,SSEH!AU54,SSES!AU54)</f>
        <v>1.6540237383317977</v>
      </c>
      <c r="AV54" s="476">
        <f>CHOOSE($B$3,ENWL!AV54,NPgN!AV54,NPgY!AV54,WMID!AV54,EMID!AV54,SWALES!AV54,SWEST!AV54,LPN!AV54,SPN!AV54,EPN!AV54,SPD!AV54,SPMW!AV54,SSEH!AV54,SSES!AV54)</f>
        <v>1.8788928174333694</v>
      </c>
      <c r="AW54" s="184"/>
    </row>
    <row r="55" spans="1:49" ht="15">
      <c r="A55" s="82"/>
      <c r="B55" s="82"/>
      <c r="C55" s="82"/>
      <c r="D55" s="82"/>
      <c r="E55" s="182" t="str">
        <f>CHOOSE($B$3,ENWL!E55,NPgN!E55,NPgY!E55,WMID!E55,EMID!E55,SWALES!E55,SWEST!E55,LPN!E55,SPN!E55,EPN!E55,SPD!E55,SPMW!E55,SSEH!E55,SSES!E55)</f>
        <v>LineSIGHT Mechanistic Price Control Deliverable (ENWL only)</v>
      </c>
      <c r="F55" s="82"/>
      <c r="G55" s="82" t="s">
        <v>105</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0</v>
      </c>
      <c r="AS55" s="476">
        <f>CHOOSE($B$3,ENWL!AS55,NPgN!AS55,NPgY!AS55,WMID!AS55,EMID!AS55,SWALES!AS55,SWEST!AS55,LPN!AS55,SPN!AS55,EPN!AS55,SPD!AS55,SPMW!AS55,SSEH!AS55,SSES!AS55)</f>
        <v>0</v>
      </c>
      <c r="AT55" s="476">
        <f>CHOOSE($B$3,ENWL!AT55,NPgN!AT55,NPgY!AT55,WMID!AT55,EMID!AT55,SWALES!AT55,SWEST!AT55,LPN!AT55,SPN!AT55,EPN!AT55,SPD!AT55,SPMW!AT55,SSEH!AT55,SSES!AT55)</f>
        <v>0</v>
      </c>
      <c r="AU55" s="476">
        <f>CHOOSE($B$3,ENWL!AU55,NPgN!AU55,NPgY!AU55,WMID!AU55,EMID!AU55,SWALES!AU55,SWEST!AU55,LPN!AU55,SPN!AU55,EPN!AU55,SPD!AU55,SPMW!AU55,SSEH!AU55,SSES!AU55)</f>
        <v>0</v>
      </c>
      <c r="AV55" s="476">
        <f>CHOOSE($B$3,ENWL!AV55,NPgN!AV55,NPgY!AV55,WMID!AV55,EMID!AV55,SWALES!AV55,SWEST!AV55,LPN!AV55,SPN!AV55,EPN!AV55,SPD!AV55,SPMW!AV55,SSEH!AV55,SSES!AV55)</f>
        <v>0</v>
      </c>
      <c r="AW55" s="184"/>
    </row>
    <row r="56" spans="1:49" ht="15">
      <c r="A56" s="82"/>
      <c r="B56" s="82"/>
      <c r="C56" s="82"/>
      <c r="D56" s="82"/>
      <c r="E56" s="182" t="str">
        <f>CHOOSE($B$3,ENWL!E56,NPgN!E56,NPgY!E56,WMID!E56,EMID!E56,SWALES!E56,SWEST!E56,LPN!E56,SPN!E56,EPN!E56,SPD!E56,SPMW!E56,SSEH!E56,SSES!E56)</f>
        <v>New Depot (EMID, SWALES, SWEST and WMID only)</v>
      </c>
      <c r="F56" s="82"/>
      <c r="G56" s="82" t="s">
        <v>105</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v>
      </c>
      <c r="AS56" s="476">
        <f>CHOOSE($B$3,ENWL!AS56,NPgN!AS56,NPgY!AS56,WMID!AS56,EMID!AS56,SWALES!AS56,SWEST!AS56,LPN!AS56,SPN!AS56,EPN!AS56,SPD!AS56,SPMW!AS56,SSEH!AS56,SSES!AS56)</f>
        <v>0</v>
      </c>
      <c r="AT56" s="476">
        <f>CHOOSE($B$3,ENWL!AT56,NPgN!AT56,NPgY!AT56,WMID!AT56,EMID!AT56,SWALES!AT56,SWEST!AT56,LPN!AT56,SPN!AT56,EPN!AT56,SPD!AT56,SPMW!AT56,SSEH!AT56,SSES!AT56)</f>
        <v>0</v>
      </c>
      <c r="AU56" s="476">
        <f>CHOOSE($B$3,ENWL!AU56,NPgN!AU56,NPgY!AU56,WMID!AU56,EMID!AU56,SWALES!AU56,SWEST!AU56,LPN!AU56,SPN!AU56,EPN!AU56,SPD!AU56,SPMW!AU56,SSEH!AU56,SSES!AU56)</f>
        <v>0</v>
      </c>
      <c r="AV56" s="476">
        <f>CHOOSE($B$3,ENWL!AV56,NPgN!AV56,NPgY!AV56,WMID!AV56,EMID!AV56,SWALES!AV56,SWEST!AV56,LPN!AV56,SPN!AV56,EPN!AV56,SPD!AV56,SPMW!AV56,SSEH!AV56,SSES!AV56)</f>
        <v>0</v>
      </c>
      <c r="AW56" s="184"/>
    </row>
    <row r="57" spans="1:49" ht="15">
      <c r="A57" s="82"/>
      <c r="B57" s="82"/>
      <c r="C57" s="82"/>
      <c r="D57" s="82"/>
      <c r="E57" s="182" t="str">
        <f>CHOOSE($B$3,ENWL!E57,NPgN!E57,NPgY!E57,WMID!E57,EMID!E57,SWALES!E57,SWEST!E57,LPN!E57,SPN!E57,EPN!E57,SPD!E57,SPMW!E57,SSEH!E57,SSES!E57)</f>
        <v>New Control Room (SSES and SSEH only)</v>
      </c>
      <c r="F57" s="82"/>
      <c r="G57" s="82" t="s">
        <v>105</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5">
      <c r="A58" s="82"/>
      <c r="B58" s="82"/>
      <c r="C58" s="82"/>
      <c r="D58" s="82"/>
      <c r="E58" s="182" t="str">
        <f>CHOOSE($B$3,ENWL!E58,NPgN!E58,NPgY!E58,WMID!E58,EMID!E58,SWALES!E58,SWEST!E58,LPN!E58,SPN!E58,EPN!E58,SPD!E58,SPMW!E58,SSEH!E58,SSES!E58)</f>
        <v>Storm Arwen Re-opener</v>
      </c>
      <c r="F58" s="82"/>
      <c r="G58" s="82" t="s">
        <v>105</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7.3691932467225369E-3</v>
      </c>
      <c r="AS58" s="476">
        <f>CHOOSE($B$3,ENWL!AS58,NPgN!AS58,NPgY!AS58,WMID!AS58,EMID!AS58,SWALES!AS58,SWEST!AS58,LPN!AS58,SPN!AS58,EPN!AS58,SPD!AS58,SPMW!AS58,SSEH!AS58,SSES!AS58)</f>
        <v>0.11527752235129568</v>
      </c>
      <c r="AT58" s="476">
        <f>CHOOSE($B$3,ENWL!AT58,NPgN!AT58,NPgY!AT58,WMID!AT58,EMID!AT58,SWALES!AT58,SWEST!AT58,LPN!AT58,SPN!AT58,EPN!AT58,SPD!AT58,SPMW!AT58,SSEH!AT58,SSES!AT58)</f>
        <v>1.2534244697641355</v>
      </c>
      <c r="AU58" s="476">
        <f>CHOOSE($B$3,ENWL!AU58,NPgN!AU58,NPgY!AU58,WMID!AU58,EMID!AU58,SWALES!AU58,SWEST!AU58,LPN!AU58,SPN!AU58,EPN!AU58,SPD!AU58,SPMW!AU58,SSEH!AU58,SSES!AU58)</f>
        <v>12.246446609108023</v>
      </c>
      <c r="AV58" s="476">
        <f>CHOOSE($B$3,ENWL!AV58,NPgN!AV58,NPgY!AV58,WMID!AV58,EMID!AV58,SWALES!AV58,SWEST!AV58,LPN!AV58,SPN!AV58,EPN!AV58,SPD!AV58,SPMW!AV58,SSEH!AV58,SSES!AV58)</f>
        <v>12.243548653127828</v>
      </c>
      <c r="AW58" s="184"/>
    </row>
    <row r="59" spans="1:49" ht="15">
      <c r="A59" s="82"/>
      <c r="B59" s="82"/>
      <c r="C59" s="82"/>
      <c r="D59" s="82"/>
      <c r="E59" s="182" t="str">
        <f>CHOOSE($B$3,ENWL!E59,NPgN!E59,NPgY!E59,WMID!E59,EMID!E59,SWALES!E59,SWEST!E59,LPN!E59,SPN!E59,EPN!E59,SPD!E59,SPMW!E59,SSEH!E59,SSES!E59)</f>
        <v>High Value Projects Re-opener</v>
      </c>
      <c r="F59" s="82"/>
      <c r="G59" s="82" t="s">
        <v>105</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0</v>
      </c>
      <c r="AS59" s="476">
        <f>CHOOSE($B$3,ENWL!AS59,NPgN!AS59,NPgY!AS59,WMID!AS59,EMID!AS59,SWALES!AS59,SWEST!AS59,LPN!AS59,SPN!AS59,EPN!AS59,SPD!AS59,SPMW!AS59,SSEH!AS59,SSES!AS59)</f>
        <v>0</v>
      </c>
      <c r="AT59" s="476">
        <f>CHOOSE($B$3,ENWL!AT59,NPgN!AT59,NPgY!AT59,WMID!AT59,EMID!AT59,SWALES!AT59,SWEST!AT59,LPN!AT59,SPN!AT59,EPN!AT59,SPD!AT59,SPMW!AT59,SSEH!AT59,SSES!AT59)</f>
        <v>0</v>
      </c>
      <c r="AU59" s="476">
        <f>CHOOSE($B$3,ENWL!AU59,NPgN!AU59,NPgY!AU59,WMID!AU59,EMID!AU59,SWALES!AU59,SWEST!AU59,LPN!AU59,SPN!AU59,EPN!AU59,SPD!AU59,SPMW!AU59,SSEH!AU59,SSES!AU59)</f>
        <v>0</v>
      </c>
      <c r="AV59" s="476">
        <f>CHOOSE($B$3,ENWL!AV59,NPgN!AV59,NPgY!AV59,WMID!AV59,EMID!AV59,SWALES!AV59,SWEST!AV59,LPN!AV59,SPN!AV59,EPN!AV59,SPD!AV59,SPMW!AV59,SSEH!AV59,SSES!AV59)</f>
        <v>0</v>
      </c>
      <c r="AW59" s="184"/>
    </row>
    <row r="60" spans="1:49" ht="15">
      <c r="A60" s="82"/>
      <c r="B60" s="82"/>
      <c r="C60" s="82"/>
      <c r="D60" s="82"/>
      <c r="E60" s="182" t="str">
        <f>CHOOSE($B$3,ENWL!E60,NPgN!E60,NPgY!E60,WMID!E60,EMID!E60,SWALES!E60,SWEST!E60,LPN!E60,SPN!E60,EPN!E60,SPD!E60,SPMW!E60,SSEH!E60,SSES!E60)</f>
        <v>Strategic Investment</v>
      </c>
      <c r="F60" s="82"/>
      <c r="G60" s="82" t="s">
        <v>105</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5">
      <c r="A61" s="82"/>
      <c r="B61" s="82"/>
      <c r="C61" s="82"/>
      <c r="D61" s="82"/>
      <c r="E61" s="182" t="str">
        <f>CHOOSE($B$3,ENWL!E61,NPgN!E61,NPgY!E61,WMID!E61,EMID!E61,SWALES!E61,SWEST!E61,LPN!E61,SPN!E61,EPN!E61,SPD!E61,SPMW!E61,SSEH!E61,SSES!E61)</f>
        <v>Carry-over Green Recovery Scheme</v>
      </c>
      <c r="F61" s="82"/>
      <c r="G61" s="82" t="s">
        <v>105</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6.1885114975789772</v>
      </c>
      <c r="AS61" s="476">
        <f>CHOOSE($B$3,ENWL!AS61,NPgN!AS61,NPgY!AS61,WMID!AS61,EMID!AS61,SWALES!AS61,SWEST!AS61,LPN!AS61,SPN!AS61,EPN!AS61,SPD!AS61,SPMW!AS61,SSEH!AS61,SSES!AS61)</f>
        <v>6.5252669062832664</v>
      </c>
      <c r="AT61" s="476">
        <f>CHOOSE($B$3,ENWL!AT61,NPgN!AT61,NPgY!AT61,WMID!AT61,EMID!AT61,SWALES!AT61,SWEST!AT61,LPN!AT61,SPN!AT61,EPN!AT61,SPD!AT61,SPMW!AT61,SSEH!AT61,SSES!AT61)</f>
        <v>4.2227437710912117</v>
      </c>
      <c r="AU61" s="476">
        <f>CHOOSE($B$3,ENWL!AU61,NPgN!AU61,NPgY!AU61,WMID!AU61,EMID!AU61,SWALES!AU61,SWEST!AU61,LPN!AU61,SPN!AU61,EPN!AU61,SPD!AU61,SPMW!AU61,SSEH!AU61,SSES!AU61)</f>
        <v>1.2910132079303269</v>
      </c>
      <c r="AV61" s="476">
        <f>CHOOSE($B$3,ENWL!AV61,NPgN!AV61,NPgY!AV61,WMID!AV61,EMID!AV61,SWALES!AV61,SWEST!AV61,LPN!AV61,SPN!AV61,EPN!AV61,SPD!AV61,SPMW!AV61,SSEH!AV61,SSES!AV61)</f>
        <v>0</v>
      </c>
      <c r="AW61" s="184"/>
    </row>
    <row r="62" spans="1:49" ht="15">
      <c r="A62" s="82"/>
      <c r="B62" s="82"/>
      <c r="C62" s="82"/>
      <c r="D62" s="82"/>
      <c r="E62" s="182" t="str">
        <f>CHOOSE($B$3,ENWL!E62,NPgN!E62,NPgY!E62,WMID!E62,EMID!E62,SWALES!E62,SWEST!E62,LPN!E62,SPN!E62,EPN!E62,SPD!E62,SPMW!E62,SSEH!E62,SSES!E62)</f>
        <v>1-in-20 Severe Weather Event</v>
      </c>
      <c r="F62" s="82"/>
      <c r="G62" s="82" t="s">
        <v>105</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5">
      <c r="A63" s="82"/>
      <c r="B63" s="82"/>
      <c r="C63" s="82"/>
      <c r="D63" s="82"/>
      <c r="E63" s="182" t="str">
        <f>CHOOSE($B$3,ENWL!E63,NPgN!E63,NPgY!E63,WMID!E63,EMID!E63,SWALES!E63,SWEST!E63,LPN!E63,SPN!E63,EPN!E63,SPD!E63,SPMW!E63,SSEH!E63,SSES!E63)</f>
        <v>Net to Gross Load Related Expenditure</v>
      </c>
      <c r="F63" s="82"/>
      <c r="G63" s="82" t="s">
        <v>105</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5">
      <c r="A64" s="82"/>
      <c r="B64" s="82"/>
      <c r="C64" s="82"/>
      <c r="D64" s="82"/>
      <c r="E64" s="182">
        <f>CHOOSE($B$3,ENWL!E64,NPgN!E64,NPgY!E64,WMID!E64,EMID!E64,SWALES!E64,SWEST!E64,LPN!E64,SPN!E64,EPN!E64,SPD!E64,SPMW!E64,SSEH!E64,SSES!E64)</f>
        <v>0</v>
      </c>
      <c r="F64" s="82"/>
      <c r="G64" s="82" t="s">
        <v>105</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5">
      <c r="A65" s="82"/>
      <c r="B65" s="82"/>
      <c r="C65" s="82"/>
      <c r="D65" s="82"/>
      <c r="E65" s="182">
        <f>CHOOSE($B$3,ENWL!E65,NPgN!E65,NPgY!E65,WMID!E65,EMID!E65,SWALES!E65,SWEST!E65,LPN!E65,SPN!E65,EPN!E65,SPD!E65,SPMW!E65,SSEH!E65,SSES!E65)</f>
        <v>0</v>
      </c>
      <c r="F65" s="82"/>
      <c r="G65" s="82" t="s">
        <v>105</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5">
      <c r="A66" s="82"/>
      <c r="B66" s="82"/>
      <c r="C66" s="82"/>
      <c r="D66" s="82"/>
      <c r="E66" s="182">
        <f>CHOOSE($B$3,ENWL!E66,NPgN!E66,NPgY!E66,WMID!E66,EMID!E66,SWALES!E66,SWEST!E66,LPN!E66,SPN!E66,EPN!E66,SPD!E66,SPMW!E66,SSEH!E66,SSES!E66)</f>
        <v>0</v>
      </c>
      <c r="F66" s="82"/>
      <c r="G66" s="82" t="s">
        <v>105</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5">
      <c r="A67" s="82"/>
      <c r="B67" s="82"/>
      <c r="C67" s="82"/>
      <c r="D67" s="82"/>
      <c r="E67" s="182">
        <f>CHOOSE($B$3,ENWL!E67,NPgN!E67,NPgY!E67,WMID!E67,EMID!E67,SWALES!E67,SWEST!E67,LPN!E67,SPN!E67,EPN!E67,SPD!E67,SPMW!E67,SSEH!E67,SSES!E67)</f>
        <v>0</v>
      </c>
      <c r="F67" s="82"/>
      <c r="G67" s="82" t="s">
        <v>105</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5">
      <c r="A68" s="82"/>
      <c r="B68" s="82"/>
      <c r="C68" s="82"/>
      <c r="D68" s="82"/>
      <c r="E68" s="182">
        <f>CHOOSE($B$3,ENWL!E68,NPgN!E68,NPgY!E68,WMID!E68,EMID!E68,SWALES!E68,SWEST!E68,LPN!E68,SPN!E68,EPN!E68,SPD!E68,SPMW!E68,SSEH!E68,SSES!E68)</f>
        <v>0</v>
      </c>
      <c r="F68" s="82"/>
      <c r="G68" s="82" t="s">
        <v>105</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5">
      <c r="A69" s="82"/>
      <c r="B69" s="82"/>
      <c r="C69" s="82"/>
      <c r="D69" s="82"/>
      <c r="E69" s="182">
        <f>CHOOSE($B$3,ENWL!E69,NPgN!E69,NPgY!E69,WMID!E69,EMID!E69,SWALES!E69,SWEST!E69,LPN!E69,SPN!E69,EPN!E69,SPD!E69,SPMW!E69,SSEH!E69,SSES!E69)</f>
        <v>0</v>
      </c>
      <c r="F69" s="82"/>
      <c r="G69" s="82" t="s">
        <v>105</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5">
      <c r="A70" s="82"/>
      <c r="B70" s="82"/>
      <c r="C70" s="82"/>
      <c r="D70" s="82"/>
      <c r="E70" s="182">
        <f>CHOOSE($B$3,ENWL!E70,NPgN!E70,NPgY!E70,WMID!E70,EMID!E70,SWALES!E70,SWEST!E70,LPN!E70,SPN!E70,EPN!E70,SPD!E70,SPMW!E70,SSEH!E70,SSES!E70)</f>
        <v>0</v>
      </c>
      <c r="F70" s="82"/>
      <c r="G70" s="82" t="s">
        <v>105</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5">
      <c r="A71" s="82"/>
      <c r="B71" s="82"/>
      <c r="C71" s="82"/>
      <c r="D71" s="82"/>
      <c r="E71" s="182">
        <f>CHOOSE($B$3,ENWL!E71,NPgN!E71,NPgY!E71,WMID!E71,EMID!E71,SWALES!E71,SWEST!E71,LPN!E71,SPN!E71,EPN!E71,SPD!E71,SPMW!E71,SSEH!E71,SSES!E71)</f>
        <v>0</v>
      </c>
      <c r="F71" s="82"/>
      <c r="G71" s="82" t="s">
        <v>105</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t="s">
        <v>21</v>
      </c>
      <c r="AO73" s="495" t="s">
        <v>119</v>
      </c>
      <c r="AP73" s="495" t="s">
        <v>120</v>
      </c>
      <c r="AQ73" s="496" t="s">
        <v>121</v>
      </c>
      <c r="AR73" s="497" t="s">
        <v>122</v>
      </c>
      <c r="AS73" s="495" t="s">
        <v>123</v>
      </c>
      <c r="AT73" s="495" t="s">
        <v>124</v>
      </c>
      <c r="AU73" s="495" t="s">
        <v>125</v>
      </c>
      <c r="AV73" s="495"/>
      <c r="AW73" s="184"/>
    </row>
    <row r="74" spans="1:49" ht="15">
      <c r="A74" s="82"/>
      <c r="B74" s="82"/>
      <c r="C74" s="82"/>
      <c r="D74" s="82"/>
      <c r="E74" s="82" t="str">
        <f t="shared" ref="E74:E121" si="0">E24</f>
        <v>RPEs (bucket 1 allowances)</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6.8793391047029556E-2</v>
      </c>
      <c r="AP74" s="263">
        <f>CHOOSE($B$3,ENWL!AP74,NPgN!AP74,NPgY!AP74,WMID!AP74,EMID!AP74,SWALES!AP74,SWEST!AP74,LPN!AP74,SPN!AP74,EPN!AP74,SPD!AP74,SPMW!AP74,SSEH!AP74,SSES!AP74)</f>
        <v>0.31021818316642769</v>
      </c>
      <c r="AQ74" s="494">
        <f>CHOOSE($B$3,ENWL!AQ74,NPgN!AQ74,NPgY!AQ74,WMID!AQ74,EMID!AQ74,SWALES!AQ74,SWEST!AQ74,LPN!AQ74,SPN!AQ74,EPN!AQ74,SPD!AQ74,SPMW!AQ74,SSEH!AQ74,SSES!AQ74)</f>
        <v>0.10694472750907517</v>
      </c>
      <c r="AR74" s="263">
        <f>CHOOSE($B$3,ENWL!AR74,NPgN!AR74,NPgY!AR74,WMID!AR74,EMID!AR74,SWALES!AR74,SWEST!AR74,LPN!AR74,SPN!AR74,EPN!AR74,SPD!AR74,SPMW!AR74,SSEH!AR74,SSES!AR74)</f>
        <v>0.11389264699536407</v>
      </c>
      <c r="AS74" s="263">
        <f>CHOOSE($B$3,ENWL!AS74,NPgN!AS74,NPgY!AS74,WMID!AS74,EMID!AS74,SWALES!AS74,SWEST!AS74,LPN!AS74,SPN!AS74,EPN!AS74,SPD!AS74,SPMW!AS74,SSEH!AS74,SSES!AS74)</f>
        <v>1.7498662647738854E-2</v>
      </c>
      <c r="AT74" s="263">
        <f>CHOOSE($B$3,ENWL!AT74,NPgN!AT74,NPgY!AT74,WMID!AT74,EMID!AT74,SWALES!AT74,SWEST!AT74,LPN!AT74,SPN!AT74,EPN!AT74,SPD!AT74,SPMW!AT74,SSEH!AT74,SSES!AT74)</f>
        <v>3.0201745856340625E-2</v>
      </c>
      <c r="AU74" s="263">
        <f>CHOOSE($B$3,ENWL!AU74,NPgN!AU74,NPgY!AU74,WMID!AU74,EMID!AU74,SWALES!AU74,SWEST!AU74,LPN!AU74,SPN!AU74,EPN!AU74,SPD!AU74,SPMW!AU74,SSEH!AU74,SSES!AU74)</f>
        <v>0.35245064277802385</v>
      </c>
      <c r="AV74" s="263"/>
      <c r="AW74" s="184"/>
    </row>
    <row r="75" spans="1:49" ht="15">
      <c r="A75" s="82"/>
      <c r="B75" s="82"/>
      <c r="C75" s="82"/>
      <c r="D75" s="82"/>
      <c r="E75" s="82" t="str">
        <f t="shared" si="0"/>
        <v>RPEs (bucket 2 allowances)</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0.79177422185912216</v>
      </c>
      <c r="AP75" s="263">
        <f>CHOOSE($B$3,ENWL!AP75,NPgN!AP75,NPgY!AP75,WMID!AP75,EMID!AP75,SWALES!AP75,SWEST!AP75,LPN!AP75,SPN!AP75,EPN!AP75,SPD!AP75,SPMW!AP75,SSEH!AP75,SSES!AP75)</f>
        <v>0.20822577814087787</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5">
      <c r="A76" s="82"/>
      <c r="B76" s="82"/>
      <c r="C76" s="82"/>
      <c r="D76" s="82"/>
      <c r="E76" s="82" t="str">
        <f t="shared" si="0"/>
        <v>Physical Security Re-opener</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5">
      <c r="A77" s="82"/>
      <c r="B77" s="82"/>
      <c r="C77" s="82"/>
      <c r="D77" s="82"/>
      <c r="E77" s="82" t="str">
        <f t="shared" si="0"/>
        <v>Specified Street Works Costs Re-opener</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5">
      <c r="A78" s="82"/>
      <c r="B78" s="82"/>
      <c r="C78" s="82"/>
      <c r="D78" s="82"/>
      <c r="E78" s="82" t="str">
        <f t="shared" si="0"/>
        <v>Rail Electrification Costs Re-opener</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5">
      <c r="A79" s="82"/>
      <c r="B79" s="82"/>
      <c r="C79" s="82"/>
      <c r="D79" s="82"/>
      <c r="E79" s="82" t="str">
        <f t="shared" si="0"/>
        <v>Net Zero Re-opener</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5">
      <c r="A80" s="82"/>
      <c r="B80" s="82"/>
      <c r="C80" s="82"/>
      <c r="D80" s="82"/>
      <c r="E80" s="82" t="str">
        <f t="shared" si="0"/>
        <v>Coordinated Adjustment Mechanism Re-opener</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5">
      <c r="A81" s="82"/>
      <c r="B81" s="82"/>
      <c r="C81" s="82"/>
      <c r="D81" s="82"/>
      <c r="E81" s="82" t="str">
        <f t="shared" si="0"/>
        <v>Electricity System Restoration Re-opener</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5">
      <c r="A82" s="82"/>
      <c r="B82" s="82"/>
      <c r="C82" s="82"/>
      <c r="D82" s="82"/>
      <c r="E82" s="82" t="str">
        <f t="shared" si="0"/>
        <v>Environmental Re-opener</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5">
      <c r="A83" s="82"/>
      <c r="B83" s="82"/>
      <c r="C83" s="82"/>
      <c r="D83" s="82"/>
      <c r="E83" s="82" t="str">
        <f t="shared" si="0"/>
        <v>Network Asset Risk Metric Expenditure</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5">
      <c r="A84" s="82"/>
      <c r="B84" s="82"/>
      <c r="C84" s="82"/>
      <c r="D84" s="82"/>
      <c r="E84" s="82" t="str">
        <f t="shared" si="0"/>
        <v>Load Related Expenditure: Secondary Reinforcement</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5">
      <c r="A85" s="82"/>
      <c r="B85" s="82"/>
      <c r="C85" s="82"/>
      <c r="D85" s="82"/>
      <c r="E85" s="82" t="str">
        <f t="shared" si="0"/>
        <v>Load Related Expenditure: Low Voltage Services</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5">
      <c r="A86" s="82"/>
      <c r="B86" s="82"/>
      <c r="C86" s="82"/>
      <c r="D86" s="82"/>
      <c r="E86" s="82" t="str">
        <f t="shared" si="0"/>
        <v>Load Related Expenditure Re-opener</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5">
      <c r="A87" s="82"/>
      <c r="B87" s="82"/>
      <c r="C87" s="82"/>
      <c r="D87" s="82"/>
      <c r="E87" s="82" t="str">
        <f t="shared" si="0"/>
        <v>Digitalisation Re-opener</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5">
      <c r="A88" s="82"/>
      <c r="B88" s="82"/>
      <c r="C88" s="82"/>
      <c r="D88" s="82"/>
      <c r="E88" s="82" t="str">
        <f t="shared" si="0"/>
        <v>PCB Interventions</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5">
      <c r="A89" s="82"/>
      <c r="B89" s="82"/>
      <c r="C89" s="82"/>
      <c r="D89" s="82"/>
      <c r="E89" s="82" t="str">
        <f t="shared" si="0"/>
        <v>Visual Amenity Projects</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5">
      <c r="A90" s="82"/>
      <c r="B90" s="82"/>
      <c r="C90" s="82"/>
      <c r="D90" s="82"/>
      <c r="E90" s="82" t="str">
        <f t="shared" si="0"/>
        <v>Cyber Resilience OT baseline</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5">
      <c r="A91" s="82"/>
      <c r="B91" s="82"/>
      <c r="C91" s="82"/>
      <c r="D91" s="82"/>
      <c r="E91" s="82" t="str">
        <f t="shared" si="0"/>
        <v>Cyber Resilience OT Re-opener</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5">
      <c r="A92" s="82"/>
      <c r="B92" s="82"/>
      <c r="C92" s="82"/>
      <c r="D92" s="82"/>
      <c r="E92" s="82" t="str">
        <f t="shared" si="0"/>
        <v>Cyber Resilience IT Re-opener</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5">
      <c r="A93" s="82"/>
      <c r="B93" s="82"/>
      <c r="C93" s="82"/>
      <c r="D93" s="82"/>
      <c r="E93" s="82" t="str">
        <f t="shared" si="0"/>
        <v>Off-gas Grid Mechanistic Price Control Deliverable</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5">
      <c r="A94" s="82"/>
      <c r="B94" s="82"/>
      <c r="C94" s="82"/>
      <c r="D94" s="82"/>
      <c r="E94" s="82" t="str">
        <f t="shared" si="0"/>
        <v>Shetland Link Contribution (SSEH only)</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5">
      <c r="A95" s="82"/>
      <c r="B95" s="82"/>
      <c r="C95" s="82"/>
      <c r="D95" s="82"/>
      <c r="E95" s="82" t="str">
        <f t="shared" si="0"/>
        <v>West Coast of Cumbria Re-opener (ENWL only)</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5">
      <c r="A96" s="82"/>
      <c r="B96" s="82"/>
      <c r="C96" s="82"/>
      <c r="D96" s="82"/>
      <c r="E96" s="82" t="str">
        <f t="shared" si="0"/>
        <v>Shetland Enduring Solution Re-opener (SSEH only)</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5">
      <c r="A97" s="82"/>
      <c r="B97" s="82"/>
      <c r="C97" s="82"/>
      <c r="D97" s="82"/>
      <c r="E97" s="82" t="str">
        <f t="shared" si="0"/>
        <v>Shetland Extension Fixed Energy Costs Re-opener (SSEH only)</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5">
      <c r="A98" s="82"/>
      <c r="B98" s="82"/>
      <c r="C98" s="82"/>
      <c r="D98" s="82"/>
      <c r="E98" s="82" t="str">
        <f t="shared" si="0"/>
        <v>Hebrides and Orkney Re-opener (SSEH only)</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5">
      <c r="A99" s="82"/>
      <c r="B99" s="82"/>
      <c r="C99" s="82"/>
      <c r="D99" s="82"/>
      <c r="E99" s="82" t="str">
        <f t="shared" si="0"/>
        <v>Smart Street Mechanistic Price Control Deliverable (ENWL only)</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5">
      <c r="A100" s="82"/>
      <c r="B100" s="82"/>
      <c r="C100" s="82"/>
      <c r="D100" s="82"/>
      <c r="E100" s="82" t="str">
        <f t="shared" si="0"/>
        <v>Worst Served Customers</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5">
      <c r="A101" s="82"/>
      <c r="B101" s="82"/>
      <c r="C101" s="82"/>
      <c r="D101" s="82"/>
      <c r="E101" s="82" t="str">
        <f t="shared" si="0"/>
        <v>EV Optioneering Projects</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5">
      <c r="A102" s="82"/>
      <c r="B102" s="82"/>
      <c r="C102" s="82"/>
      <c r="D102" s="82"/>
      <c r="E102" s="82" t="str">
        <f t="shared" si="0"/>
        <v>Cyber Resilience IT baseline</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5">
      <c r="A103" s="82"/>
      <c r="B103" s="82"/>
      <c r="C103" s="82"/>
      <c r="D103" s="82"/>
      <c r="E103" s="82" t="str">
        <f t="shared" si="0"/>
        <v>Wayleaves and Diversions Re-opener</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5">
      <c r="A104" s="82"/>
      <c r="B104" s="82"/>
      <c r="C104" s="82"/>
      <c r="D104" s="82"/>
      <c r="E104" s="82" t="str">
        <f t="shared" si="0"/>
        <v>Indirects Scaler</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5">
      <c r="A105" s="82"/>
      <c r="B105" s="82"/>
      <c r="C105" s="82"/>
      <c r="D105" s="82"/>
      <c r="E105" s="182" t="str">
        <f t="shared" si="0"/>
        <v>LineSIGHT Mechanistic Price Control Deliverable (ENWL only)</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5">
      <c r="A106" s="82"/>
      <c r="B106" s="82"/>
      <c r="C106" s="82"/>
      <c r="D106" s="82"/>
      <c r="E106" s="182" t="str">
        <f t="shared" si="0"/>
        <v>New Depot (EMID, SWALES, SWEST and WMID only)</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5">
      <c r="A107" s="82"/>
      <c r="B107" s="82"/>
      <c r="C107" s="82"/>
      <c r="D107" s="82"/>
      <c r="E107" s="182" t="str">
        <f t="shared" si="0"/>
        <v>New Control Room (SSES and SSEH only)</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5">
      <c r="A108" s="82"/>
      <c r="B108" s="82"/>
      <c r="C108" s="82"/>
      <c r="D108" s="82"/>
      <c r="E108" s="182" t="str">
        <f t="shared" si="0"/>
        <v>Storm Arwen Re-opener</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5">
      <c r="A109" s="82"/>
      <c r="B109" s="82"/>
      <c r="C109" s="82"/>
      <c r="D109" s="82"/>
      <c r="E109" s="182" t="str">
        <f t="shared" si="0"/>
        <v>High Value Projects Re-opener</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5">
      <c r="A110" s="82"/>
      <c r="B110" s="82"/>
      <c r="C110" s="82"/>
      <c r="D110" s="82"/>
      <c r="E110" s="182" t="str">
        <f t="shared" si="0"/>
        <v>Strategic Investment</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5">
      <c r="A111" s="82"/>
      <c r="B111" s="82"/>
      <c r="C111" s="82"/>
      <c r="D111" s="82"/>
      <c r="E111" s="182" t="str">
        <f t="shared" si="0"/>
        <v>Carry-over Green Recovery Scheme</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5">
      <c r="A112" s="82"/>
      <c r="B112" s="82"/>
      <c r="C112" s="82"/>
      <c r="D112" s="82"/>
      <c r="E112" s="182" t="str">
        <f t="shared" si="0"/>
        <v>1-in-20 Severe Weather Event</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5">
      <c r="A113" s="82"/>
      <c r="B113" s="82"/>
      <c r="C113" s="82"/>
      <c r="D113" s="82"/>
      <c r="E113" s="182" t="str">
        <f t="shared" si="0"/>
        <v>Net to Gross Load Related Expenditure</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5">
      <c r="A114" s="82"/>
      <c r="B114" s="82"/>
      <c r="C114" s="82"/>
      <c r="D114" s="82"/>
      <c r="E114" s="182">
        <f t="shared" si="0"/>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5">
      <c r="A115" s="82"/>
      <c r="B115" s="82"/>
      <c r="C115" s="82"/>
      <c r="D115" s="82"/>
      <c r="E115" s="182">
        <f t="shared" si="0"/>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5">
      <c r="A116" s="82"/>
      <c r="B116" s="82"/>
      <c r="C116" s="82"/>
      <c r="D116" s="82"/>
      <c r="E116" s="182">
        <f t="shared" si="0"/>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5">
      <c r="A117" s="82"/>
      <c r="B117" s="82"/>
      <c r="C117" s="82"/>
      <c r="D117" s="82"/>
      <c r="E117" s="182">
        <f t="shared" si="0"/>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5">
      <c r="A118" s="82"/>
      <c r="B118" s="82"/>
      <c r="C118" s="82"/>
      <c r="D118" s="82"/>
      <c r="E118" s="182">
        <f t="shared" si="0"/>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5">
      <c r="A119" s="82"/>
      <c r="B119" s="82"/>
      <c r="C119" s="82"/>
      <c r="D119" s="82"/>
      <c r="E119" s="182">
        <f t="shared" si="0"/>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5">
      <c r="A120" s="82"/>
      <c r="B120" s="82"/>
      <c r="C120" s="82"/>
      <c r="D120" s="82"/>
      <c r="E120" s="182">
        <f t="shared" si="0"/>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5">
      <c r="A121" s="82"/>
      <c r="B121" s="82"/>
      <c r="C121" s="82"/>
      <c r="D121" s="82"/>
      <c r="E121" s="182">
        <f t="shared" si="0"/>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2.8140856308726772</v>
      </c>
      <c r="AS126" s="476">
        <f>CHOOSE($B$3,ENWL!AS126,NPgN!AS126,NPgY!AS126,WMID!AS126,EMID!AS126,SWALES!AS126,SWEST!AS126,LPN!AS126,SPN!AS126,EPN!AS126,SPD!AS126,SPMW!AS126,SSEH!AS126,SSES!AS126)</f>
        <v>6.3904257744694846</v>
      </c>
      <c r="AT126" s="476">
        <f>CHOOSE($B$3,ENWL!AT126,NPgN!AT126,NPgY!AT126,WMID!AT126,EMID!AT126,SWALES!AT126,SWEST!AT126,LPN!AT126,SPN!AT126,EPN!AT126,SPD!AT126,SPMW!AT126,SSEH!AT126,SSES!AT126)</f>
        <v>18.405639178876747</v>
      </c>
      <c r="AU126" s="476">
        <f>CHOOSE($B$3,ENWL!AU126,NPgN!AU126,NPgY!AU126,WMID!AU126,EMID!AU126,SWALES!AU126,SWEST!AU126,LPN!AU126,SPN!AU126,EPN!AU126,SPD!AU126,SPMW!AU126,SSEH!AU126,SSES!AU126)</f>
        <v>23.541823364144673</v>
      </c>
      <c r="AV126" s="476">
        <f>CHOOSE($B$3,ENWL!AV126,NPgN!AV126,NPgY!AV126,WMID!AV126,EMID!AV126,SWALES!AV126,SWEST!AV126,LPN!AV126,SPN!AV126,EPN!AV126,SPD!AV126,SPMW!AV126,SSEH!AV126,SSES!AV126)</f>
        <v>25.439452135175944</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27.319845513636757</v>
      </c>
      <c r="AS127" s="476">
        <f>CHOOSE($B$3,ENWL!AS127,NPgN!AS127,NPgY!AS127,WMID!AS127,EMID!AS127,SWALES!AS127,SWEST!AS127,LPN!AS127,SPN!AS127,EPN!AS127,SPD!AS127,SPMW!AS127,SSEH!AS127,SSES!AS127)</f>
        <v>64.534836989577983</v>
      </c>
      <c r="AT127" s="476">
        <f>CHOOSE($B$3,ENWL!AT127,NPgN!AT127,NPgY!AT127,WMID!AT127,EMID!AT127,SWALES!AT127,SWEST!AT127,LPN!AT127,SPN!AT127,EPN!AT127,SPD!AT127,SPMW!AT127,SSEH!AT127,SSES!AT127)</f>
        <v>60.774380008401863</v>
      </c>
      <c r="AU127" s="476">
        <f>CHOOSE($B$3,ENWL!AU127,NPgN!AU127,NPgY!AU127,WMID!AU127,EMID!AU127,SWALES!AU127,SWEST!AU127,LPN!AU127,SPN!AU127,EPN!AU127,SPD!AU127,SPMW!AU127,SSEH!AU127,SSES!AU127)</f>
        <v>73.823018281954816</v>
      </c>
      <c r="AV127" s="476">
        <f>CHOOSE($B$3,ENWL!AV127,NPgN!AV127,NPgY!AV127,WMID!AV127,EMID!AV127,SWALES!AV127,SWEST!AV127,LPN!AV127,SPN!AV127,EPN!AV127,SPD!AV127,SPMW!AV127,SSEH!AV127,SSES!AV127)</f>
        <v>65.864720590509279</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11.565316967991961</v>
      </c>
      <c r="AS128" s="476">
        <f>CHOOSE($B$3,ENWL!AS128,NPgN!AS128,NPgY!AS128,WMID!AS128,EMID!AS128,SWALES!AS128,SWEST!AS128,LPN!AS128,SPN!AS128,EPN!AS128,SPD!AS128,SPMW!AS128,SSEH!AS128,SSES!AS128)</f>
        <v>28.919879323767866</v>
      </c>
      <c r="AT128" s="476">
        <f>CHOOSE($B$3,ENWL!AT128,NPgN!AT128,NPgY!AT128,WMID!AT128,EMID!AT128,SWALES!AT128,SWEST!AT128,LPN!AT128,SPN!AT128,EPN!AT128,SPD!AT128,SPMW!AT128,SSEH!AT128,SSES!AT128)</f>
        <v>27.729811663215745</v>
      </c>
      <c r="AU128" s="476">
        <f>CHOOSE($B$3,ENWL!AU128,NPgN!AU128,NPgY!AU128,WMID!AU128,EMID!AU128,SWALES!AU128,SWEST!AU128,LPN!AU128,SPN!AU128,EPN!AU128,SPD!AU128,SPMW!AU128,SSEH!AU128,SSES!AU128)</f>
        <v>20.811019180538889</v>
      </c>
      <c r="AV128" s="476">
        <f>CHOOSE($B$3,ENWL!AV128,NPgN!AV128,NPgY!AV128,WMID!AV128,EMID!AV128,SWALES!AV128,SWEST!AV128,LPN!AV128,SPN!AV128,EPN!AV128,SPD!AV128,SPMW!AV128,SSEH!AV128,SSES!AV128)</f>
        <v>15.591372787257452</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36.658867752890153</v>
      </c>
      <c r="AS129" s="476">
        <f>CHOOSE($B$3,ENWL!AS129,NPgN!AS129,NPgY!AS129,WMID!AS129,EMID!AS129,SWALES!AS129,SWEST!AS129,LPN!AS129,SPN!AS129,EPN!AS129,SPD!AS129,SPMW!AS129,SSEH!AS129,SSES!AS129)</f>
        <v>29.396527159817936</v>
      </c>
      <c r="AT129" s="476">
        <f>CHOOSE($B$3,ENWL!AT129,NPgN!AT129,NPgY!AT129,WMID!AT129,EMID!AT129,SWALES!AT129,SWEST!AT129,LPN!AT129,SPN!AT129,EPN!AT129,SPD!AT129,SPMW!AT129,SSEH!AT129,SSES!AT129)</f>
        <v>29.517895030126866</v>
      </c>
      <c r="AU129" s="476">
        <f>CHOOSE($B$3,ENWL!AU129,NPgN!AU129,NPgY!AU129,WMID!AU129,EMID!AU129,SWALES!AU129,SWEST!AU129,LPN!AU129,SPN!AU129,EPN!AU129,SPD!AU129,SPMW!AU129,SSEH!AU129,SSES!AU129)</f>
        <v>29.52019485561727</v>
      </c>
      <c r="AV129" s="476">
        <f>CHOOSE($B$3,ENWL!AV129,NPgN!AV129,NPgY!AV129,WMID!AV129,EMID!AV129,SWALES!AV129,SWEST!AV129,LPN!AV129,SPN!AV129,EPN!AV129,SPD!AV129,SPMW!AV129,SSEH!AV129,SSES!AV129)</f>
        <v>29.522714097147016</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3.0548757455097566</v>
      </c>
      <c r="AS130" s="476">
        <f>CHOOSE($B$3,ENWL!AS130,NPgN!AS130,NPgY!AS130,WMID!AS130,EMID!AS130,SWALES!AS130,SWEST!AS130,LPN!AS130,SPN!AS130,EPN!AS130,SPD!AS130,SPMW!AS130,SSEH!AS130,SSES!AS130)</f>
        <v>5.6362769798234789</v>
      </c>
      <c r="AT130" s="476">
        <f>CHOOSE($B$3,ENWL!AT130,NPgN!AT130,NPgY!AT130,WMID!AT130,EMID!AT130,SWALES!AT130,SWEST!AT130,LPN!AT130,SPN!AT130,EPN!AT130,SPD!AT130,SPMW!AT130,SSEH!AT130,SSES!AT130)</f>
        <v>6.0190972115841674</v>
      </c>
      <c r="AU130" s="476">
        <f>CHOOSE($B$3,ENWL!AU130,NPgN!AU130,NPgY!AU130,WMID!AU130,EMID!AU130,SWALES!AU130,SWEST!AU130,LPN!AU130,SPN!AU130,EPN!AU130,SPD!AU130,SPMW!AU130,SSEH!AU130,SSES!AU130)</f>
        <v>3.9089394138452325</v>
      </c>
      <c r="AV130" s="476">
        <f>CHOOSE($B$3,ENWL!AV130,NPgN!AV130,NPgY!AV130,WMID!AV130,EMID!AV130,SWALES!AV130,SWEST!AV130,LPN!AV130,SPN!AV130,EPN!AV130,SPD!AV130,SPMW!AV130,SSEH!AV130,SSES!AV130)</f>
        <v>4.1546816265198752</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5.6778773372069278</v>
      </c>
      <c r="AS131" s="476">
        <f>CHOOSE($B$3,ENWL!AS131,NPgN!AS131,NPgY!AS131,WMID!AS131,EMID!AS131,SWALES!AS131,SWEST!AS131,LPN!AS131,SPN!AS131,EPN!AS131,SPD!AS131,SPMW!AS131,SSEH!AS131,SSES!AS131)</f>
        <v>5.6924363314947737</v>
      </c>
      <c r="AT131" s="476">
        <f>CHOOSE($B$3,ENWL!AT131,NPgN!AT131,NPgY!AT131,WMID!AT131,EMID!AT131,SWALES!AT131,SWEST!AT131,LPN!AT131,SPN!AT131,EPN!AT131,SPD!AT131,SPMW!AT131,SSEH!AT131,SSES!AT131)</f>
        <v>5.6924363314947737</v>
      </c>
      <c r="AU131" s="476">
        <f>CHOOSE($B$3,ENWL!AU131,NPgN!AU131,NPgY!AU131,WMID!AU131,EMID!AU131,SWALES!AU131,SWEST!AU131,LPN!AU131,SPN!AU131,EPN!AU131,SPD!AU131,SPMW!AU131,SSEH!AU131,SSES!AU131)</f>
        <v>5.6924363314947719</v>
      </c>
      <c r="AV131" s="476">
        <f>CHOOSE($B$3,ENWL!AV131,NPgN!AV131,NPgY!AV131,WMID!AV131,EMID!AV131,SWALES!AV131,SWEST!AV131,LPN!AV131,SPN!AV131,EPN!AV131,SPD!AV131,SPMW!AV131,SSEH!AV131,SSES!AV131)</f>
        <v>5.6924363314947719</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61.817145365584103</v>
      </c>
      <c r="AS132" s="476">
        <f>CHOOSE($B$3,ENWL!AS132,NPgN!AS132,NPgY!AS132,WMID!AS132,EMID!AS132,SWALES!AS132,SWEST!AS132,LPN!AS132,SPN!AS132,EPN!AS132,SPD!AS132,SPMW!AS132,SSEH!AS132,SSES!AS132)</f>
        <v>70.462727372389111</v>
      </c>
      <c r="AT132" s="476">
        <f>CHOOSE($B$3,ENWL!AT132,NPgN!AT132,NPgY!AT132,WMID!AT132,EMID!AT132,SWALES!AT132,SWEST!AT132,LPN!AT132,SPN!AT132,EPN!AT132,SPD!AT132,SPMW!AT132,SSEH!AT132,SSES!AT132)</f>
        <v>70.569924706974305</v>
      </c>
      <c r="AU132" s="476">
        <f>CHOOSE($B$3,ENWL!AU132,NPgN!AU132,NPgY!AU132,WMID!AU132,EMID!AU132,SWALES!AU132,SWEST!AU132,LPN!AU132,SPN!AU132,EPN!AU132,SPD!AU132,SPMW!AU132,SSEH!AU132,SSES!AU132)</f>
        <v>70.270957358762999</v>
      </c>
      <c r="AV132" s="476">
        <f>CHOOSE($B$3,ENWL!AV132,NPgN!AV132,NPgY!AV132,WMID!AV132,EMID!AV132,SWALES!AV132,SWEST!AV132,LPN!AV132,SPN!AV132,EPN!AV132,SPD!AV132,SPMW!AV132,SSEH!AV132,SSES!AV132)</f>
        <v>70.243173260459372</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11.29665380092912</v>
      </c>
      <c r="AS135" s="476">
        <f>CHOOSE($B$3,ENWL!AS135,NPgN!AS135,NPgY!AS135,WMID!AS135,EMID!AS135,SWALES!AS135,SWEST!AS135,LPN!AS135,SPN!AS135,EPN!AS135,SPD!AS135,SPMW!AS135,SSEH!AS135,SSES!AS135)</f>
        <v>11.472829587295291</v>
      </c>
      <c r="AT135" s="476">
        <f>CHOOSE($B$3,ENWL!AT135,NPgN!AT135,NPgY!AT135,WMID!AT135,EMID!AT135,SWALES!AT135,SWEST!AT135,LPN!AT135,SPN!AT135,EPN!AT135,SPD!AT135,SPMW!AT135,SSEH!AT135,SSES!AT135)</f>
        <v>15.133875573730423</v>
      </c>
      <c r="AU135" s="476">
        <f>CHOOSE($B$3,ENWL!AU135,NPgN!AU135,NPgY!AU135,WMID!AU135,EMID!AU135,SWALES!AU135,SWEST!AU135,LPN!AU135,SPN!AU135,EPN!AU135,SPD!AU135,SPMW!AU135,SSEH!AU135,SSES!AU135)</f>
        <v>17.780157568350855</v>
      </c>
      <c r="AV135" s="476">
        <f>CHOOSE($B$3,ENWL!AV135,NPgN!AV135,NPgY!AV135,WMID!AV135,EMID!AV135,SWALES!AV135,SWEST!AV135,LPN!AV135,SPN!AV135,EPN!AV135,SPD!AV135,SPMW!AV135,SSEH!AV135,SSES!AV135)</f>
        <v>18.670952862020624</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3.0528335064589873</v>
      </c>
      <c r="AS136" s="476">
        <f>CHOOSE($B$3,ENWL!AS136,NPgN!AS136,NPgY!AS136,WMID!AS136,EMID!AS136,SWALES!AS136,SWEST!AS136,LPN!AS136,SPN!AS136,EPN!AS136,SPD!AS136,SPMW!AS136,SSEH!AS136,SSES!AS136)</f>
        <v>6.3618183259846379</v>
      </c>
      <c r="AT136" s="476">
        <f>CHOOSE($B$3,ENWL!AT136,NPgN!AT136,NPgY!AT136,WMID!AT136,EMID!AT136,SWALES!AT136,SWEST!AT136,LPN!AT136,SPN!AT136,EPN!AT136,SPD!AT136,SPMW!AT136,SSEH!AT136,SSES!AT136)</f>
        <v>8.9006180965567658</v>
      </c>
      <c r="AU136" s="476">
        <f>CHOOSE($B$3,ENWL!AU136,NPgN!AU136,NPgY!AU136,WMID!AU136,EMID!AU136,SWALES!AU136,SWEST!AU136,LPN!AU136,SPN!AU136,EPN!AU136,SPD!AU136,SPMW!AU136,SSEH!AU136,SSES!AU136)</f>
        <v>9.5399499834123098</v>
      </c>
      <c r="AV136" s="476">
        <f>CHOOSE($B$3,ENWL!AV136,NPgN!AV136,NPgY!AV136,WMID!AV136,EMID!AV136,SWALES!AV136,SWEST!AV136,LPN!AV136,SPN!AV136,EPN!AV136,SPD!AV136,SPMW!AV136,SSEH!AV136,SSES!AV136)</f>
        <v>9.6041136164505687</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0.45533489636974073</v>
      </c>
      <c r="AS137" s="476">
        <f>CHOOSE($B$3,ENWL!AS137,NPgN!AS137,NPgY!AS137,WMID!AS137,EMID!AS137,SWALES!AS137,SWEST!AS137,LPN!AS137,SPN!AS137,EPN!AS137,SPD!AS137,SPMW!AS137,SSEH!AS137,SSES!AS137)</f>
        <v>2.6743738989793688</v>
      </c>
      <c r="AT137" s="476">
        <f>CHOOSE($B$3,ENWL!AT137,NPgN!AT137,NPgY!AT137,WMID!AT137,EMID!AT137,SWALES!AT137,SWEST!AT137,LPN!AT137,SPN!AT137,EPN!AT137,SPD!AT137,SPMW!AT137,SSEH!AT137,SSES!AT137)</f>
        <v>4.4158542724364525</v>
      </c>
      <c r="AU137" s="476">
        <f>CHOOSE($B$3,ENWL!AU137,NPgN!AU137,NPgY!AU137,WMID!AU137,EMID!AU137,SWALES!AU137,SWEST!AU137,LPN!AU137,SPN!AU137,EPN!AU137,SPD!AU137,SPMW!AU137,SSEH!AU137,SSES!AU137)</f>
        <v>2.0365141789795858</v>
      </c>
      <c r="AV137" s="476">
        <f>CHOOSE($B$3,ENWL!AV137,NPgN!AV137,NPgY!AV137,WMID!AV137,EMID!AV137,SWALES!AV137,SWEST!AV137,LPN!AV137,SPN!AV137,EPN!AV137,SPD!AV137,SPMW!AV137,SSEH!AV137,SSES!AV137)</f>
        <v>0.94328840592104912</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v>
      </c>
      <c r="AU138" s="476">
        <f>CHOOSE($B$3,ENWL!AU138,NPgN!AU138,NPgY!AU138,WMID!AU138,EMID!AU138,SWALES!AU138,SWEST!AU138,LPN!AU138,SPN!AU138,EPN!AU138,SPD!AU138,SPMW!AU138,SSEH!AU138,SSES!AU138)</f>
        <v>0</v>
      </c>
      <c r="AV138" s="476">
        <f>CHOOSE($B$3,ENWL!AV138,NPgN!AV138,NPgY!AV138,WMID!AV138,EMID!AV138,SWALES!AV138,SWEST!AV138,LPN!AV138,SPN!AV138,EPN!AV138,SPD!AV138,SPMW!AV138,SSEH!AV138,SSES!AV138)</f>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0.8971457410428717</v>
      </c>
      <c r="AS141" s="476">
        <f>CHOOSE($B$3,ENWL!AS141,NPgN!AS141,NPgY!AS141,WMID!AS141,EMID!AS141,SWALES!AS141,SWEST!AS141,LPN!AS141,SPN!AS141,EPN!AS141,SPD!AS141,SPMW!AS141,SSEH!AS141,SSES!AS141)</f>
        <v>2.1379186504283112</v>
      </c>
      <c r="AT141" s="476">
        <f>CHOOSE($B$3,ENWL!AT141,NPgN!AT141,NPgY!AT141,WMID!AT141,EMID!AT141,SWALES!AT141,SWEST!AT141,LPN!AT141,SPN!AT141,EPN!AT141,SPD!AT141,SPMW!AT141,SSEH!AT141,SSES!AT141)</f>
        <v>3.61204853553562</v>
      </c>
      <c r="AU141" s="476">
        <f>CHOOSE($B$3,ENWL!AU141,NPgN!AU141,NPgY!AU141,WMID!AU141,EMID!AU141,SWALES!AU141,SWEST!AU141,LPN!AU141,SPN!AU141,EPN!AU141,SPD!AU141,SPMW!AU141,SSEH!AU141,SSES!AU141)</f>
        <v>4.1961651518546859</v>
      </c>
      <c r="AV141" s="476">
        <f>CHOOSE($B$3,ENWL!AV141,NPgN!AV141,NPgY!AV141,WMID!AV141,EMID!AV141,SWALES!AV141,SWEST!AV141,LPN!AV141,SPN!AV141,EPN!AV141,SPD!AV141,SPMW!AV141,SSEH!AV141,SSES!AV141)</f>
        <v>3.6250077422828069</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1.4692298078497332</v>
      </c>
      <c r="AS145" s="476">
        <f>CHOOSE($B$3,ENWL!AS145,NPgN!AS145,NPgY!AS145,WMID!AS145,EMID!AS145,SWALES!AS145,SWEST!AS145,LPN!AS145,SPN!AS145,EPN!AS145,SPD!AS145,SPMW!AS145,SSEH!AS145,SSES!AS145)</f>
        <v>1.4768824166242707</v>
      </c>
      <c r="AT145" s="476">
        <f>CHOOSE($B$3,ENWL!AT145,NPgN!AT145,NPgY!AT145,WMID!AT145,EMID!AT145,SWALES!AT145,SWEST!AT145,LPN!AT145,SPN!AT145,EPN!AT145,SPD!AT145,SPMW!AT145,SSEH!AT145,SSES!AT145)</f>
        <v>1.4768824166242707</v>
      </c>
      <c r="AU145" s="476">
        <f>CHOOSE($B$3,ENWL!AU145,NPgN!AU145,NPgY!AU145,WMID!AU145,EMID!AU145,SWALES!AU145,SWEST!AU145,LPN!AU145,SPN!AU145,EPN!AU145,SPD!AU145,SPMW!AU145,SSEH!AU145,SSES!AU145)</f>
        <v>1.4810361484210264</v>
      </c>
      <c r="AV145" s="476">
        <f>CHOOSE($B$3,ENWL!AV145,NPgN!AV145,NPgY!AV145,WMID!AV145,EMID!AV145,SWALES!AV145,SWEST!AV145,LPN!AV145,SPN!AV145,EPN!AV145,SPD!AV145,SPMW!AV145,SSEH!AV145,SSES!AV145)</f>
        <v>1.4769438018232377</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17.750569722785045</v>
      </c>
      <c r="AS146" s="476">
        <f>CHOOSE($B$3,ENWL!AS146,NPgN!AS146,NPgY!AS146,WMID!AS146,EMID!AS146,SWALES!AS146,SWEST!AS146,LPN!AS146,SPN!AS146,EPN!AS146,SPD!AS146,SPMW!AS146,SSEH!AS146,SSES!AS146)</f>
        <v>18.825308214363279</v>
      </c>
      <c r="AT146" s="476">
        <f>CHOOSE($B$3,ENWL!AT146,NPgN!AT146,NPgY!AT146,WMID!AT146,EMID!AT146,SWALES!AT146,SWEST!AT146,LPN!AT146,SPN!AT146,EPN!AT146,SPD!AT146,SPMW!AT146,SSEH!AT146,SSES!AT146)</f>
        <v>18.670174974407086</v>
      </c>
      <c r="AU146" s="476">
        <f>CHOOSE($B$3,ENWL!AU146,NPgN!AU146,NPgY!AU146,WMID!AU146,EMID!AU146,SWALES!AU146,SWEST!AU146,LPN!AU146,SPN!AU146,EPN!AU146,SPD!AU146,SPMW!AU146,SSEH!AU146,SSES!AU146)</f>
        <v>23.622310233538517</v>
      </c>
      <c r="AV146" s="476">
        <f>CHOOSE($B$3,ENWL!AV146,NPgN!AV146,NPgY!AV146,WMID!AV146,EMID!AV146,SWALES!AV146,SWEST!AV146,LPN!AV146,SPN!AV146,EPN!AV146,SPD!AV146,SPMW!AV146,SSEH!AV146,SSES!AV146)</f>
        <v>24.663190971866825</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9.7121152211442947</v>
      </c>
      <c r="AS147" s="476">
        <f>CHOOSE($B$3,ENWL!AS147,NPgN!AS147,NPgY!AS147,WMID!AS147,EMID!AS147,SWALES!AS147,SWEST!AS147,LPN!AS147,SPN!AS147,EPN!AS147,SPD!AS147,SPMW!AS147,SSEH!AS147,SSES!AS147)</f>
        <v>8.9322274128174826</v>
      </c>
      <c r="AT147" s="476">
        <f>CHOOSE($B$3,ENWL!AT147,NPgN!AT147,NPgY!AT147,WMID!AT147,EMID!AT147,SWALES!AT147,SWEST!AT147,LPN!AT147,SPN!AT147,EPN!AT147,SPD!AT147,SPMW!AT147,SSEH!AT147,SSES!AT147)</f>
        <v>9.1126644525471807</v>
      </c>
      <c r="AU147" s="476">
        <f>CHOOSE($B$3,ENWL!AU147,NPgN!AU147,NPgY!AU147,WMID!AU147,EMID!AU147,SWALES!AU147,SWEST!AU147,LPN!AU147,SPN!AU147,EPN!AU147,SPD!AU147,SPMW!AU147,SSEH!AU147,SSES!AU147)</f>
        <v>9.3313672974200514</v>
      </c>
      <c r="AV147" s="476">
        <f>CHOOSE($B$3,ENWL!AV147,NPgN!AV147,NPgY!AV147,WMID!AV147,EMID!AV147,SWALES!AV147,SWEST!AV147,LPN!AV147,SPN!AV147,EPN!AV147,SPD!AV147,SPMW!AV147,SSEH!AV147,SSES!AV147)</f>
        <v>9.5651484941330729</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1.4850082884799853</v>
      </c>
      <c r="AS148" s="476">
        <f>CHOOSE($B$3,ENWL!AS148,NPgN!AS148,NPgY!AS148,WMID!AS148,EMID!AS148,SWALES!AS148,SWEST!AS148,LPN!AS148,SPN!AS148,EPN!AS148,SPD!AS148,SPMW!AS148,SSEH!AS148,SSES!AS148)</f>
        <v>1.4074241277662456</v>
      </c>
      <c r="AT148" s="476">
        <f>CHOOSE($B$3,ENWL!AT148,NPgN!AT148,NPgY!AT148,WMID!AT148,EMID!AT148,SWALES!AT148,SWEST!AT148,LPN!AT148,SPN!AT148,EPN!AT148,SPD!AT148,SPMW!AT148,SSEH!AT148,SSES!AT148)</f>
        <v>1.4457486467592529</v>
      </c>
      <c r="AU148" s="476">
        <f>CHOOSE($B$3,ENWL!AU148,NPgN!AU148,NPgY!AU148,WMID!AU148,EMID!AU148,SWALES!AU148,SWEST!AU148,LPN!AU148,SPN!AU148,EPN!AU148,SPD!AU148,SPMW!AU148,SSEH!AU148,SSES!AU148)</f>
        <v>1.4457486467592526</v>
      </c>
      <c r="AV148" s="476">
        <f>CHOOSE($B$3,ENWL!AV148,NPgN!AV148,NPgY!AV148,WMID!AV148,EMID!AV148,SWALES!AV148,SWEST!AV148,LPN!AV148,SPN!AV148,EPN!AV148,SPD!AV148,SPMW!AV148,SSEH!AV148,SSES!AV148)</f>
        <v>1.4457486467592529</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0.90713750180006369</v>
      </c>
      <c r="AS149" s="476">
        <f>CHOOSE($B$3,ENWL!AS149,NPgN!AS149,NPgY!AS149,WMID!AS149,EMID!AS149,SWALES!AS149,SWEST!AS149,LPN!AS149,SPN!AS149,EPN!AS149,SPD!AS149,SPMW!AS149,SSEH!AS149,SSES!AS149)</f>
        <v>0.82018509608753154</v>
      </c>
      <c r="AT149" s="476">
        <f>CHOOSE($B$3,ENWL!AT149,NPgN!AT149,NPgY!AT149,WMID!AT149,EMID!AT149,SWALES!AT149,SWEST!AT149,LPN!AT149,SPN!AT149,EPN!AT149,SPD!AT149,SPMW!AT149,SSEH!AT149,SSES!AT149)</f>
        <v>0.92208740904956776</v>
      </c>
      <c r="AU149" s="476">
        <f>CHOOSE($B$3,ENWL!AU149,NPgN!AU149,NPgY!AU149,WMID!AU149,EMID!AU149,SWALES!AU149,SWEST!AU149,LPN!AU149,SPN!AU149,EPN!AU149,SPD!AU149,SPMW!AU149,SSEH!AU149,SSES!AU149)</f>
        <v>0.58181373026462968</v>
      </c>
      <c r="AV149" s="476">
        <f>CHOOSE($B$3,ENWL!AV149,NPgN!AV149,NPgY!AV149,WMID!AV149,EMID!AV149,SWALES!AV149,SWEST!AV149,LPN!AV149,SPN!AV149,EPN!AV149,SPD!AV149,SPMW!AV149,SSEH!AV149,SSES!AV149)</f>
        <v>0.56300673199197881</v>
      </c>
      <c r="AW149" s="184"/>
    </row>
    <row r="150" spans="1:49" ht="15">
      <c r="A150" s="82"/>
      <c r="B150" s="82"/>
      <c r="C150" s="82"/>
      <c r="D150" s="82"/>
      <c r="E150" s="82" t="s">
        <v>162</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2.9122231599690771E-2</v>
      </c>
      <c r="AS150" s="476">
        <f>CHOOSE($B$3,ENWL!AS150,NPgN!AS150,NPgY!AS150,WMID!AS150,EMID!AS150,SWALES!AS150,SWEST!AS150,LPN!AS150,SPN!AS150,EPN!AS150,SPD!AS150,SPMW!AS150,SSEH!AS150,SSES!AS150)</f>
        <v>2.9275362985932998E-2</v>
      </c>
      <c r="AT150" s="476">
        <f>CHOOSE($B$3,ENWL!AT150,NPgN!AT150,NPgY!AT150,WMID!AT150,EMID!AT150,SWALES!AT150,SWEST!AT150,LPN!AT150,SPN!AT150,EPN!AT150,SPD!AT150,SPMW!AT150,SSEH!AT150,SSES!AT150)</f>
        <v>2.9563790207469284E-2</v>
      </c>
      <c r="AU150" s="476">
        <f>CHOOSE($B$3,ENWL!AU150,NPgN!AU150,NPgY!AU150,WMID!AU150,EMID!AU150,SWALES!AU150,SWEST!AU150,LPN!AU150,SPN!AU150,EPN!AU150,SPD!AU150,SPMW!AU150,SSEH!AU150,SSES!AU150)</f>
        <v>2.985505907650839E-2</v>
      </c>
      <c r="AV150" s="476">
        <f>CHOOSE($B$3,ENWL!AV150,NPgN!AV150,NPgY!AV150,WMID!AV150,EMID!AV150,SWALES!AV150,SWEST!AV150,LPN!AV150,SPN!AV150,EPN!AV150,SPD!AV150,SPMW!AV150,SSEH!AV150,SSES!AV150)</f>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11.323384838377768</v>
      </c>
      <c r="AS151" s="476">
        <f>CHOOSE($B$3,ENWL!AS151,NPgN!AS151,NPgY!AS151,WMID!AS151,EMID!AS151,SWALES!AS151,SWEST!AS151,LPN!AS151,SPN!AS151,EPN!AS151,SPD!AS151,SPMW!AS151,SSEH!AS151,SSES!AS151)</f>
        <v>0.35551809874217427</v>
      </c>
      <c r="AT151" s="476">
        <f>CHOOSE($B$3,ENWL!AT151,NPgN!AT151,NPgY!AT151,WMID!AT151,EMID!AT151,SWALES!AT151,SWEST!AT151,LPN!AT151,SPN!AT151,EPN!AT151,SPD!AT151,SPMW!AT151,SSEH!AT151,SSES!AT151)</f>
        <v>-0.41628174432014636</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2.2895721493213395E-2</v>
      </c>
      <c r="AS152" s="476">
        <f>CHOOSE($B$3,ENWL!AS152,NPgN!AS152,NPgY!AS152,WMID!AS152,EMID!AS152,SWALES!AS152,SWEST!AS152,LPN!AS152,SPN!AS152,EPN!AS152,SPD!AS152,SPMW!AS152,SSEH!AS152,SSES!AS152)</f>
        <v>9.1893176440402888E-2</v>
      </c>
      <c r="AT152" s="476">
        <f>CHOOSE($B$3,ENWL!AT152,NPgN!AT152,NPgY!AT152,WMID!AT152,EMID!AT152,SWALES!AT152,SWEST!AT152,LPN!AT152,SPN!AT152,EPN!AT152,SPD!AT152,SPMW!AT152,SSEH!AT152,SSES!AT152)</f>
        <v>0</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5.2299114725253526</v>
      </c>
      <c r="AS153" s="476">
        <f>CHOOSE($B$3,ENWL!AS153,NPgN!AS153,NPgY!AS153,WMID!AS153,EMID!AS153,SWALES!AS153,SWEST!AS153,LPN!AS153,SPN!AS153,EPN!AS153,SPD!AS153,SPMW!AS153,SSEH!AS153,SSES!AS153)</f>
        <v>-31.882685707301704</v>
      </c>
      <c r="AT153" s="476">
        <f>CHOOSE($B$3,ENWL!AT153,NPgN!AT153,NPgY!AT153,WMID!AT153,EMID!AT153,SWALES!AT153,SWEST!AT153,LPN!AT153,SPN!AT153,EPN!AT153,SPD!AT153,SPMW!AT153,SSEH!AT153,SSES!AT153)</f>
        <v>0</v>
      </c>
      <c r="AU153" s="476">
        <f>CHOOSE($B$3,ENWL!AU153,NPgN!AU153,NPgY!AU153,WMID!AU153,EMID!AU153,SWALES!AU153,SWEST!AU153,LPN!AU153,SPN!AU153,EPN!AU153,SPD!AU153,SPMW!AU153,SSEH!AU153,SSES!AU153)</f>
        <v>0</v>
      </c>
      <c r="AV153" s="476">
        <f>CHOOSE($B$3,ENWL!AV153,NPgN!AV153,NPgY!AV153,WMID!AV153,EMID!AV153,SWALES!AV153,SWEST!AV153,LPN!AV153,SPN!AV153,EPN!AV153,SPD!AV153,SPMW!AV153,SSEH!AV153,SSES!AV153)</f>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-0.20195364155844167</v>
      </c>
      <c r="AS162" s="476">
        <f>CHOOSE($B$3,ENWL!AS162,NPgN!AS162,NPgY!AS162,WMID!AS162,EMID!AS162,SWALES!AS162,SWEST!AS162,LPN!AS162,SPN!AS162,EPN!AS162,SPD!AS162,SPMW!AS162,SSEH!AS162,SSES!AS162)</f>
        <v>-4.1404200000000141E-2</v>
      </c>
      <c r="AT162" s="476">
        <f>CHOOSE($B$3,ENWL!AT162,NPgN!AT162,NPgY!AT162,WMID!AT162,EMID!AT162,SWALES!AT162,SWEST!AT162,LPN!AT162,SPN!AT162,EPN!AT162,SPD!AT162,SPMW!AT162,SSEH!AT162,SSES!AT162)</f>
        <v>-4.1404200000000141E-2</v>
      </c>
      <c r="AU162" s="476">
        <f>CHOOSE($B$3,ENWL!AU162,NPgN!AU162,NPgY!AU162,WMID!AU162,EMID!AU162,SWALES!AU162,SWEST!AU162,LPN!AU162,SPN!AU162,EPN!AU162,SPD!AU162,SPMW!AU162,SSEH!AU162,SSES!AU162)</f>
        <v>-4.1404200000000141E-2</v>
      </c>
      <c r="AV162" s="476">
        <f>CHOOSE($B$3,ENWL!AV162,NPgN!AV162,NPgY!AV162,WMID!AV162,EMID!AV162,SWALES!AV162,SWEST!AV162,LPN!AV162,SPN!AV162,EPN!AV162,SPD!AV162,SPMW!AV162,SSEH!AV162,SSES!AV162)</f>
        <v>-4.1404200000000141E-2</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-1.0085909403399145</v>
      </c>
      <c r="AS163" s="476">
        <f>CHOOSE($B$3,ENWL!AS163,NPgN!AS163,NPgY!AS163,WMID!AS163,EMID!AS163,SWALES!AS163,SWEST!AS163,LPN!AS163,SPN!AS163,EPN!AS163,SPD!AS163,SPMW!AS163,SSEH!AS163,SSES!AS163)</f>
        <v>0.46770000000000111</v>
      </c>
      <c r="AT163" s="476">
        <f>CHOOSE($B$3,ENWL!AT163,NPgN!AT163,NPgY!AT163,WMID!AT163,EMID!AT163,SWALES!AT163,SWEST!AT163,LPN!AT163,SPN!AT163,EPN!AT163,SPD!AT163,SPMW!AT163,SSEH!AT163,SSES!AT163)</f>
        <v>0.46770000000000111</v>
      </c>
      <c r="AU163" s="476">
        <f>CHOOSE($B$3,ENWL!AU163,NPgN!AU163,NPgY!AU163,WMID!AU163,EMID!AU163,SWALES!AU163,SWEST!AU163,LPN!AU163,SPN!AU163,EPN!AU163,SPD!AU163,SPMW!AU163,SSEH!AU163,SSES!AU163)</f>
        <v>0.46770000000000111</v>
      </c>
      <c r="AV163" s="476">
        <f>CHOOSE($B$3,ENWL!AV163,NPgN!AV163,NPgY!AV163,WMID!AV163,EMID!AV163,SWALES!AV163,SWEST!AV163,LPN!AV163,SPN!AV163,EPN!AV163,SPD!AV163,SPMW!AV163,SSEH!AV163,SSES!AV163)</f>
        <v>0.46770000000000111</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-2.5490505498763509</v>
      </c>
      <c r="AS164" s="476">
        <f>CHOOSE($B$3,ENWL!AS164,NPgN!AS164,NPgY!AS164,WMID!AS164,EMID!AS164,SWALES!AS164,SWEST!AS164,LPN!AS164,SPN!AS164,EPN!AS164,SPD!AS164,SPMW!AS164,SSEH!AS164,SSES!AS164)</f>
        <v>-3.5380389866993998</v>
      </c>
      <c r="AT164" s="476">
        <f>CHOOSE($B$3,ENWL!AT164,NPgN!AT164,NPgY!AT164,WMID!AT164,EMID!AT164,SWALES!AT164,SWEST!AT164,LPN!AT164,SPN!AT164,EPN!AT164,SPD!AT164,SPMW!AT164,SSEH!AT164,SSES!AT164)</f>
        <v>-0.52438049594525138</v>
      </c>
      <c r="AU164" s="476">
        <f>CHOOSE($B$3,ENWL!AU164,NPgN!AU164,NPgY!AU164,WMID!AU164,EMID!AU164,SWALES!AU164,SWEST!AU164,LPN!AU164,SPN!AU164,EPN!AU164,SPD!AU164,SPMW!AU164,SSEH!AU164,SSES!AU164)</f>
        <v>0.14197685052088882</v>
      </c>
      <c r="AV164" s="476">
        <f>CHOOSE($B$3,ENWL!AV164,NPgN!AV164,NPgY!AV164,WMID!AV164,EMID!AV164,SWALES!AV164,SWEST!AV164,LPN!AV164,SPN!AV164,EPN!AV164,SPD!AV164,SPMW!AV164,SSEH!AV164,SSES!AV164)</f>
        <v>0.93430564092485946</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0</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0.30102000000000007</v>
      </c>
      <c r="AS167" s="476">
        <f>CHOOSE($B$3,ENWL!AS167,NPgN!AS167,NPgY!AS167,WMID!AS167,EMID!AS167,SWALES!AS167,SWEST!AS167,LPN!AS167,SPN!AS167,EPN!AS167,SPD!AS167,SPMW!AS167,SSEH!AS167,SSES!AS167)</f>
        <v>0</v>
      </c>
      <c r="AT167" s="476">
        <f>CHOOSE($B$3,ENWL!AT167,NPgN!AT167,NPgY!AT167,WMID!AT167,EMID!AT167,SWALES!AT167,SWEST!AT167,LPN!AT167,SPN!AT167,EPN!AT167,SPD!AT167,SPMW!AT167,SSEH!AT167,SSES!AT167)</f>
        <v>0</v>
      </c>
      <c r="AU167" s="476">
        <f>CHOOSE($B$3,ENWL!AU167,NPgN!AU167,NPgY!AU167,WMID!AU167,EMID!AU167,SWALES!AU167,SWEST!AU167,LPN!AU167,SPN!AU167,EPN!AU167,SPD!AU167,SPMW!AU167,SSEH!AU167,SSES!AU167)</f>
        <v>0</v>
      </c>
      <c r="AV167" s="476">
        <f>CHOOSE($B$3,ENWL!AV167,NPgN!AV167,NPgY!AV167,WMID!AV167,EMID!AV167,SWALES!AV167,SWEST!AV167,LPN!AV167,SPN!AV167,EPN!AV167,SPD!AV167,SPMW!AV167,SSEH!AV167,SSES!AV167)</f>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v>
      </c>
      <c r="AS168" s="476">
        <f>CHOOSE($B$3,ENWL!AS168,NPgN!AS168,NPgY!AS168,WMID!AS168,EMID!AS168,SWALES!AS168,SWEST!AS168,LPN!AS168,SPN!AS168,EPN!AS168,SPD!AS168,SPMW!AS168,SSEH!AS168,SSES!AS168)</f>
        <v>0</v>
      </c>
      <c r="AT168" s="476">
        <f>CHOOSE($B$3,ENWL!AT168,NPgN!AT168,NPgY!AT168,WMID!AT168,EMID!AT168,SWALES!AT168,SWEST!AT168,LPN!AT168,SPN!AT168,EPN!AT168,SPD!AT168,SPMW!AT168,SSEH!AT168,SSES!AT168)</f>
        <v>0</v>
      </c>
      <c r="AU168" s="476">
        <f>CHOOSE($B$3,ENWL!AU168,NPgN!AU168,NPgY!AU168,WMID!AU168,EMID!AU168,SWALES!AU168,SWEST!AU168,LPN!AU168,SPN!AU168,EPN!AU168,SPD!AU168,SPMW!AU168,SSEH!AU168,SSES!AU168)</f>
        <v>0</v>
      </c>
      <c r="AV168" s="476">
        <f>CHOOSE($B$3,ENWL!AV168,NPgN!AV168,NPgY!AV168,WMID!AV168,EMID!AV168,SWALES!AV168,SWEST!AV168,LPN!AV168,SPN!AV168,EPN!AV168,SPD!AV168,SPMW!AV168,SSEH!AV168,SSES!AV168)</f>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0</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0.6523103245300147</v>
      </c>
      <c r="AS177" s="476">
        <f>CHOOSE($B$3,ENWL!AS177,NPgN!AS177,NPgY!AS177,WMID!AS177,EMID!AS177,SWALES!AS177,SWEST!AS177,LPN!AS177,SPN!AS177,EPN!AS177,SPD!AS177,SPMW!AS177,SSEH!AS177,SSES!AS177)</f>
        <v>0.88720701413623226</v>
      </c>
      <c r="AT177" s="476">
        <f>CHOOSE($B$3,ENWL!AT177,NPgN!AT177,NPgY!AT177,WMID!AT177,EMID!AT177,SWALES!AT177,SWEST!AT177,LPN!AT177,SPN!AT177,EPN!AT177,SPD!AT177,SPMW!AT177,SSEH!AT177,SSES!AT177)</f>
        <v>0.72841298369148766</v>
      </c>
      <c r="AU177" s="476">
        <f>CHOOSE($B$3,ENWL!AU177,NPgN!AU177,NPgY!AU177,WMID!AU177,EMID!AU177,SWALES!AU177,SWEST!AU177,LPN!AU177,SPN!AU177,EPN!AU177,SPD!AU177,SPMW!AU177,SSEH!AU177,SSES!AU177)</f>
        <v>0.51670674705209008</v>
      </c>
      <c r="AV177" s="476">
        <f>CHOOSE($B$3,ENWL!AV177,NPgN!AV177,NPgY!AV177,WMID!AV177,EMID!AV177,SWALES!AV177,SWEST!AV177,LPN!AV177,SPN!AV177,EPN!AV177,SPD!AV177,SPMW!AV177,SSEH!AV177,SSES!AV177)</f>
        <v>0.41536293059017515</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0.40302208076634727</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208</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33.524116349840675</v>
      </c>
      <c r="AS191" s="476">
        <f>CHOOSE($B$3,ENWL!AS191,NPgN!AS191,NPgY!AS191,WMID!AS191,EMID!AS191,SWALES!AS191,SWEST!AS191,LPN!AS191,SPN!AS191,EPN!AS191,SPD!AS191,SPMW!AS191,SSEH!AS191,SSES!AS191)</f>
        <v>38.073916196939415</v>
      </c>
      <c r="AT191" s="476">
        <f>CHOOSE($B$3,ENWL!AT191,NPgN!AT191,NPgY!AT191,WMID!AT191,EMID!AT191,SWALES!AT191,SWEST!AT191,LPN!AT191,SPN!AT191,EPN!AT191,SPD!AT191,SPMW!AT191,SSEH!AT191,SSES!AT191)</f>
        <v>41.986679651386673</v>
      </c>
      <c r="AU191" s="476">
        <f>CHOOSE($B$3,ENWL!AU191,NPgN!AU191,NPgY!AU191,WMID!AU191,EMID!AU191,SWALES!AU191,SWEST!AU191,LPN!AU191,SPN!AU191,EPN!AU191,SPD!AU191,SPMW!AU191,SSEH!AU191,SSES!AU191)</f>
        <v>41.121847213670002</v>
      </c>
      <c r="AV191" s="476">
        <f>CHOOSE($B$3,ENWL!AV191,NPgN!AV191,NPgY!AV191,WMID!AV191,EMID!AV191,SWALES!AV191,SWEST!AV191,LPN!AV191,SPN!AV191,EPN!AV191,SPD!AV191,SPMW!AV191,SSEH!AV191,SSES!AV191)</f>
        <v>41.928023907391754</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-36.928452580855563</v>
      </c>
      <c r="AS192" s="476">
        <f>CHOOSE($B$3,ENWL!AS192,NPgN!AS192,NPgY!AS192,WMID!AS192,EMID!AS192,SWALES!AS192,SWEST!AS192,LPN!AS192,SPN!AS192,EPN!AS192,SPD!AS192,SPMW!AS192,SSEH!AS192,SSES!AS192)</f>
        <v>-37.869703753656538</v>
      </c>
      <c r="AT192" s="476">
        <f>CHOOSE($B$3,ENWL!AT192,NPgN!AT192,NPgY!AT192,WMID!AT192,EMID!AT192,SWALES!AT192,SWEST!AT192,LPN!AT192,SPN!AT192,EPN!AT192,SPD!AT192,SPMW!AT192,SSEH!AT192,SSES!AT192)</f>
        <v>-41.537332559897969</v>
      </c>
      <c r="AU192" s="476">
        <f>CHOOSE($B$3,ENWL!AU192,NPgN!AU192,NPgY!AU192,WMID!AU192,EMID!AU192,SWALES!AU192,SWEST!AU192,LPN!AU192,SPN!AU192,EPN!AU192,SPD!AU192,SPMW!AU192,SSEH!AU192,SSES!AU192)</f>
        <v>-40.697929342237217</v>
      </c>
      <c r="AV192" s="476">
        <f>CHOOSE($B$3,ENWL!AV192,NPgN!AV192,NPgY!AV192,WMID!AV192,EMID!AV192,SWALES!AV192,SWEST!AV192,LPN!AV192,SPN!AV192,EPN!AV192,SPD!AV192,SPMW!AV192,SSEH!AV192,SSES!AV192)</f>
        <v>-41.49733951659757</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3.4661649777904442</v>
      </c>
      <c r="AS193" s="476">
        <f>CHOOSE($B$3,ENWL!AS193,NPgN!AS193,NPgY!AS193,WMID!AS193,EMID!AS193,SWALES!AS193,SWEST!AS193,LPN!AS193,SPN!AS193,EPN!AS193,SPD!AS193,SPMW!AS193,SSEH!AS193,SSES!AS193)</f>
        <v>2.9597675572222077</v>
      </c>
      <c r="AT193" s="476">
        <f>CHOOSE($B$3,ENWL!AT193,NPgN!AT193,NPgY!AT193,WMID!AT193,EMID!AT193,SWALES!AT193,SWEST!AT193,LPN!AT193,SPN!AT193,EPN!AT193,SPD!AT193,SPMW!AT193,SSEH!AT193,SSES!AT193)</f>
        <v>1.6003833482226621</v>
      </c>
      <c r="AU193" s="476">
        <f>CHOOSE($B$3,ENWL!AU193,NPgN!AU193,NPgY!AU193,WMID!AU193,EMID!AU193,SWALES!AU193,SWEST!AU193,LPN!AU193,SPN!AU193,EPN!AU193,SPD!AU193,SPMW!AU193,SSEH!AU193,SSES!AU193)</f>
        <v>1.61260521546182</v>
      </c>
      <c r="AV193" s="476">
        <f>CHOOSE($B$3,ENWL!AV193,NPgN!AV193,NPgY!AV193,WMID!AV193,EMID!AV193,SWALES!AV193,SWEST!AV193,LPN!AV193,SPN!AV193,EPN!AV193,SPD!AV193,SPMW!AV193,SSEH!AV193,SSES!AV193)</f>
        <v>1.6117291582140776</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-3.6805881500557454</v>
      </c>
      <c r="AS194" s="476">
        <f>CHOOSE($B$3,ENWL!AS194,NPgN!AS194,NPgY!AS194,WMID!AS194,EMID!AS194,SWALES!AS194,SWEST!AS194,LPN!AS194,SPN!AS194,EPN!AS194,SPD!AS194,SPMW!AS194,SSEH!AS194,SSES!AS194)</f>
        <v>-2.9597675572222077</v>
      </c>
      <c r="AT194" s="476">
        <f>CHOOSE($B$3,ENWL!AT194,NPgN!AT194,NPgY!AT194,WMID!AT194,EMID!AT194,SWALES!AT194,SWEST!AT194,LPN!AT194,SPN!AT194,EPN!AT194,SPD!AT194,SPMW!AT194,SSEH!AT194,SSES!AT194)</f>
        <v>-1.6003833482226628</v>
      </c>
      <c r="AU194" s="476">
        <f>CHOOSE($B$3,ENWL!AU194,NPgN!AU194,NPgY!AU194,WMID!AU194,EMID!AU194,SWALES!AU194,SWEST!AU194,LPN!AU194,SPN!AU194,EPN!AU194,SPD!AU194,SPMW!AU194,SSEH!AU194,SSES!AU194)</f>
        <v>-1.6126052154618205</v>
      </c>
      <c r="AV194" s="476">
        <f>CHOOSE($B$3,ENWL!AV194,NPgN!AV194,NPgY!AV194,WMID!AV194,EMID!AV194,SWALES!AV194,SWEST!AV194,LPN!AV194,SPN!AV194,EPN!AV194,SPD!AV194,SPMW!AV194,SSEH!AV194,SSES!AV194)</f>
        <v>-1.6117291582140783</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1.3122268711979064</v>
      </c>
      <c r="AS195" s="476">
        <f>CHOOSE($B$3,ENWL!AS195,NPgN!AS195,NPgY!AS195,WMID!AS195,EMID!AS195,SWALES!AS195,SWEST!AS195,LPN!AS195,SPN!AS195,EPN!AS195,SPD!AS195,SPMW!AS195,SSEH!AS195,SSES!AS195)</f>
        <v>0.78520205167995771</v>
      </c>
      <c r="AT195" s="476">
        <f>CHOOSE($B$3,ENWL!AT195,NPgN!AT195,NPgY!AT195,WMID!AT195,EMID!AT195,SWALES!AT195,SWEST!AT195,LPN!AT195,SPN!AT195,EPN!AT195,SPD!AT195,SPMW!AT195,SSEH!AT195,SSES!AT195)</f>
        <v>0.9382431592508983</v>
      </c>
      <c r="AU195" s="476">
        <f>CHOOSE($B$3,ENWL!AU195,NPgN!AU195,NPgY!AU195,WMID!AU195,EMID!AU195,SWALES!AU195,SWEST!AU195,LPN!AU195,SPN!AU195,EPN!AU195,SPD!AU195,SPMW!AU195,SSEH!AU195,SSES!AU195)</f>
        <v>0.94748693421888797</v>
      </c>
      <c r="AV195" s="476">
        <f>CHOOSE($B$3,ENWL!AV195,NPgN!AV195,NPgY!AV195,WMID!AV195,EMID!AV195,SWALES!AV195,SWEST!AV195,LPN!AV195,SPN!AV195,EPN!AV195,SPD!AV195,SPMW!AV195,SSEH!AV195,SSES!AV195)</f>
        <v>0.95682178086143843</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-1.369130891743884</v>
      </c>
      <c r="AS196" s="476">
        <f>CHOOSE($B$3,ENWL!AS196,NPgN!AS196,NPgY!AS196,WMID!AS196,EMID!AS196,SWALES!AS196,SWEST!AS196,LPN!AS196,SPN!AS196,EPN!AS196,SPD!AS196,SPMW!AS196,SSEH!AS196,SSES!AS196)</f>
        <v>-0.78520205167995771</v>
      </c>
      <c r="AT196" s="476">
        <f>CHOOSE($B$3,ENWL!AT196,NPgN!AT196,NPgY!AT196,WMID!AT196,EMID!AT196,SWALES!AT196,SWEST!AT196,LPN!AT196,SPN!AT196,EPN!AT196,SPD!AT196,SPMW!AT196,SSEH!AT196,SSES!AT196)</f>
        <v>-0.9382431592508983</v>
      </c>
      <c r="AU196" s="476">
        <f>CHOOSE($B$3,ENWL!AU196,NPgN!AU196,NPgY!AU196,WMID!AU196,EMID!AU196,SWALES!AU196,SWEST!AU196,LPN!AU196,SPN!AU196,EPN!AU196,SPD!AU196,SPMW!AU196,SSEH!AU196,SSES!AU196)</f>
        <v>-0.94748693421888797</v>
      </c>
      <c r="AV196" s="476">
        <f>CHOOSE($B$3,ENWL!AV196,NPgN!AV196,NPgY!AV196,WMID!AV196,EMID!AV196,SWALES!AV196,SWEST!AV196,LPN!AV196,SPN!AV196,EPN!AV196,SPD!AV196,SPMW!AV196,SSEH!AV196,SSES!AV196)</f>
        <v>-0.95682178086143843</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0</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0.93317471851501743</v>
      </c>
      <c r="AS201" s="476">
        <f>CHOOSE($B$3,ENWL!AS201,NPgN!AS201,NPgY!AS201,WMID!AS201,EMID!AS201,SWALES!AS201,SWEST!AS201,LPN!AS201,SPN!AS201,EPN!AS201,SPD!AS201,SPMW!AS201,SSEH!AS201,SSES!AS201)</f>
        <v>0.70438211910579118</v>
      </c>
      <c r="AT201" s="476">
        <f>CHOOSE($B$3,ENWL!AT201,NPgN!AT201,NPgY!AT201,WMID!AT201,EMID!AT201,SWALES!AT201,SWEST!AT201,LPN!AT201,SPN!AT201,EPN!AT201,SPD!AT201,SPMW!AT201,SSEH!AT201,SSES!AT201)</f>
        <v>0.36046499061690879</v>
      </c>
      <c r="AU201" s="476">
        <f>CHOOSE($B$3,ENWL!AU201,NPgN!AU201,NPgY!AU201,WMID!AU201,EMID!AU201,SWALES!AU201,SWEST!AU201,LPN!AU201,SPN!AU201,EPN!AU201,SPD!AU201,SPMW!AU201,SSEH!AU201,SSES!AU201)</f>
        <v>0.11000116279480865</v>
      </c>
      <c r="AV201" s="476">
        <f>CHOOSE($B$3,ENWL!AV201,NPgN!AV201,NPgY!AV201,WMID!AV201,EMID!AV201,SWALES!AV201,SWEST!AV201,LPN!AV201,SPN!AV201,EPN!AV201,SPD!AV201,SPMW!AV201,SSEH!AV201,SSES!AV201)</f>
        <v>0</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-4.8249390348821655E-2</v>
      </c>
      <c r="AS202" s="476">
        <f>CHOOSE($B$3,ENWL!AS202,NPgN!AS202,NPgY!AS202,WMID!AS202,EMID!AS202,SWALES!AS202,SWEST!AS202,LPN!AS202,SPN!AS202,EPN!AS202,SPD!AS202,SPMW!AS202,SSEH!AS202,SSES!AS202)</f>
        <v>-4.8249390348821648E-2</v>
      </c>
      <c r="AT202" s="476">
        <f>CHOOSE($B$3,ENWL!AT202,NPgN!AT202,NPgY!AT202,WMID!AT202,EMID!AT202,SWALES!AT202,SWEST!AT202,LPN!AT202,SPN!AT202,EPN!AT202,SPD!AT202,SPMW!AT202,SSEH!AT202,SSES!AT202)</f>
        <v>-4.8249390348821648E-2</v>
      </c>
      <c r="AU202" s="476">
        <f>CHOOSE($B$3,ENWL!AU202,NPgN!AU202,NPgY!AU202,WMID!AU202,EMID!AU202,SWALES!AU202,SWEST!AU202,LPN!AU202,SPN!AU202,EPN!AU202,SPD!AU202,SPMW!AU202,SSEH!AU202,SSES!AU202)</f>
        <v>-4.8249390348821648E-2</v>
      </c>
      <c r="AV202" s="476">
        <f>CHOOSE($B$3,ENWL!AV202,NPgN!AV202,NPgY!AV202,WMID!AV202,EMID!AV202,SWALES!AV202,SWEST!AV202,LPN!AV202,SPN!AV202,EPN!AV202,SPD!AV202,SPMW!AV202,SSEH!AV202,SSES!AV202)</f>
        <v>0</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4.6778650248327051E-3</v>
      </c>
      <c r="AS205" s="476">
        <f>CHOOSE($B$3,ENWL!AS205,NPgN!AS205,NPgY!AS205,WMID!AS205,EMID!AS205,SWALES!AS205,SWEST!AS205,LPN!AS205,SPN!AS205,EPN!AS205,SPD!AS205,SPMW!AS205,SSEH!AS205,SSES!AS205)</f>
        <v>0</v>
      </c>
      <c r="AT205" s="476">
        <f>CHOOSE($B$3,ENWL!AT205,NPgN!AT205,NPgY!AT205,WMID!AT205,EMID!AT205,SWALES!AT205,SWEST!AT205,LPN!AT205,SPN!AT205,EPN!AT205,SPD!AT205,SPMW!AT205,SSEH!AT205,SSES!AT205)</f>
        <v>0</v>
      </c>
      <c r="AU205" s="476">
        <f>CHOOSE($B$3,ENWL!AU205,NPgN!AU205,NPgY!AU205,WMID!AU205,EMID!AU205,SWALES!AU205,SWEST!AU205,LPN!AU205,SPN!AU205,EPN!AU205,SPD!AU205,SPMW!AU205,SSEH!AU205,SSES!AU205)</f>
        <v>0</v>
      </c>
      <c r="AV205" s="476">
        <f>CHOOSE($B$3,ENWL!AV205,NPgN!AV205,NPgY!AV205,WMID!AV205,EMID!AV205,SWALES!AV205,SWEST!AV205,LPN!AV205,SPN!AV205,EPN!AV205,SPD!AV205,SPMW!AV205,SSEH!AV205,SSES!AV205)</f>
        <v>0</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v>
      </c>
      <c r="AS206" s="476">
        <f>CHOOSE($B$3,ENWL!AS206,NPgN!AS206,NPgY!AS206,WMID!AS206,EMID!AS206,SWALES!AS206,SWEST!AS206,LPN!AS206,SPN!AS206,EPN!AS206,SPD!AS206,SPMW!AS206,SSEH!AS206,SSES!AS206)</f>
        <v>0</v>
      </c>
      <c r="AT206" s="476">
        <f>CHOOSE($B$3,ENWL!AT206,NPgN!AT206,NPgY!AT206,WMID!AT206,EMID!AT206,SWALES!AT206,SWEST!AT206,LPN!AT206,SPN!AT206,EPN!AT206,SPD!AT206,SPMW!AT206,SSEH!AT206,SSES!AT206)</f>
        <v>0</v>
      </c>
      <c r="AU206" s="476">
        <f>CHOOSE($B$3,ENWL!AU206,NPgN!AU206,NPgY!AU206,WMID!AU206,EMID!AU206,SWALES!AU206,SWEST!AU206,LPN!AU206,SPN!AU206,EPN!AU206,SPD!AU206,SPMW!AU206,SSEH!AU206,SSES!AU206)</f>
        <v>0</v>
      </c>
      <c r="AV206" s="476">
        <f>CHOOSE($B$3,ENWL!AV206,NPgN!AV206,NPgY!AV206,WMID!AV206,EMID!AV206,SWALES!AV206,SWEST!AV206,LPN!AV206,SPN!AV206,EPN!AV206,SPD!AV206,SPMW!AV206,SSEH!AV206,SSES!AV206)</f>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3.1E-2</v>
      </c>
      <c r="AS211" s="390">
        <f>CHOOSE($B$3,ENWL!AS211,NPgN!AS211,NPgY!AS211,WMID!AS211,EMID!AS211,SWALES!AS211,SWEST!AS211,LPN!AS211,SPN!AS211,EPN!AS211,SPD!AS211,SPMW!AS211,SSEH!AS211,SSES!AS211)</f>
        <v>3.1699999999999999E-2</v>
      </c>
      <c r="AT211" s="390">
        <f>CHOOSE($B$3,ENWL!AT211,NPgN!AT211,NPgY!AT211,WMID!AT211,EMID!AT211,SWALES!AT211,SWEST!AT211,LPN!AT211,SPN!AT211,EPN!AT211,SPD!AT211,SPMW!AT211,SSEH!AT211,SSES!AT211)</f>
        <v>3.1899999999999998E-2</v>
      </c>
      <c r="AU211" s="390">
        <f>CHOOSE($B$3,ENWL!AU211,NPgN!AU211,NPgY!AU211,WMID!AU211,EMID!AU211,SWALES!AU211,SWEST!AU211,LPN!AU211,SPN!AU211,EPN!AU211,SPD!AU211,SPMW!AU211,SSEH!AU211,SSES!AU211)</f>
        <v>3.1899999999999998E-2</v>
      </c>
      <c r="AV211" s="390">
        <f>CHOOSE($B$3,ENWL!AV211,NPgN!AV211,NPgY!AV211,WMID!AV211,EMID!AV211,SWALES!AV211,SWEST!AV211,LPN!AV211,SPN!AV211,EPN!AV211,SPD!AV211,SPMW!AV211,SSEH!AV211,SSES!AV211)</f>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2.1399999999999999E-2</v>
      </c>
      <c r="AU213" s="390">
        <f>CHOOSE($B$3,ENWL!AU213,NPgN!AU213,NPgY!AU213,WMID!AU213,EMID!AU213,SWALES!AU213,SWEST!AU213,LPN!AU213,SPN!AU213,EPN!AU213,SPD!AU213,SPMW!AU213,SSEH!AU213,SSES!AU213)</f>
        <v>2.3300000000000001E-2</v>
      </c>
      <c r="AV213" s="390">
        <f>CHOOSE($B$3,ENWL!AV213,NPgN!AV213,NPgY!AV213,WMID!AV213,EMID!AV213,SWALES!AV213,SWEST!AV213,LPN!AV213,SPN!AV213,EPN!AV213,SPD!AV213,SPMW!AV213,SSEH!AV213,SSES!AV213)</f>
        <v>2.41E-2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257</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3.7574999999999997E-2</v>
      </c>
      <c r="AK219" s="409">
        <f>CHOOSE($B$3,ENWL!AK219,NPgN!AK219,NPgY!AK219,WMID!AK219,EMID!AK219,SWALES!AK219,SWEST!AK219,LPN!AK219,SPN!AK219,EPN!AK219,SPD!AK219,SPMW!AK219,SSEH!AK219,SSES!AK219)</f>
        <v>3.6729999999999999E-2</v>
      </c>
      <c r="AL219" s="409">
        <f>CHOOSE($B$3,ENWL!AL219,NPgN!AL219,NPgY!AL219,WMID!AL219,EMID!AL219,SWALES!AL219,SWEST!AL219,LPN!AL219,SPN!AL219,EPN!AL219,SPD!AL219,SPMW!AL219,SSEH!AL219,SSES!AL219)</f>
        <v>3.5885E-2</v>
      </c>
      <c r="AM219" s="409">
        <f>CHOOSE($B$3,ENWL!AM219,NPgN!AM219,NPgY!AM219,WMID!AM219,EMID!AM219,SWALES!AM219,SWEST!AM219,LPN!AM219,SPN!AM219,EPN!AM219,SPD!AM219,SPMW!AM219,SSEH!AM219,SSES!AM219)</f>
        <v>3.4584999999999998E-2</v>
      </c>
      <c r="AN219" s="409">
        <f>CHOOSE($B$3,ENWL!AN219,NPgN!AN219,NPgY!AN219,WMID!AN219,EMID!AN219,SWALES!AN219,SWEST!AN219,LPN!AN219,SPN!AN219,EPN!AN219,SPD!AN219,SPMW!AN219,SSEH!AN219,SSES!AN219)</f>
        <v>3.3610000000000001E-2</v>
      </c>
      <c r="AO219" s="409">
        <f>CHOOSE($B$3,ENWL!AO219,NPgN!AO219,NPgY!AO219,WMID!AO219,EMID!AO219,SWALES!AO219,SWEST!AO219,LPN!AO219,SPN!AO219,EPN!AO219,SPD!AO219,SPMW!AO219,SSEH!AO219,SSES!AO219)</f>
        <v>3.2570000000000002E-2</v>
      </c>
      <c r="AP219" s="409">
        <f>CHOOSE($B$3,ENWL!AP219,NPgN!AP219,NPgY!AP219,WMID!AP219,EMID!AP219,SWALES!AP219,SWEST!AP219,LPN!AP219,SPN!AP219,EPN!AP219,SPD!AP219,SPMW!AP219,SSEH!AP219,SSES!AP219)</f>
        <v>3.1529999999999996E-2</v>
      </c>
      <c r="AQ219" s="457">
        <f>CHOOSE($B$3,ENWL!AQ219,NPgN!AQ219,NPgY!AQ219,WMID!AQ219,EMID!AQ219,SWALES!AQ219,SWEST!AQ219,LPN!AQ219,SPN!AQ219,EPN!AQ219,SPD!AQ219,SPMW!AQ219,SSEH!AQ219,SSES!AQ219)</f>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0.95289999999999997</v>
      </c>
      <c r="AS223" s="390">
        <f>CHOOSE($B$3,ENWL!AS223,NPgN!AS223,NPgY!AS223,WMID!AS223,EMID!AS223,SWALES!AS223,SWEST!AS223,LPN!AS223,SPN!AS223,EPN!AS223,SPD!AS223,SPMW!AS223,SSEH!AS223,SSES!AS223)</f>
        <v>0.9637</v>
      </c>
      <c r="AT223" s="390">
        <f>CHOOSE($B$3,ENWL!AT223,NPgN!AT223,NPgY!AT223,WMID!AT223,EMID!AT223,SWALES!AT223,SWEST!AT223,LPN!AT223,SPN!AT223,EPN!AT223,SPD!AT223,SPMW!AT223,SSEH!AT223,SSES!AT223)</f>
        <v>0.97350000000000003</v>
      </c>
      <c r="AU223" s="390">
        <f>CHOOSE($B$3,ENWL!AU223,NPgN!AU223,NPgY!AU223,WMID!AU223,EMID!AU223,SWALES!AU223,SWEST!AU223,LPN!AU223,SPN!AU223,EPN!AU223,SPD!AU223,SPMW!AU223,SSEH!AU223,SSES!AU223)</f>
        <v>0.98119999999999996</v>
      </c>
      <c r="AV223" s="390">
        <f>CHOOSE($B$3,ENWL!AV223,NPgN!AV223,NPgY!AV223,WMID!AV223,EMID!AV223,SWALES!AV223,SWEST!AV223,LPN!AV223,SPN!AV223,EPN!AV223,SPD!AV223,SPMW!AV223,SSEH!AV223,SSES!AV223)</f>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f>CHOOSE($B$3,ENWL!I234,NPgN!I234,NPgY!I234,WMID!I234,EMID!I234,SWALES!I234,SWEST!I234,LPN!I234,SPN!I234,EPN!I234,SPD!I234,SPMW!I234,SSEH!I234,SSES!I234)</f>
        <v>0.73</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f>CHOOSE($B$3,ENWL!I237,NPgN!I237,NPgY!I237,WMID!I237,EMID!I237,SWALES!I237,SWEST!I237,LPN!I237,SPN!I237,EPN!I237,SPD!I237,SPMW!I237,SSEH!I237,SSES!I237)</f>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f>CHOOSE($B$3,ENWL!I241,NPgN!I241,NPgY!I241,WMID!I241,EMID!I241,SWALES!I241,SWEST!I241,LPN!I241,SPN!I241,EPN!I241,SPD!I241,SPMW!I241,SSEH!I241,SSES!I241)</f>
        <v>25.519621594927063</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f>CHOOSE($B$3,ENWL!I245,NPgN!I245,NPgY!I245,WMID!I245,EMID!I245,SWALES!I245,SWEST!I245,LPN!I245,SPN!I245,EPN!I245,SPD!I245,SPMW!I245,SSEH!I245,SSES!I245)</f>
        <v>14</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5">
      <c r="A247" s="82"/>
      <c r="B247" s="82"/>
      <c r="C247" s="82"/>
      <c r="D247" s="82"/>
      <c r="E247" s="7" t="s">
        <v>283</v>
      </c>
      <c r="F247" s="82"/>
      <c r="G247" s="7" t="s">
        <v>281</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5">
      <c r="A248" s="82"/>
      <c r="B248" s="82"/>
      <c r="C248" s="82"/>
      <c r="D248" s="82"/>
      <c r="E248" s="41" t="s">
        <v>284</v>
      </c>
      <c r="F248" s="82"/>
      <c r="G248" s="2" t="s">
        <v>281</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f>CHOOSE($B$3,ENWL!K250,NPgN!K250,NPgY!K250,WMID!K250,EMID!K250,SWALES!K250,SWEST!K250,LPN!K250,SPN!K250,EPN!K250,SPD!K250,SPMW!K250,SSEH!K250,SSES!K250)</f>
        <v>24.265624180091308</v>
      </c>
      <c r="L250" s="413">
        <f>CHOOSE($B$3,ENWL!L250,NPgN!L250,NPgY!L250,WMID!L250,EMID!L250,SWALES!L250,SWEST!L250,LPN!L250,SPN!L250,EPN!L250,SPD!L250,SPMW!L250,SSEH!L250,SSES!L250)</f>
        <v>75.575379125780543</v>
      </c>
      <c r="M250" s="413">
        <f>CHOOSE($B$3,ENWL!M250,NPgN!M250,NPgY!M250,WMID!M250,EMID!M250,SWALES!M250,SWEST!M250,LPN!M250,SPN!M250,EPN!M250,SPD!M250,SPMW!M250,SSEH!M250,SSES!M250)</f>
        <v>78.539119483654289</v>
      </c>
      <c r="N250" s="413">
        <f>CHOOSE($B$3,ENWL!N250,NPgN!N250,NPgY!N250,WMID!N250,EMID!N250,SWALES!N250,SWEST!N250,LPN!N250,SPN!N250,EPN!N250,SPD!N250,SPMW!N250,SSEH!N250,SSES!N250)</f>
        <v>89.097444508579528</v>
      </c>
      <c r="O250" s="413">
        <f>CHOOSE($B$3,ENWL!O250,NPgN!O250,NPgY!O250,WMID!O250,EMID!O250,SWALES!O250,SWEST!O250,LPN!O250,SPN!O250,EPN!O250,SPD!O250,SPMW!O250,SSEH!O250,SSES!O250)</f>
        <v>105.21278270451801</v>
      </c>
      <c r="P250" s="413">
        <f>CHOOSE($B$3,ENWL!P250,NPgN!P250,NPgY!P250,WMID!P250,EMID!P250,SWALES!P250,SWEST!P250,LPN!P250,SPN!P250,EPN!P250,SPD!P250,SPMW!P250,SSEH!P250,SSES!P250)</f>
        <v>77.61295062181874</v>
      </c>
      <c r="Q250" s="413">
        <f>CHOOSE($B$3,ENWL!Q250,NPgN!Q250,NPgY!Q250,WMID!Q250,EMID!Q250,SWALES!Q250,SWEST!Q250,LPN!Q250,SPN!Q250,EPN!Q250,SPD!Q250,SPMW!Q250,SSEH!Q250,SSES!Q250)</f>
        <v>83.169963792832021</v>
      </c>
      <c r="R250" s="413">
        <f>CHOOSE($B$3,ENWL!R250,NPgN!R250,NPgY!R250,WMID!R250,EMID!R250,SWALES!R250,SWEST!R250,LPN!R250,SPN!R250,EPN!R250,SPD!R250,SPMW!R250,SSEH!R250,SSES!R250)</f>
        <v>76.316314215248994</v>
      </c>
      <c r="S250" s="413">
        <f>CHOOSE($B$3,ENWL!S250,NPgN!S250,NPgY!S250,WMID!S250,EMID!S250,SWALES!S250,SWEST!S250,LPN!S250,SPN!S250,EPN!S250,SPD!S250,SPMW!S250,SSEH!S250,SSES!S250)</f>
        <v>81.374484759045359</v>
      </c>
      <c r="T250" s="413">
        <f>CHOOSE($B$3,ENWL!T250,NPgN!T250,NPgY!T250,WMID!T250,EMID!T250,SWALES!T250,SWEST!T250,LPN!T250,SPN!T250,EPN!T250,SPD!T250,SPMW!T250,SSEH!T250,SSES!T250)</f>
        <v>86.472798316801928</v>
      </c>
      <c r="U250" s="413">
        <f>CHOOSE($B$3,ENWL!U250,NPgN!U250,NPgY!U250,WMID!U250,EMID!U250,SWALES!U250,SWEST!U250,LPN!U250,SPN!U250,EPN!U250,SPD!U250,SPMW!U250,SSEH!U250,SSES!U250)</f>
        <v>88.773713396244773</v>
      </c>
      <c r="V250" s="413">
        <f>CHOOSE($B$3,ENWL!V250,NPgN!V250,NPgY!V250,WMID!V250,EMID!V250,SWALES!V250,SWEST!V250,LPN!V250,SPN!V250,EPN!V250,SPD!V250,SPMW!V250,SSEH!V250,SSES!V250)</f>
        <v>99.987059669302653</v>
      </c>
      <c r="W250" s="413">
        <f>CHOOSE($B$3,ENWL!W250,NPgN!W250,NPgY!W250,WMID!W250,EMID!W250,SWALES!W250,SWEST!W250,LPN!W250,SPN!W250,EPN!W250,SPD!W250,SPMW!W250,SSEH!W250,SSES!W250)</f>
        <v>92.334630861645195</v>
      </c>
      <c r="X250" s="413">
        <f>CHOOSE($B$3,ENWL!X250,NPgN!X250,NPgY!X250,WMID!X250,EMID!X250,SWALES!X250,SWEST!X250,LPN!X250,SPN!X250,EPN!X250,SPD!X250,SPMW!X250,SSEH!X250,SSES!X250)</f>
        <v>97.405183056914325</v>
      </c>
      <c r="Y250" s="413">
        <f>CHOOSE($B$3,ENWL!Y250,NPgN!Y250,NPgY!Y250,WMID!Y250,EMID!Y250,SWALES!Y250,SWEST!Y250,LPN!Y250,SPN!Y250,EPN!Y250,SPD!Y250,SPMW!Y250,SSEH!Y250,SSES!Y250)</f>
        <v>91.254455029953064</v>
      </c>
      <c r="Z250" s="413">
        <f>CHOOSE($B$3,ENWL!Z250,NPgN!Z250,NPgY!Z250,WMID!Z250,EMID!Z250,SWALES!Z250,SWEST!Z250,LPN!Z250,SPN!Z250,EPN!Z250,SPD!Z250,SPMW!Z250,SSEH!Z250,SSES!Z250)</f>
        <v>107.8513973764981</v>
      </c>
      <c r="AA250" s="413">
        <f>CHOOSE($B$3,ENWL!AA250,NPgN!AA250,NPgY!AA250,WMID!AA250,EMID!AA250,SWALES!AA250,SWEST!AA250,LPN!AA250,SPN!AA250,EPN!AA250,SPD!AA250,SPMW!AA250,SSEH!AA250,SSES!AA250)</f>
        <v>112.7814106362575</v>
      </c>
      <c r="AB250" s="413">
        <f>CHOOSE($B$3,ENWL!AB250,NPgN!AB250,NPgY!AB250,WMID!AB250,EMID!AB250,SWALES!AB250,SWEST!AB250,LPN!AB250,SPN!AB250,EPN!AB250,SPD!AB250,SPMW!AB250,SSEH!AB250,SSES!AB250)</f>
        <v>129.46104758722427</v>
      </c>
      <c r="AC250" s="413">
        <f>CHOOSE($B$3,ENWL!AC250,NPgN!AC250,NPgY!AC250,WMID!AC250,EMID!AC250,SWALES!AC250,SWEST!AC250,LPN!AC250,SPN!AC250,EPN!AC250,SPD!AC250,SPMW!AC250,SSEH!AC250,SSES!AC250)</f>
        <v>128.05734461084816</v>
      </c>
      <c r="AD250" s="413">
        <f>CHOOSE($B$3,ENWL!AD250,NPgN!AD250,NPgY!AD250,WMID!AD250,EMID!AD250,SWALES!AD250,SWEST!AD250,LPN!AD250,SPN!AD250,EPN!AD250,SPD!AD250,SPMW!AD250,SSEH!AD250,SSES!AD250)</f>
        <v>124.36188074160526</v>
      </c>
      <c r="AE250" s="413">
        <f>CHOOSE($B$3,ENWL!AE250,NPgN!AE250,NPgY!AE250,WMID!AE250,EMID!AE250,SWALES!AE250,SWEST!AE250,LPN!AE250,SPN!AE250,EPN!AE250,SPD!AE250,SPMW!AE250,SSEH!AE250,SSES!AE250)</f>
        <v>110.51366635320358</v>
      </c>
      <c r="AF250" s="413">
        <f>CHOOSE($B$3,ENWL!AF250,NPgN!AF250,NPgY!AF250,WMID!AF250,EMID!AF250,SWALES!AF250,SWEST!AF250,LPN!AF250,SPN!AF250,EPN!AF250,SPD!AF250,SPMW!AF250,SSEH!AF250,SSES!AF250)</f>
        <v>110.87417588734979</v>
      </c>
      <c r="AG250" s="413">
        <f>CHOOSE($B$3,ENWL!AG250,NPgN!AG250,NPgY!AG250,WMID!AG250,EMID!AG250,SWALES!AG250,SWEST!AG250,LPN!AG250,SPN!AG250,EPN!AG250,SPD!AG250,SPMW!AG250,SSEH!AG250,SSES!AG250)</f>
        <v>159.43632367418397</v>
      </c>
      <c r="AH250" s="413">
        <f>CHOOSE($B$3,ENWL!AH250,NPgN!AH250,NPgY!AH250,WMID!AH250,EMID!AH250,SWALES!AH250,SWEST!AH250,LPN!AH250,SPN!AH250,EPN!AH250,SPD!AH250,SPMW!AH250,SSEH!AH250,SSES!AH250)</f>
        <v>179.23991373181218</v>
      </c>
      <c r="AI250" s="413">
        <f>CHOOSE($B$3,ENWL!AI250,NPgN!AI250,NPgY!AI250,WMID!AI250,EMID!AI250,SWALES!AI250,SWEST!AI250,LPN!AI250,SPN!AI250,EPN!AI250,SPD!AI250,SPMW!AI250,SSEH!AI250,SSES!AI250)</f>
        <v>158.09167183610603</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-0.45374134482442691</v>
      </c>
      <c r="AI252" s="413">
        <f>CHOOSE($B$3,ENWL!AI252,NPgN!AI252,NPgY!AI252,WMID!AI252,EMID!AI252,SWALES!AI252,SWEST!AI252,LPN!AI252,SPN!AI252,EPN!AI252,SPD!AI252,SPMW!AI252,SSEH!AI252,SSES!AI252)</f>
        <v>31.826224156279334</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f>CHOOSE($B$3,ENWL!I260,NPgN!I260,NPgY!I260,WMID!I260,EMID!I260,SWALES!I260,SWEST!I260,LPN!I260,SPN!I260,EPN!I260,SPD!I260,SPMW!I260,SSEH!I260,SSES!I260)</f>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301</v>
      </c>
      <c r="F264" s="2"/>
      <c r="G264" s="82" t="s">
        <v>302</v>
      </c>
      <c r="H264" s="82" t="s">
        <v>303</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f>CHOOSE($B$3,ENWL!AR264,NPgN!AR264,NPgY!AR264,WMID!AR264,EMID!AR264,SWALES!AR264,SWEST!AR264,LPN!AR264,SPN!AR264,EPN!AR264,SPD!AR264,SPMW!AR264,SSEH!AR264,SSES!AR264)</f>
        <v>358.39043361</v>
      </c>
      <c r="AS264" s="476">
        <f>CHOOSE($B$3,ENWL!AS264,NPgN!AS264,NPgY!AS264,WMID!AS264,EMID!AS264,SWALES!AS264,SWEST!AS264,LPN!AS264,SPN!AS264,EPN!AS264,SPD!AS264,SPMW!AS264,SSEH!AS264,SSES!AS264)</f>
        <v>497.42539007532946</v>
      </c>
      <c r="AT264" s="476">
        <f>CHOOSE($B$3,ENWL!AT264,NPgN!AT264,NPgY!AT264,WMID!AT264,EMID!AT264,SWALES!AT264,SWEST!AT264,LPN!AT264,SPN!AT264,EPN!AT264,SPD!AT264,SPMW!AT264,SSEH!AT264,SSES!AT264)</f>
        <v>341.6510657395977</v>
      </c>
      <c r="AU264" s="476">
        <f>CHOOSE($B$3,ENWL!AU264,NPgN!AU264,NPgY!AU264,WMID!AU264,EMID!AU264,SWALES!AU264,SWEST!AU264,LPN!AU264,SPN!AU264,EPN!AU264,SPD!AU264,SPMW!AU264,SSEH!AU264,SSES!AU264)</f>
        <v>0</v>
      </c>
      <c r="AV264" s="476">
        <f>CHOOSE($B$3,ENWL!AV264,NPgN!AV264,NPgY!AV264,WMID!AV264,EMID!AV264,SWALES!AV264,SWEST!AV264,LPN!AV264,SPN!AV264,EPN!AV264,SPD!AV264,SPMW!AV264,SSEH!AV264,SSES!AV264)</f>
        <v>0</v>
      </c>
      <c r="AW264" s="184"/>
    </row>
    <row r="265" spans="1:49" ht="15">
      <c r="A265" s="82"/>
      <c r="B265" s="82"/>
      <c r="C265" s="82"/>
      <c r="D265" s="82"/>
      <c r="E265" s="82" t="s">
        <v>304</v>
      </c>
      <c r="F265" s="2"/>
      <c r="G265" s="82" t="s">
        <v>302</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0</v>
      </c>
      <c r="AS265" s="476">
        <f>CHOOSE($B$3,ENWL!AS265,NPgN!AS265,NPgY!AS265,WMID!AS265,EMID!AS265,SWALES!AS265,SWEST!AS265,LPN!AS265,SPN!AS265,EPN!AS265,SPD!AS265,SPMW!AS265,SSEH!AS265,SSES!AS265)</f>
        <v>0</v>
      </c>
      <c r="AT265" s="476">
        <f>CHOOSE($B$3,ENWL!AT265,NPgN!AT265,NPgY!AT265,WMID!AT265,EMID!AT265,SWALES!AT265,SWEST!AT265,LPN!AT265,SPN!AT265,EPN!AT265,SPD!AT265,SPMW!AT265,SSEH!AT265,SSES!AT265)</f>
        <v>340.41054209014391</v>
      </c>
      <c r="AU265" s="476">
        <f>CHOOSE($B$3,ENWL!AU265,NPgN!AU265,NPgY!AU265,WMID!AU265,EMID!AU265,SWALES!AU265,SWEST!AU265,LPN!AU265,SPN!AU265,EPN!AU265,SPD!AU265,SPMW!AU265,SSEH!AU265,SSES!AU265)</f>
        <v>0</v>
      </c>
      <c r="AV265" s="476">
        <f>CHOOSE($B$3,ENWL!AV265,NPgN!AV265,NPgY!AV265,WMID!AV265,EMID!AV265,SWALES!AV265,SWEST!AV265,LPN!AV265,SPN!AV265,EPN!AV265,SPD!AV265,SPMW!AV265,SSEH!AV265,SSES!AV265)</f>
        <v>0</v>
      </c>
      <c r="AW265" s="184"/>
    </row>
    <row r="266" spans="1:49" ht="15">
      <c r="A266" s="82"/>
      <c r="B266" s="82"/>
      <c r="C266" s="82"/>
      <c r="D266" s="82"/>
      <c r="E266" s="82" t="s">
        <v>306</v>
      </c>
      <c r="F266" s="2"/>
      <c r="G266" s="82" t="s">
        <v>300</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f>CHOOSE($B$3,ENWL!AQ266,NPgN!AQ266,NPgY!AQ266,WMID!AQ266,EMID!AQ266,SWALES!AQ266,SWEST!AQ266,LPN!AQ266,SPN!AQ266,EPN!AQ266,SPD!AQ266,SPMW!AQ266,SSEH!AQ266,SSES!AQ266)</f>
        <v>0</v>
      </c>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271.24935114255658</v>
      </c>
      <c r="AU266" s="476">
        <f>CHOOSE($B$3,ENWL!AU266,NPgN!AU266,NPgY!AU266,WMID!AU266,EMID!AU266,SWALES!AU266,SWEST!AU266,LPN!AU266,SPN!AU266,EPN!AU266,SPD!AU266,SPMW!AU266,SSEH!AU266,SSES!AU266)</f>
        <v>0</v>
      </c>
      <c r="AV266" s="476">
        <f>CHOOSE($B$3,ENWL!AV266,NPgN!AV266,NPgY!AV266,WMID!AV266,EMID!AV266,SWALES!AV266,SWEST!AV266,LPN!AV266,SPN!AV266,EPN!AV266,SPD!AV266,SPMW!AV266,SSEH!AV266,SSES!AV266)</f>
        <v>0</v>
      </c>
      <c r="AW266" s="184"/>
    </row>
    <row r="267" spans="1:49" ht="15">
      <c r="A267" s="82"/>
      <c r="B267" s="82"/>
      <c r="C267" s="82"/>
      <c r="D267" s="82"/>
      <c r="E267" s="82" t="s">
        <v>1396</v>
      </c>
      <c r="F267" s="82"/>
      <c r="G267" s="82" t="s">
        <v>302</v>
      </c>
      <c r="H267" s="82" t="s">
        <v>308</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f>CHOOSE($B$3,ENWL!AR267,NPgN!AR267,NPgY!AR267,WMID!AR267,EMID!AR267,SWALES!AR267,SWEST!AR267,LPN!AR267,SPN!AR267,EPN!AR267,SPD!AR267,SPMW!AR267,SSEH!AR267,SSES!AR267)</f>
        <v>3.7752333333333082E-4</v>
      </c>
      <c r="AS267" s="476">
        <f>CHOOSE($B$3,ENWL!AS267,NPgN!AS267,NPgY!AS267,WMID!AS267,EMID!AS267,SWALES!AS267,SWEST!AS267,LPN!AS267,SPN!AS267,EPN!AS267,SPD!AS267,SPMW!AS267,SSEH!AS267,SSES!AS267)</f>
        <v>0</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5">
      <c r="A268" s="82"/>
      <c r="B268" s="82"/>
      <c r="C268" s="82"/>
      <c r="D268" s="82"/>
      <c r="E268" s="82" t="s">
        <v>309</v>
      </c>
      <c r="F268" s="82"/>
      <c r="G268" s="82" t="s">
        <v>302</v>
      </c>
      <c r="H268" s="82" t="s">
        <v>310</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-3.7219858333333335E-2</v>
      </c>
      <c r="AS268" s="476">
        <f>CHOOSE($B$3,ENWL!AS268,NPgN!AS268,NPgY!AS268,WMID!AS268,EMID!AS268,SWALES!AS268,SWEST!AS268,LPN!AS268,SPN!AS268,EPN!AS268,SPD!AS268,SPMW!AS268,SSEH!AS268,SSES!AS268)</f>
        <v>-8.0077333333333344E-3</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5">
      <c r="A269" s="82"/>
      <c r="B269" s="82"/>
      <c r="C269" s="82"/>
      <c r="D269" s="82"/>
      <c r="E269" s="131" t="s">
        <v>311</v>
      </c>
      <c r="F269" s="34"/>
      <c r="G269" s="7" t="s">
        <v>312</v>
      </c>
      <c r="H269" s="34"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f>CHOOSE($B$3,ENWL!AQ269,NPgN!AQ269,NPgY!AQ269,WMID!AQ269,EMID!AQ269,SWALES!AQ269,SWEST!AQ269,LPN!AQ269,SPN!AQ269,EPN!AQ269,SPD!AQ269,SPMW!AQ269,SSEH!AQ269,SSES!AQ269)</f>
        <v>0</v>
      </c>
      <c r="AR269" s="476">
        <f>CHOOSE($B$3,ENWL!AR269,NPgN!AR269,NPgY!AR269,WMID!AR269,EMID!AR269,SWALES!AR269,SWEST!AR269,LPN!AR269,SPN!AR269,EPN!AR269,SPD!AR269,SPMW!AR269,SSEH!AR269,SSES!AR269)</f>
        <v>0</v>
      </c>
      <c r="AS269" s="476">
        <f>CHOOSE($B$3,ENWL!AS269,NPgN!AS269,NPgY!AS269,WMID!AS269,EMID!AS269,SWALES!AS269,SWEST!AS269,LPN!AS269,SPN!AS269,EPN!AS269,SPD!AS269,SPMW!AS269,SSEH!AS269,SSES!AS269)</f>
        <v>0</v>
      </c>
      <c r="AT269" s="476">
        <f>CHOOSE($B$3,ENWL!AT269,NPgN!AT269,NPgY!AT269,WMID!AT269,EMID!AT269,SWALES!AT269,SWEST!AT269,LPN!AT269,SPN!AT269,EPN!AT269,SPD!AT269,SPMW!AT269,SSEH!AT269,SSES!AT269)</f>
        <v>0</v>
      </c>
      <c r="AU269" s="476">
        <f>CHOOSE($B$3,ENWL!AU269,NPgN!AU269,NPgY!AU269,WMID!AU269,EMID!AU269,SWALES!AU269,SWEST!AU269,LPN!AU269,SPN!AU269,EPN!AU269,SPD!AU269,SPMW!AU269,SSEH!AU269,SSES!AU269)</f>
        <v>0</v>
      </c>
      <c r="AV269" s="476">
        <f>CHOOSE($B$3,ENWL!AV269,NPgN!AV269,NPgY!AV269,WMID!AV269,EMID!AV269,SWALES!AV269,SWEST!AV269,LPN!AV269,SPN!AV269,EPN!AV269,SPD!AV269,SPMW!AV269,SSEH!AV269,SSES!AV269)</f>
        <v>0</v>
      </c>
      <c r="AW269" s="184"/>
    </row>
    <row r="270" spans="1:49" ht="15">
      <c r="A270" s="82"/>
      <c r="B270" s="82"/>
      <c r="C270" s="82"/>
      <c r="D270" s="82"/>
      <c r="E270" s="131" t="s">
        <v>314</v>
      </c>
      <c r="F270" s="34"/>
      <c r="G270" s="7" t="s">
        <v>312</v>
      </c>
      <c r="H270" s="34" t="s">
        <v>315</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0</v>
      </c>
      <c r="AS270" s="476">
        <f>CHOOSE($B$3,ENWL!AS270,NPgN!AS270,NPgY!AS270,WMID!AS270,EMID!AS270,SWALES!AS270,SWEST!AS270,LPN!AS270,SPN!AS270,EPN!AS270,SPD!AS270,SPMW!AS270,SSEH!AS270,SSES!AS270)</f>
        <v>0</v>
      </c>
      <c r="AT270" s="476">
        <f>CHOOSE($B$3,ENWL!AT270,NPgN!AT270,NPgY!AT270,WMID!AT270,EMID!AT270,SWALES!AT270,SWEST!AT270,LPN!AT270,SPN!AT270,EPN!AT270,SPD!AT270,SPMW!AT270,SSEH!AT270,SSES!AT270)</f>
        <v>0</v>
      </c>
      <c r="AU270" s="476">
        <f>CHOOSE($B$3,ENWL!AU270,NPgN!AU270,NPgY!AU270,WMID!AU270,EMID!AU270,SWALES!AU270,SWEST!AU270,LPN!AU270,SPN!AU270,EPN!AU270,SPD!AU270,SPMW!AU270,SSEH!AU270,SSES!AU270)</f>
        <v>0</v>
      </c>
      <c r="AV270" s="476">
        <f>CHOOSE($B$3,ENWL!AV270,NPgN!AV270,NPgY!AV270,WMID!AV270,EMID!AV270,SWALES!AV270,SWEST!AV270,LPN!AV270,SPN!AV270,EPN!AV270,SPD!AV270,SPMW!AV270,SSEH!AV270,SSES!AV270)</f>
        <v>0</v>
      </c>
      <c r="AW270" s="184"/>
    </row>
    <row r="271" spans="1:49" ht="15">
      <c r="A271" s="82"/>
      <c r="B271" s="82"/>
      <c r="C271" s="82"/>
      <c r="D271" s="82"/>
      <c r="E271" s="82" t="s">
        <v>316</v>
      </c>
      <c r="F271" s="2"/>
      <c r="G271" s="82" t="s">
        <v>209</v>
      </c>
      <c r="H271" s="82"/>
      <c r="I271" s="409">
        <f>CHOOSE($B$3,ENWL!I271,NPgN!I271,NPgY!I271,WMID!I271,EMID!I271,SWALES!I271,SWEST!I271,LPN!I271,SPN!I271,EPN!I271,SPD!I271,SPMW!I271,SSEH!I271,SSES!I271)</f>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317</v>
      </c>
      <c r="F272" s="2"/>
      <c r="G272" s="82" t="s">
        <v>209</v>
      </c>
      <c r="H272" s="82"/>
      <c r="I272" s="409">
        <f>CHOOSE($B$3,ENWL!I272,NPgN!I272,NPgY!I272,WMID!I272,EMID!I272,SWALES!I272,SWEST!I272,LPN!I272,SPN!I272,EPN!I272,SPD!I272,SPMW!I272,SSEH!I272,SSES!I272)</f>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318</v>
      </c>
      <c r="F273" s="82"/>
      <c r="G273" s="82" t="s">
        <v>209</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319</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320</v>
      </c>
      <c r="F277" s="82"/>
      <c r="G277" s="82" t="s">
        <v>105</v>
      </c>
      <c r="H277" s="82" t="s">
        <v>321</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f>CHOOSE($B$3,ENWL!AR277,NPgN!AR277,NPgY!AR277,WMID!AR277,EMID!AR277,SWALES!AR277,SWEST!AR277,LPN!AR277,SPN!AR277,EPN!AR277,SPD!AR277,SPMW!AR277,SSEH!AR277,SSES!AR277)</f>
        <v>-7.4902841129978519</v>
      </c>
      <c r="AS277" s="476">
        <f>CHOOSE($B$3,ENWL!AS277,NPgN!AS277,NPgY!AS277,WMID!AS277,EMID!AS277,SWALES!AS277,SWEST!AS277,LPN!AS277,SPN!AS277,EPN!AS277,SPD!AS277,SPMW!AS277,SSEH!AS277,SSES!AS277)</f>
        <v>-13.85742314165349</v>
      </c>
      <c r="AT277" s="476">
        <f>CHOOSE($B$3,ENWL!AT277,NPgN!AT277,NPgY!AT277,WMID!AT277,EMID!AT277,SWALES!AT277,SWEST!AT277,LPN!AT277,SPN!AT277,EPN!AT277,SPD!AT277,SPMW!AT277,SSEH!AT277,SSES!AT277)</f>
        <v>-16.391682717885182</v>
      </c>
      <c r="AU277" s="476">
        <f>CHOOSE($B$3,ENWL!AU277,NPgN!AU277,NPgY!AU277,WMID!AU277,EMID!AU277,SWALES!AU277,SWEST!AU277,LPN!AU277,SPN!AU277,EPN!AU277,SPD!AU277,SPMW!AU277,SSEH!AU277,SSES!AU277)</f>
        <v>-13.326443031526201</v>
      </c>
      <c r="AV277" s="476">
        <f>CHOOSE($B$3,ENWL!AV277,NPgN!AV277,NPgY!AV277,WMID!AV277,EMID!AV277,SWALES!AV277,SWEST!AV277,LPN!AV277,SPN!AV277,EPN!AV277,SPD!AV277,SPMW!AV277,SSEH!AV277,SSES!AV277)</f>
        <v>-12.194089871593816</v>
      </c>
      <c r="AW277" s="184"/>
    </row>
    <row r="278" spans="1:49" ht="15">
      <c r="A278" s="82"/>
      <c r="B278" s="82"/>
      <c r="C278" s="82"/>
      <c r="D278" s="82"/>
      <c r="E278" s="82" t="s">
        <v>322</v>
      </c>
      <c r="F278" s="82"/>
      <c r="G278" s="21" t="s">
        <v>302</v>
      </c>
      <c r="H278" s="82" t="s">
        <v>323</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1088.3004290000001</v>
      </c>
      <c r="AS278" s="476">
        <f>CHOOSE($B$3,ENWL!AS278,NPgN!AS278,NPgY!AS278,WMID!AS278,EMID!AS278,SWALES!AS278,SWEST!AS278,LPN!AS278,SPN!AS278,EPN!AS278,SPD!AS278,SPMW!AS278,SSEH!AS278,SSES!AS278)</f>
        <v>1060.8897999999999</v>
      </c>
      <c r="AT278" s="476">
        <f>CHOOSE($B$3,ENWL!AT278,NPgN!AT278,NPgY!AT278,WMID!AT278,EMID!AT278,SWALES!AT278,SWEST!AT278,LPN!AT278,SPN!AT278,EPN!AT278,SPD!AT278,SPMW!AT278,SSEH!AT278,SSES!AT278)</f>
        <v>1318.623</v>
      </c>
      <c r="AU278" s="476">
        <f>CHOOSE($B$3,ENWL!AU278,NPgN!AU278,NPgY!AU278,WMID!AU278,EMID!AU278,SWALES!AU278,SWEST!AU278,LPN!AU278,SPN!AU278,EPN!AU278,SPD!AU278,SPMW!AU278,SSEH!AU278,SSES!AU278)</f>
        <v>1402.528</v>
      </c>
      <c r="AV278" s="476">
        <f>CHOOSE($B$3,ENWL!AV278,NPgN!AV278,NPgY!AV278,WMID!AV278,EMID!AV278,SWALES!AV278,SWEST!AV278,LPN!AV278,SPN!AV278,EPN!AV278,SPD!AV278,SPMW!AV278,SSEH!AV278,SSES!AV278)</f>
        <v>1566.8589999999999</v>
      </c>
      <c r="AW278" s="184"/>
    </row>
    <row r="279" spans="1:49" ht="15">
      <c r="A279" s="82"/>
      <c r="B279" s="82"/>
      <c r="C279" s="82"/>
      <c r="D279" s="82"/>
      <c r="E279" s="82" t="s">
        <v>324</v>
      </c>
      <c r="F279" s="82"/>
      <c r="G279" s="21" t="s">
        <v>302</v>
      </c>
      <c r="H279" s="82" t="s">
        <v>325</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18.307000000000002</v>
      </c>
      <c r="AS279" s="476">
        <f>CHOOSE($B$3,ENWL!AS279,NPgN!AS279,NPgY!AS279,WMID!AS279,EMID!AS279,SWALES!AS279,SWEST!AS279,LPN!AS279,SPN!AS279,EPN!AS279,SPD!AS279,SPMW!AS279,SSEH!AS279,SSES!AS279)</f>
        <v>32.593967244983794</v>
      </c>
      <c r="AT279" s="476">
        <f>CHOOSE($B$3,ENWL!AT279,NPgN!AT279,NPgY!AT279,WMID!AT279,EMID!AT279,SWALES!AT279,SWEST!AT279,LPN!AT279,SPN!AT279,EPN!AT279,SPD!AT279,SPMW!AT279,SSEH!AT279,SSES!AT279)</f>
        <v>38.851299999999995</v>
      </c>
      <c r="AU279" s="476">
        <f>CHOOSE($B$3,ENWL!AU279,NPgN!AU279,NPgY!AU279,WMID!AU279,EMID!AU279,SWALES!AU279,SWEST!AU279,LPN!AU279,SPN!AU279,EPN!AU279,SPD!AU279,SPMW!AU279,SSEH!AU279,SSES!AU279)</f>
        <v>47.974300000000014</v>
      </c>
      <c r="AV279" s="476">
        <f>CHOOSE($B$3,ENWL!AV279,NPgN!AV279,NPgY!AV279,WMID!AV279,EMID!AV279,SWALES!AV279,SWEST!AV279,LPN!AV279,SPN!AV279,EPN!AV279,SPD!AV279,SPMW!AV279,SSEH!AV279,SSES!AV279)</f>
        <v>54.565899999999999</v>
      </c>
      <c r="AW279" s="184"/>
    </row>
    <row r="280" spans="1:49" ht="15">
      <c r="A280" s="82"/>
      <c r="B280" s="82"/>
      <c r="C280" s="82"/>
      <c r="D280" s="82"/>
      <c r="E280" s="82" t="s">
        <v>326</v>
      </c>
      <c r="F280" s="82"/>
      <c r="G280" s="21" t="s">
        <v>302</v>
      </c>
      <c r="H280" s="82" t="s">
        <v>327</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328</v>
      </c>
      <c r="F282" s="82"/>
      <c r="G282" s="21" t="s">
        <v>302</v>
      </c>
      <c r="H282" s="82" t="s">
        <v>329</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f>CHOOSE($B$3,ENWL!AR282,NPgN!AR282,NPgY!AR282,WMID!AR282,EMID!AR282,SWALES!AR282,SWEST!AR282,LPN!AR282,SPN!AR282,EPN!AR282,SPD!AR282,SPMW!AR282,SSEH!AR282,SSES!AR282)</f>
        <v>0</v>
      </c>
      <c r="AS282" s="476">
        <f>CHOOSE($B$3,ENWL!AS282,NPgN!AS282,NPgY!AS282,WMID!AS282,EMID!AS282,SWALES!AS282,SWEST!AS282,LPN!AS282,SPN!AS282,EPN!AS282,SPD!AS282,SPMW!AS282,SSEH!AS282,SSES!AS282)</f>
        <v>-14.33608961078</v>
      </c>
      <c r="AT282" s="476">
        <f>CHOOSE($B$3,ENWL!AT282,NPgN!AT282,NPgY!AT282,WMID!AT282,EMID!AT282,SWALES!AT282,SWEST!AT282,LPN!AT282,SPN!AT282,EPN!AT282,SPD!AT282,SPMW!AT282,SSEH!AT282,SSES!AT282)</f>
        <v>-35.064721251691175</v>
      </c>
      <c r="AU282" s="476">
        <f>CHOOSE($B$3,ENWL!AU282,NPgN!AU282,NPgY!AU282,WMID!AU282,EMID!AU282,SWALES!AU282,SWEST!AU282,LPN!AU282,SPN!AU282,EPN!AU282,SPD!AU282,SPMW!AU282,SSEH!AU282,SSES!AU282)</f>
        <v>-34.515580757686479</v>
      </c>
      <c r="AV282" s="476">
        <f>CHOOSE($B$3,ENWL!AV282,NPgN!AV282,NPgY!AV282,WMID!AV282,EMID!AV282,SWALES!AV282,SWEST!AV282,LPN!AV282,SPN!AV282,EPN!AV282,SPD!AV282,SPMW!AV282,SSEH!AV282,SSES!AV282)</f>
        <v>-22.960643693198399</v>
      </c>
      <c r="AW282" s="184"/>
    </row>
    <row r="283" spans="1:49" ht="15">
      <c r="A283" s="82"/>
      <c r="B283" s="82"/>
      <c r="C283" s="82"/>
      <c r="D283" s="82"/>
      <c r="E283" s="82" t="s">
        <v>330</v>
      </c>
      <c r="F283" s="82"/>
      <c r="G283" s="21" t="s">
        <v>302</v>
      </c>
      <c r="H283" s="82" t="s">
        <v>331</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-14.440593318360751</v>
      </c>
      <c r="AT283" s="476">
        <f>CHOOSE($B$3,ENWL!AT283,NPgN!AT283,NPgY!AT283,WMID!AT283,EMID!AT283,SWALES!AT283,SWEST!AT283,LPN!AT283,SPN!AT283,EPN!AT283,SPD!AT283,SPMW!AT283,SSEH!AT283,SSES!AT283)</f>
        <v>-19.856813126733492</v>
      </c>
      <c r="AU283" s="476">
        <f>CHOOSE($B$3,ENWL!AU283,NPgN!AU283,NPgY!AU283,WMID!AU283,EMID!AU283,SWALES!AU283,SWEST!AU283,LPN!AU283,SPN!AU283,EPN!AU283,SPD!AU283,SPMW!AU283,SSEH!AU283,SSES!AU283)</f>
        <v>-32.069628689496476</v>
      </c>
      <c r="AV283" s="476">
        <f>CHOOSE($B$3,ENWL!AV283,NPgN!AV283,NPgY!AV283,WMID!AV283,EMID!AV283,SWALES!AV283,SWEST!AV283,LPN!AV283,SPN!AV283,EPN!AV283,SPD!AV283,SPMW!AV283,SSEH!AV283,SSES!AV283)</f>
        <v>-32.37592118927568</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332</v>
      </c>
      <c r="F285" s="86"/>
      <c r="G285" s="82" t="s">
        <v>209</v>
      </c>
      <c r="H285" s="2" t="s">
        <v>333</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f>CHOOSE($B$3,ENWL!AR285,NPgN!AR285,NPgY!AR285,WMID!AR285,EMID!AR285,SWALES!AR285,SWEST!AR285,LPN!AR285,SPN!AR285,EPN!AR285,SPD!AR285,SPMW!AR285,SSEH!AR285,SSES!AR285)</f>
        <v>0.25</v>
      </c>
      <c r="AS285" s="420">
        <f>CHOOSE($B$3,ENWL!AS285,NPgN!AS285,NPgY!AS285,WMID!AS285,EMID!AS285,SWALES!AS285,SWEST!AS285,LPN!AS285,SPN!AS285,EPN!AS285,SPD!AS285,SPMW!AS285,SSEH!AS285,SSES!AS285)</f>
        <v>0.25</v>
      </c>
      <c r="AT285" s="420">
        <f>CHOOSE($B$3,ENWL!AT285,NPgN!AT285,NPgY!AT285,WMID!AT285,EMID!AT285,SWALES!AT285,SWEST!AT285,LPN!AT285,SPN!AT285,EPN!AT285,SPD!AT285,SPMW!AT285,SSEH!AT285,SSES!AT285)</f>
        <v>0.25</v>
      </c>
      <c r="AU285" s="420">
        <f>CHOOSE($B$3,ENWL!AU285,NPgN!AU285,NPgY!AU285,WMID!AU285,EMID!AU285,SWALES!AU285,SWEST!AU285,LPN!AU285,SPN!AU285,EPN!AU285,SPD!AU285,SPMW!AU285,SSEH!AU285,SSES!AU285)</f>
        <v>0.25</v>
      </c>
      <c r="AV285" s="420">
        <f>CHOOSE($B$3,ENWL!AV285,NPgN!AV285,NPgY!AV285,WMID!AV285,EMID!AV285,SWALES!AV285,SWEST!AV285,LPN!AV285,SPN!AV285,EPN!AV285,SPD!AV285,SPMW!AV285,SSEH!AV285,SSES!AV285)</f>
        <v>0.25</v>
      </c>
      <c r="AW285" s="184"/>
    </row>
    <row r="286" spans="1:49" ht="15">
      <c r="A286" s="82"/>
      <c r="B286" s="82"/>
      <c r="C286" s="82"/>
      <c r="D286" s="82"/>
      <c r="E286" s="7" t="s">
        <v>334</v>
      </c>
      <c r="F286" s="86"/>
      <c r="G286" s="82" t="s">
        <v>209</v>
      </c>
      <c r="H286" s="7" t="s">
        <v>335</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0.18</v>
      </c>
      <c r="AS286" s="420">
        <f>CHOOSE($B$3,ENWL!AS286,NPgN!AS286,NPgY!AS286,WMID!AS286,EMID!AS286,SWALES!AS286,SWEST!AS286,LPN!AS286,SPN!AS286,EPN!AS286,SPD!AS286,SPMW!AS286,SSEH!AS286,SSES!AS286)</f>
        <v>0.18</v>
      </c>
      <c r="AT286" s="420">
        <f>CHOOSE($B$3,ENWL!AT286,NPgN!AT286,NPgY!AT286,WMID!AT286,EMID!AT286,SWALES!AT286,SWEST!AT286,LPN!AT286,SPN!AT286,EPN!AT286,SPD!AT286,SPMW!AT286,SSEH!AT286,SSES!AT286)</f>
        <v>0.18</v>
      </c>
      <c r="AU286" s="420">
        <f>CHOOSE($B$3,ENWL!AU286,NPgN!AU286,NPgY!AU286,WMID!AU286,EMID!AU286,SWALES!AU286,SWEST!AU286,LPN!AU286,SPN!AU286,EPN!AU286,SPD!AU286,SPMW!AU286,SSEH!AU286,SSES!AU286)</f>
        <v>0.18</v>
      </c>
      <c r="AV286" s="420">
        <f>CHOOSE($B$3,ENWL!AV286,NPgN!AV286,NPgY!AV286,WMID!AV286,EMID!AV286,SWALES!AV286,SWEST!AV286,LPN!AV286,SPN!AV286,EPN!AV286,SPD!AV286,SPMW!AV286,SSEH!AV286,SSES!AV286)</f>
        <v>0.18</v>
      </c>
      <c r="AW286" s="184"/>
    </row>
    <row r="287" spans="1:49" ht="15">
      <c r="A287" s="82"/>
      <c r="B287" s="82"/>
      <c r="C287" s="82"/>
      <c r="D287" s="82"/>
      <c r="E287" s="7" t="s">
        <v>336</v>
      </c>
      <c r="F287" s="86"/>
      <c r="G287" s="82" t="s">
        <v>209</v>
      </c>
      <c r="H287" s="7" t="s">
        <v>337</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0.06</v>
      </c>
      <c r="AS287" s="420">
        <f>CHOOSE($B$3,ENWL!AS287,NPgN!AS287,NPgY!AS287,WMID!AS287,EMID!AS287,SWALES!AS287,SWEST!AS287,LPN!AS287,SPN!AS287,EPN!AS287,SPD!AS287,SPMW!AS287,SSEH!AS287,SSES!AS287)</f>
        <v>0.06</v>
      </c>
      <c r="AT287" s="420">
        <f>CHOOSE($B$3,ENWL!AT287,NPgN!AT287,NPgY!AT287,WMID!AT287,EMID!AT287,SWALES!AT287,SWEST!AT287,LPN!AT287,SPN!AT287,EPN!AT287,SPD!AT287,SPMW!AT287,SSEH!AT287,SSES!AT287)</f>
        <v>0.06</v>
      </c>
      <c r="AU287" s="420">
        <f>CHOOSE($B$3,ENWL!AU287,NPgN!AU287,NPgY!AU287,WMID!AU287,EMID!AU287,SWALES!AU287,SWEST!AU287,LPN!AU287,SPN!AU287,EPN!AU287,SPD!AU287,SPMW!AU287,SSEH!AU287,SSES!AU287)</f>
        <v>0.06</v>
      </c>
      <c r="AV287" s="420">
        <f>CHOOSE($B$3,ENWL!AV287,NPgN!AV287,NPgY!AV287,WMID!AV287,EMID!AV287,SWALES!AV287,SWEST!AV287,LPN!AV287,SPN!AV287,EPN!AV287,SPD!AV287,SPMW!AV287,SSEH!AV287,SSES!AV287)</f>
        <v>0.06</v>
      </c>
      <c r="AW287" s="184"/>
    </row>
    <row r="288" spans="1:49" ht="15">
      <c r="A288" s="82"/>
      <c r="B288" s="82"/>
      <c r="C288" s="82"/>
      <c r="D288" s="82"/>
      <c r="E288" s="7" t="s">
        <v>338</v>
      </c>
      <c r="F288" s="86"/>
      <c r="G288" s="82" t="s">
        <v>209</v>
      </c>
      <c r="H288" s="7" t="s">
        <v>339</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0.03</v>
      </c>
      <c r="AS288" s="420">
        <f>CHOOSE($B$3,ENWL!AS288,NPgN!AS288,NPgY!AS288,WMID!AS288,EMID!AS288,SWALES!AS288,SWEST!AS288,LPN!AS288,SPN!AS288,EPN!AS288,SPD!AS288,SPMW!AS288,SSEH!AS288,SSES!AS288)</f>
        <v>0.03</v>
      </c>
      <c r="AT288" s="420">
        <f>CHOOSE($B$3,ENWL!AT288,NPgN!AT288,NPgY!AT288,WMID!AT288,EMID!AT288,SWALES!AT288,SWEST!AT288,LPN!AT288,SPN!AT288,EPN!AT288,SPD!AT288,SPMW!AT288,SSEH!AT288,SSES!AT288)</f>
        <v>0.03</v>
      </c>
      <c r="AU288" s="420">
        <f>CHOOSE($B$3,ENWL!AU288,NPgN!AU288,NPgY!AU288,WMID!AU288,EMID!AU288,SWALES!AU288,SWEST!AU288,LPN!AU288,SPN!AU288,EPN!AU288,SPD!AU288,SPMW!AU288,SSEH!AU288,SSES!AU288)</f>
        <v>0.03</v>
      </c>
      <c r="AV288" s="420">
        <f>CHOOSE($B$3,ENWL!AV288,NPgN!AV288,NPgY!AV288,WMID!AV288,EMID!AV288,SWALES!AV288,SWEST!AV288,LPN!AV288,SPN!AV288,EPN!AV288,SPD!AV288,SPMW!AV288,SSEH!AV288,SSES!AV288)</f>
        <v>0.03</v>
      </c>
      <c r="AW288" s="184"/>
    </row>
    <row r="289" spans="1:49" ht="15">
      <c r="A289" s="82"/>
      <c r="B289" s="82"/>
      <c r="C289" s="82"/>
      <c r="D289" s="82"/>
      <c r="E289" s="7" t="s">
        <v>340</v>
      </c>
      <c r="F289" s="86"/>
      <c r="G289" s="82" t="s">
        <v>209</v>
      </c>
      <c r="H289" s="7" t="s">
        <v>341</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2.2200000000000001E-2</v>
      </c>
      <c r="AS289" s="420">
        <f>CHOOSE($B$3,ENWL!AS289,NPgN!AS289,NPgY!AS289,WMID!AS289,EMID!AS289,SWALES!AS289,SWEST!AS289,LPN!AS289,SPN!AS289,EPN!AS289,SPD!AS289,SPMW!AS289,SSEH!AS289,SSES!AS289)</f>
        <v>2.2200000000000001E-2</v>
      </c>
      <c r="AT289" s="420">
        <f>CHOOSE($B$3,ENWL!AT289,NPgN!AT289,NPgY!AT289,WMID!AT289,EMID!AT289,SWALES!AT289,SWEST!AT289,LPN!AT289,SPN!AT289,EPN!AT289,SPD!AT289,SPMW!AT289,SSEH!AT289,SSES!AT289)</f>
        <v>2.2200000000000001E-2</v>
      </c>
      <c r="AU289" s="420">
        <f>CHOOSE($B$3,ENWL!AU289,NPgN!AU289,NPgY!AU289,WMID!AU289,EMID!AU289,SWALES!AU289,SWEST!AU289,LPN!AU289,SPN!AU289,EPN!AU289,SPD!AU289,SPMW!AU289,SSEH!AU289,SSES!AU289)</f>
        <v>2.2200000000000001E-2</v>
      </c>
      <c r="AV289" s="420">
        <f>CHOOSE($B$3,ENWL!AV289,NPgN!AV289,NPgY!AV289,WMID!AV289,EMID!AV289,SWALES!AV289,SWEST!AV289,LPN!AV289,SPN!AV289,EPN!AV289,SPD!AV289,SPMW!AV289,SSEH!AV289,SSES!AV289)</f>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342</v>
      </c>
      <c r="F291" s="82"/>
      <c r="G291" s="82" t="s">
        <v>105</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f>CHOOSE($B$3,ENWL!AR291,NPgN!AR291,NPgY!AR291,WMID!AR291,EMID!AR291,SWALES!AR291,SWEST!AR291,LPN!AR291,SPN!AR291,EPN!AR291,SPD!AR291,SPMW!AR291,SSEH!AR291,SSES!AR291)</f>
        <v>1.368578491828039</v>
      </c>
      <c r="AS291" s="528">
        <f>CHOOSE($B$3,ENWL!AS291,NPgN!AS291,NPgY!AS291,WMID!AS291,EMID!AS291,SWALES!AS291,SWEST!AS291,LPN!AS291,SPN!AS291,EPN!AS291,SPD!AS291,SPMW!AS291,SSEH!AS291,SSES!AS291)</f>
        <v>1.4008338175049104</v>
      </c>
      <c r="AT291" s="528">
        <f>CHOOSE($B$3,ENWL!AT291,NPgN!AT291,NPgY!AT291,WMID!AT291,EMID!AT291,SWALES!AT291,SWEST!AT291,LPN!AT291,SPN!AT291,EPN!AT291,SPD!AT291,SPMW!AT291,SSEH!AT291,SSES!AT291)</f>
        <v>1.2944169556388054</v>
      </c>
      <c r="AU291" s="528">
        <f>CHOOSE($B$3,ENWL!AU291,NPgN!AU291,NPgY!AU291,WMID!AU291,EMID!AU291,SWALES!AU291,SWEST!AU291,LPN!AU291,SPN!AU291,EPN!AU291,SPD!AU291,SPMW!AU291,SSEH!AU291,SSES!AU291)</f>
        <v>1.1615288221705597</v>
      </c>
      <c r="AV291" s="528">
        <f>CHOOSE($B$3,ENWL!AV291,NPgN!AV291,NPgY!AV291,WMID!AV291,EMID!AV291,SWALES!AV291,SWEST!AV291,LPN!AV291,SPN!AV291,EPN!AV291,SPD!AV291,SPMW!AV291,SSEH!AV291,SSES!AV291)</f>
        <v>1.0171476978779488</v>
      </c>
      <c r="AW291" s="184"/>
    </row>
    <row r="292" spans="1:49" ht="15">
      <c r="A292" s="82"/>
      <c r="B292" s="82"/>
      <c r="C292" s="82"/>
      <c r="D292" s="82"/>
      <c r="E292" s="82" t="s">
        <v>343</v>
      </c>
      <c r="F292" s="82"/>
      <c r="G292" s="82" t="s">
        <v>209</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f>CHOOSE($B$3,ENWL!AR292,NPgN!AR292,NPgY!AR292,WMID!AR292,EMID!AR292,SWALES!AR292,SWEST!AR292,LPN!AR292,SPN!AR292,EPN!AR292,SPD!AR292,SPMW!AR292,SSEH!AR292,SSES!AR292)</f>
        <v>0.65</v>
      </c>
      <c r="AS292" s="410">
        <f>CHOOSE($B$3,ENWL!AS292,NPgN!AS292,NPgY!AS292,WMID!AS292,EMID!AS292,SWALES!AS292,SWEST!AS292,LPN!AS292,SPN!AS292,EPN!AS292,SPD!AS292,SPMW!AS292,SSEH!AS292,SSES!AS292)</f>
        <v>0.64</v>
      </c>
      <c r="AT292" s="410">
        <f>CHOOSE($B$3,ENWL!AT292,NPgN!AT292,NPgY!AT292,WMID!AT292,EMID!AT292,SWALES!AT292,SWEST!AT292,LPN!AT292,SPN!AT292,EPN!AT292,SPD!AT292,SPMW!AT292,SSEH!AT292,SSES!AT292)</f>
        <v>0.63</v>
      </c>
      <c r="AU292" s="410">
        <f>CHOOSE($B$3,ENWL!AU292,NPgN!AU292,NPgY!AU292,WMID!AU292,EMID!AU292,SWALES!AU292,SWEST!AU292,LPN!AU292,SPN!AU292,EPN!AU292,SPD!AU292,SPMW!AU292,SSEH!AU292,SSES!AU292)</f>
        <v>0.61</v>
      </c>
      <c r="AV292" s="410">
        <f>CHOOSE($B$3,ENWL!AV292,NPgN!AV292,NPgY!AV292,WMID!AV292,EMID!AV292,SWALES!AV292,SWEST!AV292,LPN!AV292,SPN!AV292,EPN!AV292,SPD!AV292,SPMW!AV292,SSEH!AV292,SSES!AV292)</f>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344</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345</v>
      </c>
      <c r="F295" s="82"/>
      <c r="G295" s="82" t="s">
        <v>209</v>
      </c>
      <c r="H295" s="82" t="s">
        <v>346</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f>CHOOSE($B$3,ENWL!AR295,NPgN!AR295,NPgY!AR295,WMID!AR295,EMID!AR295,SWALES!AR295,SWEST!AR295,LPN!AR295,SPN!AR295,EPN!AR295,SPD!AR295,SPMW!AR295,SSEH!AR295,SSES!AR295)</f>
        <v>0</v>
      </c>
      <c r="AS295" s="508">
        <f>CHOOSE($B$3,ENWL!AS295,NPgN!AS295,NPgY!AS295,WMID!AS295,EMID!AS295,SWALES!AS295,SWEST!AS295,LPN!AS295,SPN!AS295,EPN!AS295,SPD!AS295,SPMW!AS295,SSEH!AS295,SSES!AS295)</f>
        <v>0</v>
      </c>
      <c r="AT295" s="508">
        <f>CHOOSE($B$3,ENWL!AT295,NPgN!AT295,NPgY!AT295,WMID!AT295,EMID!AT295,SWALES!AT295,SWEST!AT295,LPN!AT295,SPN!AT295,EPN!AT295,SPD!AT295,SPMW!AT295,SSEH!AT295,SSES!AT295)</f>
        <v>0</v>
      </c>
      <c r="AU295" s="508">
        <f>CHOOSE($B$3,ENWL!AU295,NPgN!AU295,NPgY!AU295,WMID!AU295,EMID!AU295,SWALES!AU295,SWEST!AU295,LPN!AU295,SPN!AU295,EPN!AU295,SPD!AU295,SPMW!AU295,SSEH!AU295,SSES!AU295)</f>
        <v>0</v>
      </c>
      <c r="AV295" s="508">
        <f>CHOOSE($B$3,ENWL!AV295,NPgN!AV295,NPgY!AV295,WMID!AV295,EMID!AV295,SWALES!AV295,SWEST!AV295,LPN!AV295,SPN!AV295,EPN!AV295,SPD!AV295,SPMW!AV295,SSEH!AV295,SSES!AV295)</f>
        <v>0</v>
      </c>
      <c r="AW295" s="184"/>
    </row>
    <row r="296" spans="1:49" ht="15">
      <c r="A296" s="82"/>
      <c r="B296" s="82"/>
      <c r="C296" s="82"/>
      <c r="D296" s="82"/>
      <c r="E296" s="82" t="s">
        <v>347</v>
      </c>
      <c r="F296" s="82"/>
      <c r="G296" s="82" t="s">
        <v>209</v>
      </c>
      <c r="H296" s="82" t="s">
        <v>346</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0</v>
      </c>
      <c r="AS296" s="508">
        <f>CHOOSE($B$3,ENWL!AS296,NPgN!AS296,NPgY!AS296,WMID!AS296,EMID!AS296,SWALES!AS296,SWEST!AS296,LPN!AS296,SPN!AS296,EPN!AS296,SPD!AS296,SPMW!AS296,SSEH!AS296,SSES!AS296)</f>
        <v>0</v>
      </c>
      <c r="AT296" s="508">
        <f>CHOOSE($B$3,ENWL!AT296,NPgN!AT296,NPgY!AT296,WMID!AT296,EMID!AT296,SWALES!AT296,SWEST!AT296,LPN!AT296,SPN!AT296,EPN!AT296,SPD!AT296,SPMW!AT296,SSEH!AT296,SSES!AT296)</f>
        <v>0</v>
      </c>
      <c r="AU296" s="508">
        <f>CHOOSE($B$3,ENWL!AU296,NPgN!AU296,NPgY!AU296,WMID!AU296,EMID!AU296,SWALES!AU296,SWEST!AU296,LPN!AU296,SPN!AU296,EPN!AU296,SPD!AU296,SPMW!AU296,SSEH!AU296,SSES!AU296)</f>
        <v>0</v>
      </c>
      <c r="AV296" s="508">
        <f>CHOOSE($B$3,ENWL!AV296,NPgN!AV296,NPgY!AV296,WMID!AV296,EMID!AV296,SWALES!AV296,SWEST!AV296,LPN!AV296,SPN!AV296,EPN!AV296,SPD!AV296,SPMW!AV296,SSEH!AV296,SSES!AV296)</f>
        <v>0</v>
      </c>
      <c r="AW296" s="184"/>
    </row>
    <row r="297" spans="1:49" ht="15">
      <c r="A297" s="82"/>
      <c r="B297" s="82"/>
      <c r="C297" s="82"/>
      <c r="D297" s="82"/>
      <c r="E297" s="82" t="s">
        <v>348</v>
      </c>
      <c r="F297" s="82"/>
      <c r="G297" s="82" t="s">
        <v>209</v>
      </c>
      <c r="H297" s="82" t="s">
        <v>346</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0.89051094773157491</v>
      </c>
      <c r="AS297" s="508">
        <f>CHOOSE($B$3,ENWL!AS297,NPgN!AS297,NPgY!AS297,WMID!AS297,EMID!AS297,SWALES!AS297,SWEST!AS297,LPN!AS297,SPN!AS297,EPN!AS297,SPD!AS297,SPMW!AS297,SSEH!AS297,SSES!AS297)</f>
        <v>0.89692531944568032</v>
      </c>
      <c r="AT297" s="508">
        <f>CHOOSE($B$3,ENWL!AT297,NPgN!AT297,NPgY!AT297,WMID!AT297,EMID!AT297,SWALES!AT297,SWEST!AT297,LPN!AT297,SPN!AT297,EPN!AT297,SPD!AT297,SPMW!AT297,SSEH!AT297,SSES!AT297)</f>
        <v>0.86823665271887929</v>
      </c>
      <c r="AU297" s="508">
        <f>CHOOSE($B$3,ENWL!AU297,NPgN!AU297,NPgY!AU297,WMID!AU297,EMID!AU297,SWALES!AU297,SWEST!AU297,LPN!AU297,SPN!AU297,EPN!AU297,SPD!AU297,SPMW!AU297,SSEH!AU297,SSES!AU297)</f>
        <v>0.83924483688325469</v>
      </c>
      <c r="AV297" s="508">
        <f>CHOOSE($B$3,ENWL!AV297,NPgN!AV297,NPgY!AV297,WMID!AV297,EMID!AV297,SWALES!AV297,SWEST!AV297,LPN!AV297,SPN!AV297,EPN!AV297,SPD!AV297,SPMW!AV297,SSEH!AV297,SSES!AV297)</f>
        <v>0.84825113336575697</v>
      </c>
      <c r="AW297" s="184"/>
    </row>
    <row r="298" spans="1:49" ht="15">
      <c r="A298" s="82"/>
      <c r="B298" s="82"/>
      <c r="C298" s="82"/>
      <c r="D298" s="82"/>
      <c r="E298" s="82" t="s">
        <v>349</v>
      </c>
      <c r="F298" s="82"/>
      <c r="G298" s="82" t="s">
        <v>209</v>
      </c>
      <c r="H298" s="82" t="s">
        <v>346</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0</v>
      </c>
      <c r="AS298" s="508">
        <f>CHOOSE($B$3,ENWL!AS298,NPgN!AS298,NPgY!AS298,WMID!AS298,EMID!AS298,SWALES!AS298,SWEST!AS298,LPN!AS298,SPN!AS298,EPN!AS298,SPD!AS298,SPMW!AS298,SSEH!AS298,SSES!AS298)</f>
        <v>0</v>
      </c>
      <c r="AT298" s="508">
        <f>CHOOSE($B$3,ENWL!AT298,NPgN!AT298,NPgY!AT298,WMID!AT298,EMID!AT298,SWALES!AT298,SWEST!AT298,LPN!AT298,SPN!AT298,EPN!AT298,SPD!AT298,SPMW!AT298,SSEH!AT298,SSES!AT298)</f>
        <v>0</v>
      </c>
      <c r="AU298" s="508">
        <f>CHOOSE($B$3,ENWL!AU298,NPgN!AU298,NPgY!AU298,WMID!AU298,EMID!AU298,SWALES!AU298,SWEST!AU298,LPN!AU298,SPN!AU298,EPN!AU298,SPD!AU298,SPMW!AU298,SSEH!AU298,SSES!AU298)</f>
        <v>0</v>
      </c>
      <c r="AV298" s="508">
        <f>CHOOSE($B$3,ENWL!AV298,NPgN!AV298,NPgY!AV298,WMID!AV298,EMID!AV298,SWALES!AV298,SWEST!AV298,LPN!AV298,SPN!AV298,EPN!AV298,SPD!AV298,SPMW!AV298,SSEH!AV298,SSES!AV298)</f>
        <v>0</v>
      </c>
      <c r="AW298" s="184"/>
    </row>
    <row r="299" spans="1:49" ht="15">
      <c r="A299" s="82"/>
      <c r="B299" s="82"/>
      <c r="C299" s="82"/>
      <c r="D299" s="82"/>
      <c r="E299" s="82" t="s">
        <v>350</v>
      </c>
      <c r="F299" s="82"/>
      <c r="G299" s="82" t="s">
        <v>209</v>
      </c>
      <c r="H299" s="82" t="s">
        <v>346</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5">
      <c r="A300" s="82"/>
      <c r="B300" s="82"/>
      <c r="C300" s="82"/>
      <c r="D300" s="82"/>
      <c r="E300" s="82" t="s">
        <v>351</v>
      </c>
      <c r="F300" s="82"/>
      <c r="G300" s="82" t="s">
        <v>209</v>
      </c>
      <c r="H300" s="82" t="s">
        <v>346</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5">
      <c r="A301" s="82"/>
      <c r="B301" s="82"/>
      <c r="C301" s="82"/>
      <c r="D301" s="82"/>
      <c r="E301" s="82" t="s">
        <v>352</v>
      </c>
      <c r="F301" s="82"/>
      <c r="G301" s="82" t="s">
        <v>209</v>
      </c>
      <c r="H301" s="82" t="s">
        <v>346</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5.9748259472538166E-2</v>
      </c>
      <c r="AS301" s="508">
        <f>CHOOSE($B$3,ENWL!AS301,NPgN!AS301,NPgY!AS301,WMID!AS301,EMID!AS301,SWALES!AS301,SWEST!AS301,LPN!AS301,SPN!AS301,EPN!AS301,SPD!AS301,SPMW!AS301,SSEH!AS301,SSES!AS301)</f>
        <v>9.7325541813040248E-2</v>
      </c>
      <c r="AT301" s="508">
        <f>CHOOSE($B$3,ENWL!AT301,NPgN!AT301,NPgY!AT301,WMID!AT301,EMID!AT301,SWALES!AT301,SWEST!AT301,LPN!AT301,SPN!AT301,EPN!AT301,SPD!AT301,SPMW!AT301,SSEH!AT301,SSES!AT301)</f>
        <v>8.5122279651948365E-2</v>
      </c>
      <c r="AU301" s="508">
        <f>CHOOSE($B$3,ENWL!AU301,NPgN!AU301,NPgY!AU301,WMID!AU301,EMID!AU301,SWALES!AU301,SWEST!AU301,LPN!AU301,SPN!AU301,EPN!AU301,SPD!AU301,SPMW!AU301,SSEH!AU301,SSES!AU301)</f>
        <v>5.5752682505568259E-2</v>
      </c>
      <c r="AV301" s="508">
        <f>CHOOSE($B$3,ENWL!AV301,NPgN!AV301,NPgY!AV301,WMID!AV301,EMID!AV301,SWALES!AV301,SWEST!AV301,LPN!AV301,SPN!AV301,EPN!AV301,SPD!AV301,SPMW!AV301,SSEH!AV301,SSES!AV301)</f>
        <v>4.4303235938766908E-2</v>
      </c>
      <c r="AW301" s="184"/>
    </row>
    <row r="302" spans="1:49" ht="15">
      <c r="A302" s="82"/>
      <c r="B302" s="82"/>
      <c r="C302" s="82"/>
      <c r="D302" s="82"/>
      <c r="E302" s="82" t="s">
        <v>353</v>
      </c>
      <c r="F302" s="82"/>
      <c r="G302" s="82" t="s">
        <v>209</v>
      </c>
      <c r="H302" s="82" t="s">
        <v>354</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1</v>
      </c>
      <c r="AS302" s="508">
        <f>CHOOSE($B$3,ENWL!AS302,NPgN!AS302,NPgY!AS302,WMID!AS302,EMID!AS302,SWALES!AS302,SWEST!AS302,LPN!AS302,SPN!AS302,EPN!AS302,SPD!AS302,SPMW!AS302,SSEH!AS302,SSES!AS302)</f>
        <v>0.98295837550141374</v>
      </c>
      <c r="AT302" s="508">
        <f>CHOOSE($B$3,ENWL!AT302,NPgN!AT302,NPgY!AT302,WMID!AT302,EMID!AT302,SWALES!AT302,SWEST!AT302,LPN!AT302,SPN!AT302,EPN!AT302,SPD!AT302,SPMW!AT302,SSEH!AT302,SSES!AT302)</f>
        <v>0.99105012435303219</v>
      </c>
      <c r="AU302" s="508">
        <f>CHOOSE($B$3,ENWL!AU302,NPgN!AU302,NPgY!AU302,WMID!AU302,EMID!AU302,SWALES!AU302,SWEST!AU302,LPN!AU302,SPN!AU302,EPN!AU302,SPD!AU302,SPMW!AU302,SSEH!AU302,SSES!AU302)</f>
        <v>0.99282565212892537</v>
      </c>
      <c r="AV302" s="508">
        <f>CHOOSE($B$3,ENWL!AV302,NPgN!AV302,NPgY!AV302,WMID!AV302,EMID!AV302,SWALES!AV302,SWEST!AV302,LPN!AV302,SPN!AV302,EPN!AV302,SPD!AV302,SPMW!AV302,SSEH!AV302,SSES!AV302)</f>
        <v>0.99335991055999839</v>
      </c>
      <c r="AW302" s="184"/>
    </row>
    <row r="303" spans="1:49" ht="15">
      <c r="A303" s="82"/>
      <c r="B303" s="82"/>
      <c r="C303" s="82"/>
      <c r="D303" s="82"/>
      <c r="E303" s="82" t="s">
        <v>355</v>
      </c>
      <c r="F303" s="82"/>
      <c r="G303" s="82" t="s">
        <v>209</v>
      </c>
      <c r="H303" s="82" t="s">
        <v>354</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0.16204768170376446</v>
      </c>
      <c r="AS303" s="508">
        <f>CHOOSE($B$3,ENWL!AS303,NPgN!AS303,NPgY!AS303,WMID!AS303,EMID!AS303,SWALES!AS303,SWEST!AS303,LPN!AS303,SPN!AS303,EPN!AS303,SPD!AS303,SPMW!AS303,SSEH!AS303,SSES!AS303)</f>
        <v>0.13797080461446665</v>
      </c>
      <c r="AT303" s="508">
        <f>CHOOSE($B$3,ENWL!AT303,NPgN!AT303,NPgY!AT303,WMID!AT303,EMID!AT303,SWALES!AT303,SWEST!AT303,LPN!AT303,SPN!AT303,EPN!AT303,SPD!AT303,SPMW!AT303,SSEH!AT303,SSES!AT303)</f>
        <v>0.15015574164998677</v>
      </c>
      <c r="AU303" s="508">
        <f>CHOOSE($B$3,ENWL!AU303,NPgN!AU303,NPgY!AU303,WMID!AU303,EMID!AU303,SWALES!AU303,SWEST!AU303,LPN!AU303,SPN!AU303,EPN!AU303,SPD!AU303,SPMW!AU303,SSEH!AU303,SSES!AU303)</f>
        <v>2.9903455727379825E-2</v>
      </c>
      <c r="AV303" s="508">
        <f>CHOOSE($B$3,ENWL!AV303,NPgN!AV303,NPgY!AV303,WMID!AV303,EMID!AV303,SWALES!AV303,SWEST!AV303,LPN!AV303,SPN!AV303,EPN!AV303,SPD!AV303,SPMW!AV303,SSEH!AV303,SSES!AV303)</f>
        <v>2.5318477041986972E-2</v>
      </c>
      <c r="AW303" s="184"/>
    </row>
    <row r="304" spans="1:49" ht="15">
      <c r="A304" s="82"/>
      <c r="B304" s="82"/>
      <c r="C304" s="82"/>
      <c r="D304" s="82"/>
      <c r="E304" s="82" t="s">
        <v>356</v>
      </c>
      <c r="F304" s="82"/>
      <c r="G304" s="82" t="s">
        <v>209</v>
      </c>
      <c r="H304" s="82" t="s">
        <v>354</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2.2918863844234713E-3</v>
      </c>
      <c r="AS304" s="508">
        <f>CHOOSE($B$3,ENWL!AS304,NPgN!AS304,NPgY!AS304,WMID!AS304,EMID!AS304,SWALES!AS304,SWEST!AS304,LPN!AS304,SPN!AS304,EPN!AS304,SPD!AS304,SPMW!AS304,SSEH!AS304,SSES!AS304)</f>
        <v>2.0325247128205564E-3</v>
      </c>
      <c r="AT304" s="508">
        <f>CHOOSE($B$3,ENWL!AT304,NPgN!AT304,NPgY!AT304,WMID!AT304,EMID!AT304,SWALES!AT304,SWEST!AT304,LPN!AT304,SPN!AT304,EPN!AT304,SPD!AT304,SPMW!AT304,SSEH!AT304,SSES!AT304)</f>
        <v>7.9850938866207633E-3</v>
      </c>
      <c r="AU304" s="508">
        <f>CHOOSE($B$3,ENWL!AU304,NPgN!AU304,NPgY!AU304,WMID!AU304,EMID!AU304,SWALES!AU304,SWEST!AU304,LPN!AU304,SPN!AU304,EPN!AU304,SPD!AU304,SPMW!AU304,SSEH!AU304,SSES!AU304)</f>
        <v>1.1210986213813204E-2</v>
      </c>
      <c r="AV304" s="508">
        <f>CHOOSE($B$3,ENWL!AV304,NPgN!AV304,NPgY!AV304,WMID!AV304,EMID!AV304,SWALES!AV304,SWEST!AV304,LPN!AV304,SPN!AV304,EPN!AV304,SPD!AV304,SPMW!AV304,SSEH!AV304,SSES!AV304)</f>
        <v>1.543395069065096E-2</v>
      </c>
      <c r="AW304" s="184"/>
    </row>
    <row r="305" spans="1:49" ht="15">
      <c r="A305" s="82"/>
      <c r="B305" s="82"/>
      <c r="C305" s="82"/>
      <c r="D305" s="82"/>
      <c r="E305" s="82" t="s">
        <v>357</v>
      </c>
      <c r="F305" s="82"/>
      <c r="G305" s="82" t="s">
        <v>209</v>
      </c>
      <c r="H305" s="82" t="s">
        <v>354</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0</v>
      </c>
      <c r="AS305" s="508">
        <f>CHOOSE($B$3,ENWL!AS305,NPgN!AS305,NPgY!AS305,WMID!AS305,EMID!AS305,SWALES!AS305,SWEST!AS305,LPN!AS305,SPN!AS305,EPN!AS305,SPD!AS305,SPMW!AS305,SSEH!AS305,SSES!AS305)</f>
        <v>0</v>
      </c>
      <c r="AT305" s="508">
        <f>CHOOSE($B$3,ENWL!AT305,NPgN!AT305,NPgY!AT305,WMID!AT305,EMID!AT305,SWALES!AT305,SWEST!AT305,LPN!AT305,SPN!AT305,EPN!AT305,SPD!AT305,SPMW!AT305,SSEH!AT305,SSES!AT305)</f>
        <v>0</v>
      </c>
      <c r="AU305" s="508">
        <f>CHOOSE($B$3,ENWL!AU305,NPgN!AU305,NPgY!AU305,WMID!AU305,EMID!AU305,SWALES!AU305,SWEST!AU305,LPN!AU305,SPN!AU305,EPN!AU305,SPD!AU305,SPMW!AU305,SSEH!AU305,SSES!AU305)</f>
        <v>0</v>
      </c>
      <c r="AV305" s="508">
        <f>CHOOSE($B$3,ENWL!AV305,NPgN!AV305,NPgY!AV305,WMID!AV305,EMID!AV305,SWALES!AV305,SWEST!AV305,LPN!AV305,SPN!AV305,EPN!AV305,SPD!AV305,SPMW!AV305,SSEH!AV305,SSES!AV305)</f>
        <v>0</v>
      </c>
      <c r="AW305" s="184"/>
    </row>
    <row r="306" spans="1:49" ht="15">
      <c r="A306" s="82"/>
      <c r="B306" s="82"/>
      <c r="C306" s="82"/>
      <c r="D306" s="82"/>
      <c r="E306" s="82" t="s">
        <v>358</v>
      </c>
      <c r="F306" s="82"/>
      <c r="G306" s="82" t="s">
        <v>209</v>
      </c>
      <c r="H306" s="82" t="s">
        <v>354</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5">
      <c r="A307" s="82"/>
      <c r="B307" s="82"/>
      <c r="C307" s="82"/>
      <c r="D307" s="82"/>
      <c r="E307" s="82" t="s">
        <v>359</v>
      </c>
      <c r="F307" s="82"/>
      <c r="G307" s="82" t="s">
        <v>209</v>
      </c>
      <c r="H307" s="82" t="s">
        <v>354</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5">
      <c r="A308" s="82"/>
      <c r="B308" s="82"/>
      <c r="C308" s="82"/>
      <c r="D308" s="82"/>
      <c r="E308" s="82" t="s">
        <v>360</v>
      </c>
      <c r="F308" s="82"/>
      <c r="G308" s="82" t="s">
        <v>209</v>
      </c>
      <c r="H308" s="82" t="s">
        <v>354</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0.10472380946110113</v>
      </c>
      <c r="AS308" s="508">
        <f>CHOOSE($B$3,ENWL!AS308,NPgN!AS308,NPgY!AS308,WMID!AS308,EMID!AS308,SWALES!AS308,SWEST!AS308,LPN!AS308,SPN!AS308,EPN!AS308,SPD!AS308,SPMW!AS308,SSEH!AS308,SSES!AS308)</f>
        <v>9.3047178363027547E-2</v>
      </c>
      <c r="AT308" s="508">
        <f>CHOOSE($B$3,ENWL!AT308,NPgN!AT308,NPgY!AT308,WMID!AT308,EMID!AT308,SWALES!AT308,SWEST!AT308,LPN!AT308,SPN!AT308,EPN!AT308,SPD!AT308,SPMW!AT308,SSEH!AT308,SSES!AT308)</f>
        <v>0.13304953306839953</v>
      </c>
      <c r="AU308" s="508">
        <f>CHOOSE($B$3,ENWL!AU308,NPgN!AU308,NPgY!AU308,WMID!AU308,EMID!AU308,SWALES!AU308,SWEST!AU308,LPN!AU308,SPN!AU308,EPN!AU308,SPD!AU308,SPMW!AU308,SSEH!AU308,SSES!AU308)</f>
        <v>0.12604820091454327</v>
      </c>
      <c r="AV308" s="508">
        <f>CHOOSE($B$3,ENWL!AV308,NPgN!AV308,NPgY!AV308,WMID!AV308,EMID!AV308,SWALES!AV308,SWEST!AV308,LPN!AV308,SPN!AV308,EPN!AV308,SPD!AV308,SPMW!AV308,SSEH!AV308,SSES!AV308)</f>
        <v>0.14331511013593765</v>
      </c>
      <c r="AW308" s="184"/>
    </row>
    <row r="309" spans="1:49" ht="15">
      <c r="A309" s="82"/>
      <c r="B309" s="82"/>
      <c r="C309" s="82"/>
      <c r="D309" s="82"/>
      <c r="E309" s="82" t="s">
        <v>361</v>
      </c>
      <c r="F309" s="82"/>
      <c r="G309" s="82" t="s">
        <v>209</v>
      </c>
      <c r="H309" s="82" t="s">
        <v>362</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0</v>
      </c>
      <c r="AS309" s="508">
        <f>CHOOSE($B$3,ENWL!AS309,NPgN!AS309,NPgY!AS309,WMID!AS309,EMID!AS309,SWALES!AS309,SWEST!AS309,LPN!AS309,SPN!AS309,EPN!AS309,SPD!AS309,SPMW!AS309,SSEH!AS309,SSES!AS309)</f>
        <v>0</v>
      </c>
      <c r="AT309" s="508">
        <f>CHOOSE($B$3,ENWL!AT309,NPgN!AT309,NPgY!AT309,WMID!AT309,EMID!AT309,SWALES!AT309,SWEST!AT309,LPN!AT309,SPN!AT309,EPN!AT309,SPD!AT309,SPMW!AT309,SSEH!AT309,SSES!AT309)</f>
        <v>0</v>
      </c>
      <c r="AU309" s="508">
        <f>CHOOSE($B$3,ENWL!AU309,NPgN!AU309,NPgY!AU309,WMID!AU309,EMID!AU309,SWALES!AU309,SWEST!AU309,LPN!AU309,SPN!AU309,EPN!AU309,SPD!AU309,SPMW!AU309,SSEH!AU309,SSES!AU309)</f>
        <v>0</v>
      </c>
      <c r="AV309" s="508">
        <f>CHOOSE($B$3,ENWL!AV309,NPgN!AV309,NPgY!AV309,WMID!AV309,EMID!AV309,SWALES!AV309,SWEST!AV309,LPN!AV309,SPN!AV309,EPN!AV309,SPD!AV309,SPMW!AV309,SSEH!AV309,SSES!AV309)</f>
        <v>0</v>
      </c>
      <c r="AW309" s="184"/>
    </row>
    <row r="310" spans="1:49" ht="15">
      <c r="A310" s="82"/>
      <c r="B310" s="82"/>
      <c r="C310" s="82"/>
      <c r="D310" s="82"/>
      <c r="E310" s="82" t="s">
        <v>363</v>
      </c>
      <c r="F310" s="82"/>
      <c r="G310" s="82" t="s">
        <v>209</v>
      </c>
      <c r="H310" s="82" t="s">
        <v>362</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0.75134834293802288</v>
      </c>
      <c r="AS310" s="508">
        <f>CHOOSE($B$3,ENWL!AS310,NPgN!AS310,NPgY!AS310,WMID!AS310,EMID!AS310,SWALES!AS310,SWEST!AS310,LPN!AS310,SPN!AS310,EPN!AS310,SPD!AS310,SPMW!AS310,SSEH!AS310,SSES!AS310)</f>
        <v>0.81187839885252144</v>
      </c>
      <c r="AT310" s="508">
        <f>CHOOSE($B$3,ENWL!AT310,NPgN!AT310,NPgY!AT310,WMID!AT310,EMID!AT310,SWALES!AT310,SWEST!AT310,LPN!AT310,SPN!AT310,EPN!AT310,SPD!AT310,SPMW!AT310,SSEH!AT310,SSES!AT310)</f>
        <v>0.79746638935823699</v>
      </c>
      <c r="AU310" s="508">
        <f>CHOOSE($B$3,ENWL!AU310,NPgN!AU310,NPgY!AU310,WMID!AU310,EMID!AU310,SWALES!AU310,SWEST!AU310,LPN!AU310,SPN!AU310,EPN!AU310,SPD!AU310,SPMW!AU310,SSEH!AU310,SSES!AU310)</f>
        <v>0.92634256404222348</v>
      </c>
      <c r="AV310" s="508">
        <f>CHOOSE($B$3,ENWL!AV310,NPgN!AV310,NPgY!AV310,WMID!AV310,EMID!AV310,SWALES!AV310,SWEST!AV310,LPN!AV310,SPN!AV310,EPN!AV310,SPD!AV310,SPMW!AV310,SSEH!AV310,SSES!AV310)</f>
        <v>0.92637198212258631</v>
      </c>
      <c r="AW310" s="184"/>
    </row>
    <row r="311" spans="1:49" ht="15">
      <c r="A311" s="82"/>
      <c r="B311" s="82"/>
      <c r="C311" s="82"/>
      <c r="D311" s="82"/>
      <c r="E311" s="82" t="s">
        <v>364</v>
      </c>
      <c r="F311" s="82"/>
      <c r="G311" s="82" t="s">
        <v>209</v>
      </c>
      <c r="H311" s="82" t="s">
        <v>362</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8.4328118935429755E-2</v>
      </c>
      <c r="AS311" s="508">
        <f>CHOOSE($B$3,ENWL!AS311,NPgN!AS311,NPgY!AS311,WMID!AS311,EMID!AS311,SWALES!AS311,SWEST!AS311,LPN!AS311,SPN!AS311,EPN!AS311,SPD!AS311,SPMW!AS311,SSEH!AS311,SSES!AS311)</f>
        <v>5.6748131590629643E-2</v>
      </c>
      <c r="AT311" s="508">
        <f>CHOOSE($B$3,ENWL!AT311,NPgN!AT311,NPgY!AT311,WMID!AT311,EMID!AT311,SWALES!AT311,SWEST!AT311,LPN!AT311,SPN!AT311,EPN!AT311,SPD!AT311,SPMW!AT311,SSEH!AT311,SSES!AT311)</f>
        <v>6.6984832501669159E-2</v>
      </c>
      <c r="AU311" s="508">
        <f>CHOOSE($B$3,ENWL!AU311,NPgN!AU311,NPgY!AU311,WMID!AU311,EMID!AU311,SWALES!AU311,SWEST!AU311,LPN!AU311,SPN!AU311,EPN!AU311,SPD!AU311,SPMW!AU311,SSEH!AU311,SSES!AU311)</f>
        <v>9.6345325544387184E-2</v>
      </c>
      <c r="AV311" s="508">
        <f>CHOOSE($B$3,ENWL!AV311,NPgN!AV311,NPgY!AV311,WMID!AV311,EMID!AV311,SWALES!AV311,SWEST!AV311,LPN!AV311,SPN!AV311,EPN!AV311,SPD!AV311,SPMW!AV311,SSEH!AV311,SSES!AV311)</f>
        <v>0.13277081781444952</v>
      </c>
      <c r="AW311" s="184"/>
    </row>
    <row r="312" spans="1:49" ht="15">
      <c r="A312" s="82"/>
      <c r="B312" s="82"/>
      <c r="C312" s="82"/>
      <c r="D312" s="82"/>
      <c r="E312" s="82" t="s">
        <v>365</v>
      </c>
      <c r="F312" s="82"/>
      <c r="G312" s="82" t="s">
        <v>209</v>
      </c>
      <c r="H312" s="82" t="s">
        <v>362</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0.84817558658320957</v>
      </c>
      <c r="AS312" s="508">
        <f>CHOOSE($B$3,ENWL!AS312,NPgN!AS312,NPgY!AS312,WMID!AS312,EMID!AS312,SWALES!AS312,SWEST!AS312,LPN!AS312,SPN!AS312,EPN!AS312,SPD!AS312,SPMW!AS312,SSEH!AS312,SSES!AS312)</f>
        <v>0.89487481213663789</v>
      </c>
      <c r="AT312" s="508">
        <f>CHOOSE($B$3,ENWL!AT312,NPgN!AT312,NPgY!AT312,WMID!AT312,EMID!AT312,SWALES!AT312,SWEST!AT312,LPN!AT312,SPN!AT312,EPN!AT312,SPD!AT312,SPMW!AT312,SSEH!AT312,SSES!AT312)</f>
        <v>0.891084323003977</v>
      </c>
      <c r="AU312" s="508">
        <f>CHOOSE($B$3,ENWL!AU312,NPgN!AU312,NPgY!AU312,WMID!AU312,EMID!AU312,SWALES!AU312,SWEST!AU312,LPN!AU312,SPN!AU312,EPN!AU312,SPD!AU312,SPMW!AU312,SSEH!AU312,SSES!AU312)</f>
        <v>0.89101280620467493</v>
      </c>
      <c r="AV312" s="508">
        <f>CHOOSE($B$3,ENWL!AV312,NPgN!AV312,NPgY!AV312,WMID!AV312,EMID!AV312,SWALES!AV312,SWEST!AV312,LPN!AV312,SPN!AV312,EPN!AV312,SPD!AV312,SPMW!AV312,SSEH!AV312,SSES!AV312)</f>
        <v>0.89093447948170901</v>
      </c>
      <c r="AW312" s="184"/>
    </row>
    <row r="313" spans="1:49" ht="15">
      <c r="A313" s="82"/>
      <c r="B313" s="82"/>
      <c r="C313" s="82"/>
      <c r="D313" s="82"/>
      <c r="E313" s="82" t="s">
        <v>366</v>
      </c>
      <c r="F313" s="82"/>
      <c r="G313" s="82" t="s">
        <v>209</v>
      </c>
      <c r="H313" s="82" t="s">
        <v>362</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0.16610984797084002</v>
      </c>
      <c r="AS313" s="508">
        <f>CHOOSE($B$3,ENWL!AS313,NPgN!AS313,NPgY!AS313,WMID!AS313,EMID!AS313,SWALES!AS313,SWEST!AS313,LPN!AS313,SPN!AS313,EPN!AS313,SPD!AS313,SPMW!AS313,SSEH!AS313,SSES!AS313)</f>
        <v>0.19190018199373027</v>
      </c>
      <c r="AT313" s="508">
        <f>CHOOSE($B$3,ENWL!AT313,NPgN!AT313,NPgY!AT313,WMID!AT313,EMID!AT313,SWALES!AT313,SWEST!AT313,LPN!AT313,SPN!AT313,EPN!AT313,SPD!AT313,SPMW!AT313,SSEH!AT313,SSES!AT313)</f>
        <v>0.14932899594720636</v>
      </c>
      <c r="AU313" s="508">
        <f>CHOOSE($B$3,ENWL!AU313,NPgN!AU313,NPgY!AU313,WMID!AU313,EMID!AU313,SWALES!AU313,SWEST!AU313,LPN!AU313,SPN!AU313,EPN!AU313,SPD!AU313,SPMW!AU313,SSEH!AU313,SSES!AU313)</f>
        <v>0.22926356376475418</v>
      </c>
      <c r="AV313" s="508">
        <f>CHOOSE($B$3,ENWL!AV313,NPgN!AV313,NPgY!AV313,WMID!AV313,EMID!AV313,SWALES!AV313,SWEST!AV313,LPN!AV313,SPN!AV313,EPN!AV313,SPD!AV313,SPMW!AV313,SSEH!AV313,SSES!AV313)</f>
        <v>0.21575161744461704</v>
      </c>
      <c r="AW313" s="184"/>
    </row>
    <row r="314" spans="1:49" ht="15">
      <c r="A314" s="82"/>
      <c r="B314" s="82"/>
      <c r="C314" s="82"/>
      <c r="D314" s="82"/>
      <c r="E314" s="82" t="s">
        <v>367</v>
      </c>
      <c r="F314" s="82"/>
      <c r="G314" s="82" t="s">
        <v>209</v>
      </c>
      <c r="H314" s="82" t="s">
        <v>362</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0</v>
      </c>
      <c r="AS314" s="508">
        <f>CHOOSE($B$3,ENWL!AS314,NPgN!AS314,NPgY!AS314,WMID!AS314,EMID!AS314,SWALES!AS314,SWEST!AS314,LPN!AS314,SPN!AS314,EPN!AS314,SPD!AS314,SPMW!AS314,SSEH!AS314,SSES!AS314)</f>
        <v>0</v>
      </c>
      <c r="AT314" s="508">
        <f>CHOOSE($B$3,ENWL!AT314,NPgN!AT314,NPgY!AT314,WMID!AT314,EMID!AT314,SWALES!AT314,SWEST!AT314,LPN!AT314,SPN!AT314,EPN!AT314,SPD!AT314,SPMW!AT314,SSEH!AT314,SSES!AT314)</f>
        <v>0</v>
      </c>
      <c r="AU314" s="508">
        <f>CHOOSE($B$3,ENWL!AU314,NPgN!AU314,NPgY!AU314,WMID!AU314,EMID!AU314,SWALES!AU314,SWEST!AU314,LPN!AU314,SPN!AU314,EPN!AU314,SPD!AU314,SPMW!AU314,SSEH!AU314,SSES!AU314)</f>
        <v>0</v>
      </c>
      <c r="AV314" s="508">
        <f>CHOOSE($B$3,ENWL!AV314,NPgN!AV314,NPgY!AV314,WMID!AV314,EMID!AV314,SWALES!AV314,SWEST!AV314,LPN!AV314,SPN!AV314,EPN!AV314,SPD!AV314,SPMW!AV314,SSEH!AV314,SSES!AV314)</f>
        <v>0</v>
      </c>
      <c r="AW314" s="184"/>
    </row>
    <row r="315" spans="1:49" ht="15">
      <c r="A315" s="82"/>
      <c r="B315" s="82"/>
      <c r="C315" s="82"/>
      <c r="D315" s="82"/>
      <c r="E315" s="82" t="s">
        <v>368</v>
      </c>
      <c r="F315" s="82"/>
      <c r="G315" s="82" t="s">
        <v>209</v>
      </c>
      <c r="H315" s="82" t="s">
        <v>362</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0.33446487755866072</v>
      </c>
      <c r="AS315" s="508">
        <f>CHOOSE($B$3,ENWL!AS315,NPgN!AS315,NPgY!AS315,WMID!AS315,EMID!AS315,SWALES!AS315,SWEST!AS315,LPN!AS315,SPN!AS315,EPN!AS315,SPD!AS315,SPMW!AS315,SSEH!AS315,SSES!AS315)</f>
        <v>0.31521089587898038</v>
      </c>
      <c r="AT315" s="508">
        <f>CHOOSE($B$3,ENWL!AT315,NPgN!AT315,NPgY!AT315,WMID!AT315,EMID!AT315,SWALES!AT315,SWEST!AT315,LPN!AT315,SPN!AT315,EPN!AT315,SPD!AT315,SPMW!AT315,SSEH!AT315,SSES!AT315)</f>
        <v>0.28261447072912044</v>
      </c>
      <c r="AU315" s="508">
        <f>CHOOSE($B$3,ENWL!AU315,NPgN!AU315,NPgY!AU315,WMID!AU315,EMID!AU315,SWALES!AU315,SWEST!AU315,LPN!AU315,SPN!AU315,EPN!AU315,SPD!AU315,SPMW!AU315,SSEH!AU315,SSES!AU315)</f>
        <v>0.32137060294710595</v>
      </c>
      <c r="AV315" s="508">
        <f>CHOOSE($B$3,ENWL!AV315,NPgN!AV315,NPgY!AV315,WMID!AV315,EMID!AV315,SWALES!AV315,SWEST!AV315,LPN!AV315,SPN!AV315,EPN!AV315,SPD!AV315,SPMW!AV315,SSEH!AV315,SSES!AV315)</f>
        <v>0.31828864256238715</v>
      </c>
      <c r="AW315" s="184"/>
    </row>
    <row r="316" spans="1:49" ht="15">
      <c r="A316" s="82"/>
      <c r="B316" s="82"/>
      <c r="C316" s="82"/>
      <c r="D316" s="82"/>
      <c r="E316" s="82" t="s">
        <v>369</v>
      </c>
      <c r="F316" s="82"/>
      <c r="G316" s="82" t="s">
        <v>209</v>
      </c>
      <c r="H316" s="82" t="s">
        <v>370</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0</v>
      </c>
      <c r="AS316" s="508">
        <f>CHOOSE($B$3,ENWL!AS316,NPgN!AS316,NPgY!AS316,WMID!AS316,EMID!AS316,SWALES!AS316,SWEST!AS316,LPN!AS316,SPN!AS316,EPN!AS316,SPD!AS316,SPMW!AS316,SSEH!AS316,SSES!AS316)</f>
        <v>0</v>
      </c>
      <c r="AT316" s="508">
        <f>CHOOSE($B$3,ENWL!AT316,NPgN!AT316,NPgY!AT316,WMID!AT316,EMID!AT316,SWALES!AT316,SWEST!AT316,LPN!AT316,SPN!AT316,EPN!AT316,SPD!AT316,SPMW!AT316,SSEH!AT316,SSES!AT316)</f>
        <v>0</v>
      </c>
      <c r="AU316" s="508">
        <f>CHOOSE($B$3,ENWL!AU316,NPgN!AU316,NPgY!AU316,WMID!AU316,EMID!AU316,SWALES!AU316,SWEST!AU316,LPN!AU316,SPN!AU316,EPN!AU316,SPD!AU316,SPMW!AU316,SSEH!AU316,SSES!AU316)</f>
        <v>0</v>
      </c>
      <c r="AV316" s="508">
        <f>CHOOSE($B$3,ENWL!AV316,NPgN!AV316,NPgY!AV316,WMID!AV316,EMID!AV316,SWALES!AV316,SWEST!AV316,LPN!AV316,SPN!AV316,EPN!AV316,SPD!AV316,SPMW!AV316,SSEH!AV316,SSES!AV316)</f>
        <v>0</v>
      </c>
      <c r="AW316" s="184"/>
    </row>
    <row r="317" spans="1:49" ht="15">
      <c r="A317" s="82"/>
      <c r="B317" s="82"/>
      <c r="C317" s="82"/>
      <c r="D317" s="82"/>
      <c r="E317" s="82" t="s">
        <v>371</v>
      </c>
      <c r="F317" s="82"/>
      <c r="G317" s="82" t="s">
        <v>209</v>
      </c>
      <c r="H317" s="82" t="s">
        <v>370</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3.8730722588878871E-2</v>
      </c>
      <c r="AS317" s="508">
        <f>CHOOSE($B$3,ENWL!AS317,NPgN!AS317,NPgY!AS317,WMID!AS317,EMID!AS317,SWALES!AS317,SWEST!AS317,LPN!AS317,SPN!AS317,EPN!AS317,SPD!AS317,SPMW!AS317,SSEH!AS317,SSES!AS317)</f>
        <v>2.6785898674712056E-2</v>
      </c>
      <c r="AT317" s="508">
        <f>CHOOSE($B$3,ENWL!AT317,NPgN!AT317,NPgY!AT317,WMID!AT317,EMID!AT317,SWALES!AT317,SWEST!AT317,LPN!AT317,SPN!AT317,EPN!AT317,SPD!AT317,SPMW!AT317,SSEH!AT317,SSES!AT317)</f>
        <v>2.8603299131754713E-2</v>
      </c>
      <c r="AU317" s="508">
        <f>CHOOSE($B$3,ENWL!AU317,NPgN!AU317,NPgY!AU317,WMID!AU317,EMID!AU317,SWALES!AU317,SWEST!AU317,LPN!AU317,SPN!AU317,EPN!AU317,SPD!AU317,SPMW!AU317,SSEH!AU317,SSES!AU317)</f>
        <v>2.3883129366855677E-2</v>
      </c>
      <c r="AV317" s="508">
        <f>CHOOSE($B$3,ENWL!AV317,NPgN!AV317,NPgY!AV317,WMID!AV317,EMID!AV317,SWALES!AV317,SWEST!AV317,LPN!AV317,SPN!AV317,EPN!AV317,SPD!AV317,SPMW!AV317,SSEH!AV317,SSES!AV317)</f>
        <v>2.6360174221380719E-2</v>
      </c>
      <c r="AW317" s="184"/>
    </row>
    <row r="318" spans="1:49" ht="15">
      <c r="A318" s="82"/>
      <c r="B318" s="82"/>
      <c r="C318" s="82"/>
      <c r="D318" s="82"/>
      <c r="E318" s="82" t="s">
        <v>372</v>
      </c>
      <c r="F318" s="82"/>
      <c r="G318" s="82" t="s">
        <v>209</v>
      </c>
      <c r="H318" s="82" t="s">
        <v>370</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2.2869046948571822E-2</v>
      </c>
      <c r="AS318" s="508">
        <f>CHOOSE($B$3,ENWL!AS318,NPgN!AS318,NPgY!AS318,WMID!AS318,EMID!AS318,SWALES!AS318,SWEST!AS318,LPN!AS318,SPN!AS318,EPN!AS318,SPD!AS318,SPMW!AS318,SSEH!AS318,SSES!AS318)</f>
        <v>4.4294024250869382E-2</v>
      </c>
      <c r="AT318" s="508">
        <f>CHOOSE($B$3,ENWL!AT318,NPgN!AT318,NPgY!AT318,WMID!AT318,EMID!AT318,SWALES!AT318,SWEST!AT318,LPN!AT318,SPN!AT318,EPN!AT318,SPD!AT318,SPMW!AT318,SSEH!AT318,SSES!AT318)</f>
        <v>5.6793420892830758E-2</v>
      </c>
      <c r="AU318" s="508">
        <f>CHOOSE($B$3,ENWL!AU318,NPgN!AU318,NPgY!AU318,WMID!AU318,EMID!AU318,SWALES!AU318,SWEST!AU318,LPN!AU318,SPN!AU318,EPN!AU318,SPD!AU318,SPMW!AU318,SSEH!AU318,SSES!AU318)</f>
        <v>5.3198851358545025E-2</v>
      </c>
      <c r="AV318" s="508">
        <f>CHOOSE($B$3,ENWL!AV318,NPgN!AV318,NPgY!AV318,WMID!AV318,EMID!AV318,SWALES!AV318,SWEST!AV318,LPN!AV318,SPN!AV318,EPN!AV318,SPD!AV318,SPMW!AV318,SSEH!AV318,SSES!AV318)</f>
        <v>3.5440981291425398E-3</v>
      </c>
      <c r="AW318" s="184"/>
    </row>
    <row r="319" spans="1:49" ht="15">
      <c r="A319" s="82"/>
      <c r="B319" s="82"/>
      <c r="C319" s="82"/>
      <c r="D319" s="82"/>
      <c r="E319" s="82" t="s">
        <v>373</v>
      </c>
      <c r="F319" s="82"/>
      <c r="G319" s="82" t="s">
        <v>209</v>
      </c>
      <c r="H319" s="82" t="s">
        <v>370</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0</v>
      </c>
      <c r="AS319" s="508">
        <f>CHOOSE($B$3,ENWL!AS319,NPgN!AS319,NPgY!AS319,WMID!AS319,EMID!AS319,SWALES!AS319,SWEST!AS319,LPN!AS319,SPN!AS319,EPN!AS319,SPD!AS319,SPMW!AS319,SSEH!AS319,SSES!AS319)</f>
        <v>0</v>
      </c>
      <c r="AT319" s="508">
        <f>CHOOSE($B$3,ENWL!AT319,NPgN!AT319,NPgY!AT319,WMID!AT319,EMID!AT319,SWALES!AT319,SWEST!AT319,LPN!AT319,SPN!AT319,EPN!AT319,SPD!AT319,SPMW!AT319,SSEH!AT319,SSES!AT319)</f>
        <v>0</v>
      </c>
      <c r="AU319" s="508">
        <f>CHOOSE($B$3,ENWL!AU319,NPgN!AU319,NPgY!AU319,WMID!AU319,EMID!AU319,SWALES!AU319,SWEST!AU319,LPN!AU319,SPN!AU319,EPN!AU319,SPD!AU319,SPMW!AU319,SSEH!AU319,SSES!AU319)</f>
        <v>0</v>
      </c>
      <c r="AV319" s="508">
        <f>CHOOSE($B$3,ENWL!AV319,NPgN!AV319,NPgY!AV319,WMID!AV319,EMID!AV319,SWALES!AV319,SWEST!AV319,LPN!AV319,SPN!AV319,EPN!AV319,SPD!AV319,SPMW!AV319,SSEH!AV319,SSES!AV319)</f>
        <v>0</v>
      </c>
      <c r="AW319" s="184"/>
    </row>
    <row r="320" spans="1:49" ht="15">
      <c r="A320" s="82"/>
      <c r="B320" s="82"/>
      <c r="C320" s="82"/>
      <c r="D320" s="82"/>
      <c r="E320" s="82" t="s">
        <v>374</v>
      </c>
      <c r="F320" s="82"/>
      <c r="G320" s="82" t="s">
        <v>209</v>
      </c>
      <c r="H320" s="82" t="s">
        <v>370</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5">
      <c r="A321" s="82"/>
      <c r="B321" s="82"/>
      <c r="C321" s="82"/>
      <c r="D321" s="82"/>
      <c r="E321" s="82" t="s">
        <v>375</v>
      </c>
      <c r="F321" s="82"/>
      <c r="G321" s="82" t="s">
        <v>209</v>
      </c>
      <c r="H321" s="82" t="s">
        <v>370</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5">
      <c r="A322" s="82"/>
      <c r="B322" s="82"/>
      <c r="C322" s="82"/>
      <c r="D322" s="82"/>
      <c r="E322" s="82" t="s">
        <v>376</v>
      </c>
      <c r="F322" s="82"/>
      <c r="G322" s="82" t="s">
        <v>209</v>
      </c>
      <c r="H322" s="82" t="s">
        <v>370</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7.9976006777101767E-3</v>
      </c>
      <c r="AS322" s="508">
        <f>CHOOSE($B$3,ENWL!AS322,NPgN!AS322,NPgY!AS322,WMID!AS322,EMID!AS322,SWALES!AS322,SWEST!AS322,LPN!AS322,SPN!AS322,EPN!AS322,SPD!AS322,SPMW!AS322,SSEH!AS322,SSES!AS322)</f>
        <v>1.1253952152105475E-2</v>
      </c>
      <c r="AT322" s="508">
        <f>CHOOSE($B$3,ENWL!AT322,NPgN!AT322,NPgY!AT322,WMID!AT322,EMID!AT322,SWALES!AT322,SWEST!AT322,LPN!AT322,SPN!AT322,EPN!AT322,SPD!AT322,SPMW!AT322,SSEH!AT322,SSES!AT322)</f>
        <v>1.1599861858187115E-2</v>
      </c>
      <c r="AU322" s="508">
        <f>CHOOSE($B$3,ENWL!AU322,NPgN!AU322,NPgY!AU322,WMID!AU322,EMID!AU322,SWALES!AU322,SWEST!AU322,LPN!AU322,SPN!AU322,EPN!AU322,SPD!AU322,SPMW!AU322,SSEH!AU322,SSES!AU322)</f>
        <v>9.2667460869408236E-3</v>
      </c>
      <c r="AV322" s="508">
        <f>CHOOSE($B$3,ENWL!AV322,NPgN!AV322,NPgY!AV322,WMID!AV322,EMID!AV322,SWALES!AV322,SWEST!AV322,LPN!AV322,SPN!AV322,EPN!AV322,SPD!AV322,SPMW!AV322,SSEH!AV322,SSES!AV322)</f>
        <v>6.3848451895463735E-3</v>
      </c>
      <c r="AW322" s="184"/>
    </row>
    <row r="323" spans="1:49" ht="15">
      <c r="A323" s="82"/>
      <c r="B323" s="82"/>
      <c r="C323" s="82"/>
      <c r="D323" s="82"/>
      <c r="E323" s="82" t="s">
        <v>377</v>
      </c>
      <c r="F323" s="82"/>
      <c r="G323" s="82" t="s">
        <v>209</v>
      </c>
      <c r="H323" s="82" t="s">
        <v>378</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0</v>
      </c>
      <c r="AS323" s="508">
        <f>CHOOSE($B$3,ENWL!AS323,NPgN!AS323,NPgY!AS323,WMID!AS323,EMID!AS323,SWALES!AS323,SWEST!AS323,LPN!AS323,SPN!AS323,EPN!AS323,SPD!AS323,SPMW!AS323,SSEH!AS323,SSES!AS323)</f>
        <v>1.7041624498586275E-2</v>
      </c>
      <c r="AT323" s="508">
        <f>CHOOSE($B$3,ENWL!AT323,NPgN!AT323,NPgY!AT323,WMID!AT323,EMID!AT323,SWALES!AT323,SWEST!AT323,LPN!AT323,SPN!AT323,EPN!AT323,SPD!AT323,SPMW!AT323,SSEH!AT323,SSES!AT323)</f>
        <v>8.9498756469677723E-3</v>
      </c>
      <c r="AU323" s="508">
        <f>CHOOSE($B$3,ENWL!AU323,NPgN!AU323,NPgY!AU323,WMID!AU323,EMID!AU323,SWALES!AU323,SWEST!AU323,LPN!AU323,SPN!AU323,EPN!AU323,SPD!AU323,SPMW!AU323,SSEH!AU323,SSES!AU323)</f>
        <v>7.1743478710746423E-3</v>
      </c>
      <c r="AV323" s="508">
        <f>CHOOSE($B$3,ENWL!AV323,NPgN!AV323,NPgY!AV323,WMID!AV323,EMID!AV323,SWALES!AV323,SWEST!AV323,LPN!AV323,SPN!AV323,EPN!AV323,SPD!AV323,SPMW!AV323,SSEH!AV323,SSES!AV323)</f>
        <v>6.6400894400015934E-3</v>
      </c>
      <c r="AW323" s="184"/>
    </row>
    <row r="324" spans="1:49" ht="15">
      <c r="A324" s="82"/>
      <c r="B324" s="82"/>
      <c r="C324" s="82"/>
      <c r="D324" s="82"/>
      <c r="E324" s="82" t="s">
        <v>379</v>
      </c>
      <c r="F324" s="82"/>
      <c r="G324" s="82" t="s">
        <v>209</v>
      </c>
      <c r="H324" s="82" t="s">
        <v>378</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0</v>
      </c>
      <c r="AS324" s="508">
        <f>CHOOSE($B$3,ENWL!AS324,NPgN!AS324,NPgY!AS324,WMID!AS324,EMID!AS324,SWALES!AS324,SWEST!AS324,LPN!AS324,SPN!AS324,EPN!AS324,SPD!AS324,SPMW!AS324,SSEH!AS324,SSES!AS324)</f>
        <v>0</v>
      </c>
      <c r="AT324" s="508">
        <f>CHOOSE($B$3,ENWL!AT324,NPgN!AT324,NPgY!AT324,WMID!AT324,EMID!AT324,SWALES!AT324,SWEST!AT324,LPN!AT324,SPN!AT324,EPN!AT324,SPD!AT324,SPMW!AT324,SSEH!AT324,SSES!AT324)</f>
        <v>0</v>
      </c>
      <c r="AU324" s="508">
        <f>CHOOSE($B$3,ENWL!AU324,NPgN!AU324,NPgY!AU324,WMID!AU324,EMID!AU324,SWALES!AU324,SWEST!AU324,LPN!AU324,SPN!AU324,EPN!AU324,SPD!AU324,SPMW!AU324,SSEH!AU324,SSES!AU324)</f>
        <v>0</v>
      </c>
      <c r="AV324" s="508">
        <f>CHOOSE($B$3,ENWL!AV324,NPgN!AV324,NPgY!AV324,WMID!AV324,EMID!AV324,SWALES!AV324,SWEST!AV324,LPN!AV324,SPN!AV324,EPN!AV324,SPD!AV324,SPMW!AV324,SSEH!AV324,SSES!AV324)</f>
        <v>0</v>
      </c>
      <c r="AW324" s="184"/>
    </row>
    <row r="325" spans="1:49" ht="15">
      <c r="A325" s="82"/>
      <c r="B325" s="82"/>
      <c r="C325" s="82"/>
      <c r="D325" s="82"/>
      <c r="E325" s="82" t="s">
        <v>380</v>
      </c>
      <c r="F325" s="82"/>
      <c r="G325" s="82" t="s">
        <v>209</v>
      </c>
      <c r="H325" s="82" t="s">
        <v>378</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0</v>
      </c>
      <c r="AS325" s="508">
        <f>CHOOSE($B$3,ENWL!AS325,NPgN!AS325,NPgY!AS325,WMID!AS325,EMID!AS325,SWALES!AS325,SWEST!AS325,LPN!AS325,SPN!AS325,EPN!AS325,SPD!AS325,SPMW!AS325,SSEH!AS325,SSES!AS325)</f>
        <v>0</v>
      </c>
      <c r="AT325" s="508">
        <f>CHOOSE($B$3,ENWL!AT325,NPgN!AT325,NPgY!AT325,WMID!AT325,EMID!AT325,SWALES!AT325,SWEST!AT325,LPN!AT325,SPN!AT325,EPN!AT325,SPD!AT325,SPMW!AT325,SSEH!AT325,SSES!AT325)</f>
        <v>0</v>
      </c>
      <c r="AU325" s="508">
        <f>CHOOSE($B$3,ENWL!AU325,NPgN!AU325,NPgY!AU325,WMID!AU325,EMID!AU325,SWALES!AU325,SWEST!AU325,LPN!AU325,SPN!AU325,EPN!AU325,SPD!AU325,SPMW!AU325,SSEH!AU325,SSES!AU325)</f>
        <v>0</v>
      </c>
      <c r="AV325" s="508">
        <f>CHOOSE($B$3,ENWL!AV325,NPgN!AV325,NPgY!AV325,WMID!AV325,EMID!AV325,SWALES!AV325,SWEST!AV325,LPN!AV325,SPN!AV325,EPN!AV325,SPD!AV325,SPMW!AV325,SSEH!AV325,SSES!AV325)</f>
        <v>0</v>
      </c>
      <c r="AW325" s="184"/>
    </row>
    <row r="326" spans="1:49" ht="15">
      <c r="A326" s="82"/>
      <c r="B326" s="82"/>
      <c r="C326" s="82"/>
      <c r="D326" s="82"/>
      <c r="E326" s="82" t="s">
        <v>381</v>
      </c>
      <c r="F326" s="82"/>
      <c r="G326" s="82" t="s">
        <v>209</v>
      </c>
      <c r="H326" s="82" t="s">
        <v>378</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0.15182441341679054</v>
      </c>
      <c r="AS326" s="508">
        <f>CHOOSE($B$3,ENWL!AS326,NPgN!AS326,NPgY!AS326,WMID!AS326,EMID!AS326,SWALES!AS326,SWEST!AS326,LPN!AS326,SPN!AS326,EPN!AS326,SPD!AS326,SPMW!AS326,SSEH!AS326,SSES!AS326)</f>
        <v>0.10512518786336211</v>
      </c>
      <c r="AT326" s="508">
        <f>CHOOSE($B$3,ENWL!AT326,NPgN!AT326,NPgY!AT326,WMID!AT326,EMID!AT326,SWALES!AT326,SWEST!AT326,LPN!AT326,SPN!AT326,EPN!AT326,SPD!AT326,SPMW!AT326,SSEH!AT326,SSES!AT326)</f>
        <v>0.108915676996023</v>
      </c>
      <c r="AU326" s="508">
        <f>CHOOSE($B$3,ENWL!AU326,NPgN!AU326,NPgY!AU326,WMID!AU326,EMID!AU326,SWALES!AU326,SWEST!AU326,LPN!AU326,SPN!AU326,EPN!AU326,SPD!AU326,SPMW!AU326,SSEH!AU326,SSES!AU326)</f>
        <v>0.10898719379532505</v>
      </c>
      <c r="AV326" s="508">
        <f>CHOOSE($B$3,ENWL!AV326,NPgN!AV326,NPgY!AV326,WMID!AV326,EMID!AV326,SWALES!AV326,SWEST!AV326,LPN!AV326,SPN!AV326,EPN!AV326,SPD!AV326,SPMW!AV326,SSEH!AV326,SSES!AV326)</f>
        <v>0.10906552051829099</v>
      </c>
      <c r="AW326" s="184"/>
    </row>
    <row r="327" spans="1:49" ht="15">
      <c r="A327" s="82"/>
      <c r="B327" s="82"/>
      <c r="C327" s="82"/>
      <c r="D327" s="82"/>
      <c r="E327" s="82" t="s">
        <v>382</v>
      </c>
      <c r="F327" s="82"/>
      <c r="G327" s="82" t="s">
        <v>209</v>
      </c>
      <c r="H327" s="82" t="s">
        <v>378</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0.83389015202915995</v>
      </c>
      <c r="AS327" s="508">
        <f>CHOOSE($B$3,ENWL!AS327,NPgN!AS327,NPgY!AS327,WMID!AS327,EMID!AS327,SWALES!AS327,SWEST!AS327,LPN!AS327,SPN!AS327,EPN!AS327,SPD!AS327,SPMW!AS327,SSEH!AS327,SSES!AS327)</f>
        <v>0.80809981800626962</v>
      </c>
      <c r="AT327" s="508">
        <f>CHOOSE($B$3,ENWL!AT327,NPgN!AT327,NPgY!AT327,WMID!AT327,EMID!AT327,SWALES!AT327,SWEST!AT327,LPN!AT327,SPN!AT327,EPN!AT327,SPD!AT327,SPMW!AT327,SSEH!AT327,SSES!AT327)</f>
        <v>0.85067100405279372</v>
      </c>
      <c r="AU327" s="508">
        <f>CHOOSE($B$3,ENWL!AU327,NPgN!AU327,NPgY!AU327,WMID!AU327,EMID!AU327,SWALES!AU327,SWEST!AU327,LPN!AU327,SPN!AU327,EPN!AU327,SPD!AU327,SPMW!AU327,SSEH!AU327,SSES!AU327)</f>
        <v>0.7707364362352459</v>
      </c>
      <c r="AV327" s="508">
        <f>CHOOSE($B$3,ENWL!AV327,NPgN!AV327,NPgY!AV327,WMID!AV327,EMID!AV327,SWALES!AV327,SWEST!AV327,LPN!AV327,SPN!AV327,EPN!AV327,SPD!AV327,SPMW!AV327,SSEH!AV327,SSES!AV327)</f>
        <v>0.78424838255538287</v>
      </c>
      <c r="AW327" s="184"/>
    </row>
    <row r="328" spans="1:49" ht="15">
      <c r="A328" s="82"/>
      <c r="B328" s="82"/>
      <c r="C328" s="82"/>
      <c r="D328" s="82"/>
      <c r="E328" s="82" t="s">
        <v>383</v>
      </c>
      <c r="F328" s="82"/>
      <c r="G328" s="82" t="s">
        <v>209</v>
      </c>
      <c r="H328" s="82" t="s">
        <v>378</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1</v>
      </c>
      <c r="AS328" s="508">
        <f>CHOOSE($B$3,ENWL!AS328,NPgN!AS328,NPgY!AS328,WMID!AS328,EMID!AS328,SWALES!AS328,SWEST!AS328,LPN!AS328,SPN!AS328,EPN!AS328,SPD!AS328,SPMW!AS328,SSEH!AS328,SSES!AS328)</f>
        <v>1</v>
      </c>
      <c r="AT328" s="508">
        <f>CHOOSE($B$3,ENWL!AT328,NPgN!AT328,NPgY!AT328,WMID!AT328,EMID!AT328,SWALES!AT328,SWEST!AT328,LPN!AT328,SPN!AT328,EPN!AT328,SPD!AT328,SPMW!AT328,SSEH!AT328,SSES!AT328)</f>
        <v>1</v>
      </c>
      <c r="AU328" s="508">
        <f>CHOOSE($B$3,ENWL!AU328,NPgN!AU328,NPgY!AU328,WMID!AU328,EMID!AU328,SWALES!AU328,SWEST!AU328,LPN!AU328,SPN!AU328,EPN!AU328,SPD!AU328,SPMW!AU328,SSEH!AU328,SSES!AU328)</f>
        <v>1</v>
      </c>
      <c r="AV328" s="508">
        <f>CHOOSE($B$3,ENWL!AV328,NPgN!AV328,NPgY!AV328,WMID!AV328,EMID!AV328,SWALES!AV328,SWEST!AV328,LPN!AV328,SPN!AV328,EPN!AV328,SPD!AV328,SPMW!AV328,SSEH!AV328,SSES!AV328)</f>
        <v>1</v>
      </c>
      <c r="AW328" s="184"/>
    </row>
    <row r="329" spans="1:49" ht="15">
      <c r="A329" s="82"/>
      <c r="B329" s="82"/>
      <c r="C329" s="82"/>
      <c r="D329" s="82"/>
      <c r="E329" s="82" t="s">
        <v>384</v>
      </c>
      <c r="F329" s="82"/>
      <c r="G329" s="82" t="s">
        <v>209</v>
      </c>
      <c r="H329" s="82" t="s">
        <v>378</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0.48508081331970088</v>
      </c>
      <c r="AS329" s="508">
        <f>CHOOSE($B$3,ENWL!AS329,NPgN!AS329,NPgY!AS329,WMID!AS329,EMID!AS329,SWALES!AS329,SWEST!AS329,LPN!AS329,SPN!AS329,EPN!AS329,SPD!AS329,SPMW!AS329,SSEH!AS329,SSES!AS329)</f>
        <v>0.47753829754240568</v>
      </c>
      <c r="AT329" s="508">
        <f>CHOOSE($B$3,ENWL!AT329,NPgN!AT329,NPgY!AT329,WMID!AT329,EMID!AT329,SWALES!AT329,SWEST!AT329,LPN!AT329,SPN!AT329,EPN!AT329,SPD!AT329,SPMW!AT329,SSEH!AT329,SSES!AT329)</f>
        <v>0.48260031685369392</v>
      </c>
      <c r="AU329" s="508">
        <f>CHOOSE($B$3,ENWL!AU329,NPgN!AU329,NPgY!AU329,WMID!AU329,EMID!AU329,SWALES!AU329,SWEST!AU329,LPN!AU329,SPN!AU329,EPN!AU329,SPD!AU329,SPMW!AU329,SSEH!AU329,SSES!AU329)</f>
        <v>0.48279218852499234</v>
      </c>
      <c r="AV329" s="508">
        <f>CHOOSE($B$3,ENWL!AV329,NPgN!AV329,NPgY!AV329,WMID!AV329,EMID!AV329,SWALES!AV329,SWEST!AV329,LPN!AV329,SPN!AV329,EPN!AV329,SPD!AV329,SPMW!AV329,SSEH!AV329,SSES!AV329)</f>
        <v>0.48254581851976136</v>
      </c>
      <c r="AW329" s="184"/>
    </row>
    <row r="330" spans="1:49" ht="15">
      <c r="A330" s="82"/>
      <c r="B330" s="82"/>
      <c r="C330" s="82"/>
      <c r="D330" s="82"/>
      <c r="E330" s="82" t="s">
        <v>385</v>
      </c>
      <c r="F330" s="82"/>
      <c r="G330" s="82" t="s">
        <v>209</v>
      </c>
      <c r="H330" s="82" t="s">
        <v>386</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v>
      </c>
      <c r="AS330" s="508">
        <f>CHOOSE($B$3,ENWL!AS330,NPgN!AS330,NPgY!AS330,WMID!AS330,EMID!AS330,SWALES!AS330,SWEST!AS330,LPN!AS330,SPN!AS330,EPN!AS330,SPD!AS330,SPMW!AS330,SSEH!AS330,SSES!AS330)</f>
        <v>0</v>
      </c>
      <c r="AT330" s="508">
        <f>CHOOSE($B$3,ENWL!AT330,NPgN!AT330,NPgY!AT330,WMID!AT330,EMID!AT330,SWALES!AT330,SWEST!AT330,LPN!AT330,SPN!AT330,EPN!AT330,SPD!AT330,SPMW!AT330,SSEH!AT330,SSES!AT330)</f>
        <v>0</v>
      </c>
      <c r="AU330" s="508">
        <f>CHOOSE($B$3,ENWL!AU330,NPgN!AU330,NPgY!AU330,WMID!AU330,EMID!AU330,SWALES!AU330,SWEST!AU330,LPN!AU330,SPN!AU330,EPN!AU330,SPD!AU330,SPMW!AU330,SSEH!AU330,SSES!AU330)</f>
        <v>0</v>
      </c>
      <c r="AV330" s="508">
        <f>CHOOSE($B$3,ENWL!AV330,NPgN!AV330,NPgY!AV330,WMID!AV330,EMID!AV330,SWALES!AV330,SWEST!AV330,LPN!AV330,SPN!AV330,EPN!AV330,SPD!AV330,SPMW!AV330,SSEH!AV330,SSES!AV330)</f>
        <v>0</v>
      </c>
      <c r="AW330" s="184"/>
    </row>
    <row r="331" spans="1:49" ht="15">
      <c r="A331" s="82"/>
      <c r="B331" s="82"/>
      <c r="C331" s="82"/>
      <c r="D331" s="82"/>
      <c r="E331" s="82" t="s">
        <v>387</v>
      </c>
      <c r="F331" s="82"/>
      <c r="G331" s="82" t="s">
        <v>209</v>
      </c>
      <c r="H331" s="82" t="s">
        <v>386</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4.7873252769333789E-2</v>
      </c>
      <c r="AS331" s="508">
        <f>CHOOSE($B$3,ENWL!AS331,NPgN!AS331,NPgY!AS331,WMID!AS331,EMID!AS331,SWALES!AS331,SWEST!AS331,LPN!AS331,SPN!AS331,EPN!AS331,SPD!AS331,SPMW!AS331,SSEH!AS331,SSES!AS331)</f>
        <v>2.3364897858299892E-2</v>
      </c>
      <c r="AT331" s="508">
        <f>CHOOSE($B$3,ENWL!AT331,NPgN!AT331,NPgY!AT331,WMID!AT331,EMID!AT331,SWALES!AT331,SWEST!AT331,LPN!AT331,SPN!AT331,EPN!AT331,SPD!AT331,SPMW!AT331,SSEH!AT331,SSES!AT331)</f>
        <v>2.3774569860021657E-2</v>
      </c>
      <c r="AU331" s="508">
        <f>CHOOSE($B$3,ENWL!AU331,NPgN!AU331,NPgY!AU331,WMID!AU331,EMID!AU331,SWALES!AU331,SWEST!AU331,LPN!AU331,SPN!AU331,EPN!AU331,SPD!AU331,SPMW!AU331,SSEH!AU331,SSES!AU331)</f>
        <v>1.9870850863541047E-2</v>
      </c>
      <c r="AV331" s="508">
        <f>CHOOSE($B$3,ENWL!AV331,NPgN!AV331,NPgY!AV331,WMID!AV331,EMID!AV331,SWALES!AV331,SWEST!AV331,LPN!AV331,SPN!AV331,EPN!AV331,SPD!AV331,SPMW!AV331,SSEH!AV331,SSES!AV331)</f>
        <v>2.1949366614045975E-2</v>
      </c>
      <c r="AW331" s="184"/>
    </row>
    <row r="332" spans="1:49" ht="15">
      <c r="A332" s="82"/>
      <c r="B332" s="82"/>
      <c r="C332" s="82"/>
      <c r="D332" s="82"/>
      <c r="E332" s="82" t="s">
        <v>388</v>
      </c>
      <c r="F332" s="82"/>
      <c r="G332" s="82" t="s">
        <v>209</v>
      </c>
      <c r="H332" s="82" t="s">
        <v>386</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0</v>
      </c>
      <c r="AS332" s="508">
        <f>CHOOSE($B$3,ENWL!AS332,NPgN!AS332,NPgY!AS332,WMID!AS332,EMID!AS332,SWALES!AS332,SWEST!AS332,LPN!AS332,SPN!AS332,EPN!AS332,SPD!AS332,SPMW!AS332,SSEH!AS332,SSES!AS332)</f>
        <v>0</v>
      </c>
      <c r="AT332" s="508">
        <f>CHOOSE($B$3,ENWL!AT332,NPgN!AT332,NPgY!AT332,WMID!AT332,EMID!AT332,SWALES!AT332,SWEST!AT332,LPN!AT332,SPN!AT332,EPN!AT332,SPD!AT332,SPMW!AT332,SSEH!AT332,SSES!AT332)</f>
        <v>0</v>
      </c>
      <c r="AU332" s="508">
        <f>CHOOSE($B$3,ENWL!AU332,NPgN!AU332,NPgY!AU332,WMID!AU332,EMID!AU332,SWALES!AU332,SWEST!AU332,LPN!AU332,SPN!AU332,EPN!AU332,SPD!AU332,SPMW!AU332,SSEH!AU332,SSES!AU332)</f>
        <v>0</v>
      </c>
      <c r="AV332" s="508">
        <f>CHOOSE($B$3,ENWL!AV332,NPgN!AV332,NPgY!AV332,WMID!AV332,EMID!AV332,SWALES!AV332,SWEST!AV332,LPN!AV332,SPN!AV332,EPN!AV332,SPD!AV332,SPMW!AV332,SSEH!AV332,SSES!AV332)</f>
        <v>0</v>
      </c>
      <c r="AW332" s="184"/>
    </row>
    <row r="333" spans="1:49" ht="15">
      <c r="A333" s="82"/>
      <c r="B333" s="82"/>
      <c r="C333" s="82"/>
      <c r="D333" s="82"/>
      <c r="E333" s="82" t="s">
        <v>389</v>
      </c>
      <c r="F333" s="82"/>
      <c r="G333" s="82" t="s">
        <v>209</v>
      </c>
      <c r="H333" s="82" t="s">
        <v>386</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0</v>
      </c>
      <c r="AS333" s="508">
        <f>CHOOSE($B$3,ENWL!AS333,NPgN!AS333,NPgY!AS333,WMID!AS333,EMID!AS333,SWALES!AS333,SWEST!AS333,LPN!AS333,SPN!AS333,EPN!AS333,SPD!AS333,SPMW!AS333,SSEH!AS333,SSES!AS333)</f>
        <v>0</v>
      </c>
      <c r="AT333" s="508">
        <f>CHOOSE($B$3,ENWL!AT333,NPgN!AT333,NPgY!AT333,WMID!AT333,EMID!AT333,SWALES!AT333,SWEST!AT333,LPN!AT333,SPN!AT333,EPN!AT333,SPD!AT333,SPMW!AT333,SSEH!AT333,SSES!AT333)</f>
        <v>0</v>
      </c>
      <c r="AU333" s="508">
        <f>CHOOSE($B$3,ENWL!AU333,NPgN!AU333,NPgY!AU333,WMID!AU333,EMID!AU333,SWALES!AU333,SWEST!AU333,LPN!AU333,SPN!AU333,EPN!AU333,SPD!AU333,SPMW!AU333,SSEH!AU333,SSES!AU333)</f>
        <v>0</v>
      </c>
      <c r="AV333" s="508">
        <f>CHOOSE($B$3,ENWL!AV333,NPgN!AV333,NPgY!AV333,WMID!AV333,EMID!AV333,SWALES!AV333,SWEST!AV333,LPN!AV333,SPN!AV333,EPN!AV333,SPD!AV333,SPMW!AV333,SSEH!AV333,SSES!AV333)</f>
        <v>0</v>
      </c>
      <c r="AW333" s="184"/>
    </row>
    <row r="334" spans="1:49" ht="15">
      <c r="A334" s="82"/>
      <c r="B334" s="82"/>
      <c r="C334" s="82"/>
      <c r="D334" s="82"/>
      <c r="E334" s="82" t="s">
        <v>390</v>
      </c>
      <c r="F334" s="82"/>
      <c r="G334" s="82" t="s">
        <v>209</v>
      </c>
      <c r="H334" s="82" t="s">
        <v>386</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5">
      <c r="A335" s="82"/>
      <c r="B335" s="82"/>
      <c r="C335" s="82"/>
      <c r="D335" s="82"/>
      <c r="E335" s="82" t="s">
        <v>391</v>
      </c>
      <c r="F335" s="82"/>
      <c r="G335" s="82" t="s">
        <v>209</v>
      </c>
      <c r="H335" s="82" t="s">
        <v>386</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5">
      <c r="A336" s="82"/>
      <c r="B336" s="82"/>
      <c r="C336" s="82"/>
      <c r="D336" s="82"/>
      <c r="E336" s="82" t="s">
        <v>392</v>
      </c>
      <c r="F336" s="82"/>
      <c r="G336" s="82" t="s">
        <v>209</v>
      </c>
      <c r="H336" s="82" t="s">
        <v>386</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7.9846395102888407E-3</v>
      </c>
      <c r="AS336" s="508">
        <f>CHOOSE($B$3,ENWL!AS336,NPgN!AS336,NPgY!AS336,WMID!AS336,EMID!AS336,SWALES!AS336,SWEST!AS336,LPN!AS336,SPN!AS336,EPN!AS336,SPD!AS336,SPMW!AS336,SSEH!AS336,SSES!AS336)</f>
        <v>5.6241342504406979E-3</v>
      </c>
      <c r="AT336" s="508">
        <f>CHOOSE($B$3,ENWL!AT336,NPgN!AT336,NPgY!AT336,WMID!AT336,EMID!AT336,SWALES!AT336,SWEST!AT336,LPN!AT336,SPN!AT336,EPN!AT336,SPD!AT336,SPMW!AT336,SSEH!AT336,SSES!AT336)</f>
        <v>5.0135378386505485E-3</v>
      </c>
      <c r="AU336" s="508">
        <f>CHOOSE($B$3,ENWL!AU336,NPgN!AU336,NPgY!AU336,WMID!AU336,EMID!AU336,SWALES!AU336,SWEST!AU336,LPN!AU336,SPN!AU336,EPN!AU336,SPD!AU336,SPMW!AU336,SSEH!AU336,SSES!AU336)</f>
        <v>4.7695790208494137E-3</v>
      </c>
      <c r="AV336" s="508">
        <f>CHOOSE($B$3,ENWL!AV336,NPgN!AV336,NPgY!AV336,WMID!AV336,EMID!AV336,SWALES!AV336,SWEST!AV336,LPN!AV336,SPN!AV336,EPN!AV336,SPD!AV336,SPMW!AV336,SSEH!AV336,SSES!AV336)</f>
        <v>5.1623476536005169E-3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393</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394</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395</v>
      </c>
      <c r="F341" s="82"/>
      <c r="G341" s="82" t="s">
        <v>396</v>
      </c>
      <c r="H341" s="82" t="s">
        <v>397</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f>CHOOSE($B$3,ENWL!AR341,NPgN!AR341,NPgY!AR341,WMID!AR341,EMID!AR341,SWALES!AR341,SWEST!AR341,LPN!AR341,SPN!AR341,EPN!AR341,SPD!AR341,SPMW!AR341,SSEH!AR341,SSES!AR341)</f>
        <v>5.9871572339243331</v>
      </c>
      <c r="AS341" s="184"/>
      <c r="AT341" s="184"/>
      <c r="AU341" s="184"/>
      <c r="AV341" s="184"/>
      <c r="AW341" s="184"/>
    </row>
    <row r="342" spans="1:49" ht="15">
      <c r="A342" s="82"/>
      <c r="B342" s="82"/>
      <c r="C342" s="82"/>
      <c r="D342" s="82"/>
      <c r="E342" s="346" t="s">
        <v>398</v>
      </c>
      <c r="F342" s="82"/>
      <c r="G342" s="82" t="s">
        <v>396</v>
      </c>
      <c r="H342" s="82" t="s">
        <v>399</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f>CHOOSE($B$3,ENWL!AJ342,NPgN!AJ342,NPgY!AJ342,WMID!AJ342,EMID!AJ342,SWALES!AJ342,SWEST!AJ342,LPN!AJ342,SPN!AJ342,EPN!AJ342,SPD!AJ342,SPMW!AJ342,SSEH!AJ342,SSES!AJ342)</f>
        <v>126.59248304640872</v>
      </c>
      <c r="AK342" s="476">
        <f>CHOOSE($B$3,ENWL!AK342,NPgN!AK342,NPgY!AK342,WMID!AK342,EMID!AK342,SWALES!AK342,SWEST!AK342,LPN!AK342,SPN!AK342,EPN!AK342,SPD!AK342,SPMW!AK342,SSEH!AK342,SSES!AK342)</f>
        <v>124.1395756931077</v>
      </c>
      <c r="AL342" s="476">
        <f>CHOOSE($B$3,ENWL!AL342,NPgN!AL342,NPgY!AL342,WMID!AL342,EMID!AL342,SWALES!AL342,SWEST!AL342,LPN!AL342,SPN!AL342,EPN!AL342,SPD!AL342,SPMW!AL342,SSEH!AL342,SSES!AL342)</f>
        <v>114.3234515156321</v>
      </c>
      <c r="AM342" s="476">
        <f>CHOOSE($B$3,ENWL!AM342,NPgN!AM342,NPgY!AM342,WMID!AM342,EMID!AM342,SWALES!AM342,SWEST!AM342,LPN!AM342,SPN!AM342,EPN!AM342,SPD!AM342,SPMW!AM342,SSEH!AM342,SSES!AM342)</f>
        <v>114.68899806594845</v>
      </c>
      <c r="AN342" s="476">
        <f>CHOOSE($B$3,ENWL!AN342,NPgN!AN342,NPgY!AN342,WMID!AN342,EMID!AN342,SWALES!AN342,SWEST!AN342,LPN!AN342,SPN!AN342,EPN!AN342,SPD!AN342,SPMW!AN342,SSEH!AN342,SSES!AN342)</f>
        <v>120.26330488923485</v>
      </c>
      <c r="AO342" s="476">
        <f>CHOOSE($B$3,ENWL!AO342,NPgN!AO342,NPgY!AO342,WMID!AO342,EMID!AO342,SWALES!AO342,SWEST!AO342,LPN!AO342,SPN!AO342,EPN!AO342,SPD!AO342,SPMW!AO342,SSEH!AO342,SSES!AO342)</f>
        <v>114.48238863471336</v>
      </c>
      <c r="AP342" s="476">
        <f>CHOOSE($B$3,ENWL!AP342,NPgN!AP342,NPgY!AP342,WMID!AP342,EMID!AP342,SWALES!AP342,SWEST!AP342,LPN!AP342,SPN!AP342,EPN!AP342,SPD!AP342,SPMW!AP342,SSEH!AP342,SSES!AP342)</f>
        <v>105.98149351769597</v>
      </c>
      <c r="AQ342" s="477">
        <f>CHOOSE($B$3,ENWL!AQ342,NPgN!AQ342,NPgY!AQ342,WMID!AQ342,EMID!AQ342,SWALES!AQ342,SWEST!AQ342,LPN!AQ342,SPN!AQ342,EPN!AQ342,SPD!AQ342,SPMW!AQ342,SSEH!AQ342,SSES!AQ342)</f>
        <v>95.922702533767264</v>
      </c>
      <c r="AR342" s="184"/>
      <c r="AS342" s="184"/>
      <c r="AT342" s="184"/>
      <c r="AU342" s="184"/>
      <c r="AV342" s="184"/>
      <c r="AW342" s="184"/>
    </row>
    <row r="343" spans="1:49" ht="15">
      <c r="A343" s="82"/>
      <c r="B343" s="82"/>
      <c r="C343" s="82"/>
      <c r="D343" s="82"/>
      <c r="E343" s="293" t="s">
        <v>400</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401</v>
      </c>
      <c r="F344" s="82"/>
      <c r="G344" s="82" t="s">
        <v>302</v>
      </c>
      <c r="H344" s="82" t="s">
        <v>402</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f>CHOOSE($B$3,ENWL!AR344,NPgN!AR344,NPgY!AR344,WMID!AR344,EMID!AR344,SWALES!AR344,SWEST!AR344,LPN!AR344,SPN!AR344,EPN!AR344,SPD!AR344,SPMW!AR344,SSEH!AR344,SSES!AR344)</f>
        <v>46.080796007047375</v>
      </c>
      <c r="AS344" s="184"/>
      <c r="AT344" s="184"/>
      <c r="AU344" s="184"/>
      <c r="AV344" s="184"/>
      <c r="AW344" s="184"/>
    </row>
    <row r="345" spans="1:49" ht="15">
      <c r="A345" s="82"/>
      <c r="B345" s="82"/>
      <c r="C345" s="82"/>
      <c r="D345" s="82"/>
      <c r="E345" s="346" t="s">
        <v>403</v>
      </c>
      <c r="F345" s="82"/>
      <c r="G345" s="82" t="s">
        <v>302</v>
      </c>
      <c r="H345" s="82" t="s">
        <v>404</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266.29227843296019</v>
      </c>
      <c r="AS345" s="184"/>
      <c r="AT345" s="184"/>
      <c r="AU345" s="184"/>
      <c r="AV345" s="184"/>
      <c r="AW345" s="184"/>
    </row>
    <row r="346" spans="1:49" ht="15">
      <c r="A346" s="82"/>
      <c r="B346" s="82"/>
      <c r="C346" s="82"/>
      <c r="D346" s="82"/>
      <c r="E346" s="346" t="s">
        <v>405</v>
      </c>
      <c r="F346" s="82"/>
      <c r="G346" s="82" t="s">
        <v>302</v>
      </c>
      <c r="H346" s="82" t="s">
        <v>406</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1369.3486602701878</v>
      </c>
      <c r="AS346" s="184"/>
      <c r="AT346" s="184"/>
      <c r="AU346" s="184"/>
      <c r="AV346" s="184"/>
      <c r="AW346" s="184"/>
    </row>
    <row r="347" spans="1:49" ht="15">
      <c r="A347" s="82"/>
      <c r="B347" s="82"/>
      <c r="C347" s="82"/>
      <c r="D347" s="82"/>
      <c r="E347" s="346" t="s">
        <v>407</v>
      </c>
      <c r="F347" s="82"/>
      <c r="G347" s="82" t="s">
        <v>302</v>
      </c>
      <c r="H347" s="82" t="s">
        <v>408</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f>CHOOSE($B$3,ENWL!AQ347,NPgN!AQ347,NPgY!AQ347,WMID!AQ347,EMID!AQ347,SWALES!AQ347,SWEST!AQ347,LPN!AQ347,SPN!AQ347,EPN!AQ347,SPD!AQ347,SPMW!AQ347,SSEH!AQ347,SSES!AQ347)</f>
        <v>1697.8640410247963</v>
      </c>
      <c r="AR347" s="455"/>
      <c r="AS347" s="184"/>
      <c r="AT347" s="184"/>
      <c r="AU347" s="184"/>
      <c r="AV347" s="184"/>
      <c r="AW347" s="184"/>
    </row>
    <row r="348" spans="1:49" ht="15">
      <c r="A348" s="82"/>
      <c r="B348" s="82"/>
      <c r="C348" s="82"/>
      <c r="D348" s="82"/>
      <c r="E348" s="346" t="s">
        <v>409</v>
      </c>
      <c r="F348" s="82"/>
      <c r="G348" s="82" t="s">
        <v>302</v>
      </c>
      <c r="H348" s="82" t="s">
        <v>410</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f>CHOOSE($B$3,ENWL!AR348,NPgN!AR348,NPgY!AR348,WMID!AR348,EMID!AR348,SWALES!AR348,SWEST!AR348,LPN!AR348,SPN!AR348,EPN!AR348,SPD!AR348,SPMW!AR348,SSEH!AR348,SSES!AR348)</f>
        <v>0</v>
      </c>
      <c r="AS348" s="184"/>
      <c r="AT348" s="184"/>
      <c r="AU348" s="184"/>
      <c r="AV348" s="184"/>
      <c r="AW348" s="184"/>
    </row>
    <row r="349" spans="1:49" ht="15">
      <c r="A349" s="82"/>
      <c r="B349" s="82"/>
      <c r="C349" s="82"/>
      <c r="D349" s="82"/>
      <c r="E349" s="293" t="s">
        <v>411</v>
      </c>
      <c r="F349" s="82"/>
      <c r="G349" s="82" t="s">
        <v>302</v>
      </c>
      <c r="H349" s="82" t="s">
        <v>412</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5">
      <c r="A350" s="82"/>
      <c r="B350" s="82"/>
      <c r="C350" s="82"/>
      <c r="D350" s="82"/>
      <c r="E350" s="293" t="s">
        <v>413</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414</v>
      </c>
      <c r="F351" s="82"/>
      <c r="G351" s="82" t="s">
        <v>396</v>
      </c>
      <c r="H351" s="82" t="s">
        <v>415</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f>CHOOSE($B$3,ENWL!AP351,NPgN!AP351,NPgY!AP351,WMID!AP351,EMID!AP351,SWALES!AP351,SWEST!AP351,LPN!AP351,SPN!AP351,EPN!AP351,SPD!AP351,SPMW!AP351,SSEH!AP351,SSES!AP351)</f>
        <v>251.83793916644086</v>
      </c>
      <c r="AQ351" s="477">
        <f>CHOOSE($B$3,ENWL!AQ351,NPgN!AQ351,NPgY!AQ351,WMID!AQ351,EMID!AQ351,SWALES!AQ351,SWEST!AQ351,LPN!AQ351,SPN!AQ351,EPN!AQ351,SPD!AQ351,SPMW!AQ351,SSEH!AQ351,SSES!AQ351)</f>
        <v>244.31089676042151</v>
      </c>
      <c r="AR351" s="364"/>
      <c r="AS351" s="184"/>
      <c r="AT351" s="184"/>
      <c r="AU351" s="184"/>
      <c r="AV351" s="184"/>
      <c r="AW351" s="184"/>
    </row>
    <row r="352" spans="1:49" ht="15">
      <c r="A352" s="82"/>
      <c r="B352" s="82"/>
      <c r="C352" s="82"/>
      <c r="D352" s="82"/>
      <c r="E352" s="363" t="s">
        <v>416</v>
      </c>
      <c r="F352" s="82"/>
      <c r="G352" s="82" t="s">
        <v>417</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f>CHOOSE($B$3,ENWL!AJ352,NPgN!AJ352,NPgY!AJ352,WMID!AJ352,EMID!AJ352,SWALES!AJ352,SWEST!AJ352,LPN!AJ352,SPN!AJ352,EPN!AJ352,SPD!AJ352,SPMW!AJ352,SSEH!AJ352,SSES!AJ352)</f>
        <v>0</v>
      </c>
      <c r="AK352" s="476">
        <f>CHOOSE($B$3,ENWL!AK352,NPgN!AK352,NPgY!AK352,WMID!AK352,EMID!AK352,SWALES!AK352,SWEST!AK352,LPN!AK352,SPN!AK352,EPN!AK352,SPD!AK352,SPMW!AK352,SSEH!AK352,SSES!AK352)</f>
        <v>0</v>
      </c>
      <c r="AL352" s="476">
        <f>CHOOSE($B$3,ENWL!AL352,NPgN!AL352,NPgY!AL352,WMID!AL352,EMID!AL352,SWALES!AL352,SWEST!AL352,LPN!AL352,SPN!AL352,EPN!AL352,SPD!AL352,SPMW!AL352,SSEH!AL352,SSES!AL352)</f>
        <v>0</v>
      </c>
      <c r="AM352" s="476">
        <f>CHOOSE($B$3,ENWL!AM352,NPgN!AM352,NPgY!AM352,WMID!AM352,EMID!AM352,SWALES!AM352,SWEST!AM352,LPN!AM352,SPN!AM352,EPN!AM352,SPD!AM352,SPMW!AM352,SSEH!AM352,SSES!AM352)</f>
        <v>0</v>
      </c>
      <c r="AN352" s="476">
        <f>CHOOSE($B$3,ENWL!AN352,NPgN!AN352,NPgY!AN352,WMID!AN352,EMID!AN352,SWALES!AN352,SWEST!AN352,LPN!AN352,SPN!AN352,EPN!AN352,SPD!AN352,SPMW!AN352,SSEH!AN352,SSES!AN352)</f>
        <v>0</v>
      </c>
      <c r="AO352" s="476">
        <f>CHOOSE($B$3,ENWL!AO352,NPgN!AO352,NPgY!AO352,WMID!AO352,EMID!AO352,SWALES!AO352,SWEST!AO352,LPN!AO352,SPN!AO352,EPN!AO352,SPD!AO352,SPMW!AO352,SSEH!AO352,SSES!AO352)</f>
        <v>0</v>
      </c>
      <c r="AP352" s="476">
        <f>CHOOSE($B$3,ENWL!AP352,NPgN!AP352,NPgY!AP352,WMID!AP352,EMID!AP352,SWALES!AP352,SWEST!AP352,LPN!AP352,SPN!AP352,EPN!AP352,SPD!AP352,SPMW!AP352,SSEH!AP352,SSES!AP352)</f>
        <v>1.238</v>
      </c>
      <c r="AQ352" s="477">
        <f>CHOOSE($B$3,ENWL!AQ352,NPgN!AQ352,NPgY!AQ352,WMID!AQ352,EMID!AQ352,SWALES!AQ352,SWEST!AQ352,LPN!AQ352,SPN!AQ352,EPN!AQ352,SPD!AQ352,SPMW!AQ352,SSEH!AQ352,SSES!AQ352)</f>
        <v>1.321</v>
      </c>
      <c r="AR352" s="364"/>
      <c r="AS352" s="184"/>
      <c r="AT352" s="184"/>
      <c r="AU352" s="184"/>
      <c r="AV352" s="184"/>
      <c r="AW352" s="184"/>
    </row>
    <row r="353" spans="1:49" ht="15">
      <c r="A353" s="82"/>
      <c r="B353" s="82"/>
      <c r="C353" s="82"/>
      <c r="D353" s="82"/>
      <c r="E353" s="346" t="s">
        <v>419</v>
      </c>
      <c r="F353" s="82"/>
      <c r="G353" s="82" t="s">
        <v>302</v>
      </c>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420</v>
      </c>
      <c r="F354" s="82"/>
      <c r="G354" s="82" t="s">
        <v>302</v>
      </c>
      <c r="H354" s="82" t="s">
        <v>421</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f>CHOOSE($B$3,ENWL!AJ354,NPgN!AJ354,NPgY!AJ354,WMID!AJ354,EMID!AJ354,SWALES!AJ354,SWEST!AJ354,LPN!AJ354,SPN!AJ354,EPN!AJ354,SPD!AJ354,SPMW!AJ354,SSEH!AJ354,SSES!AJ354)</f>
        <v>279.46422679</v>
      </c>
      <c r="AK354" s="476">
        <f>CHOOSE($B$3,ENWL!AK354,NPgN!AK354,NPgY!AK354,WMID!AK354,EMID!AK354,SWALES!AK354,SWEST!AK354,LPN!AK354,SPN!AK354,EPN!AK354,SPD!AK354,SPMW!AK354,SSEH!AK354,SSES!AK354)</f>
        <v>290.64971804000004</v>
      </c>
      <c r="AL354" s="476">
        <f>CHOOSE($B$3,ENWL!AL354,NPgN!AL354,NPgY!AL354,WMID!AL354,EMID!AL354,SWALES!AL354,SWEST!AL354,LPN!AL354,SPN!AL354,EPN!AL354,SPD!AL354,SPMW!AL354,SSEH!AL354,SSES!AL354)</f>
        <v>279.87524431000003</v>
      </c>
      <c r="AM354" s="476">
        <f>CHOOSE($B$3,ENWL!AM354,NPgN!AM354,NPgY!AM354,WMID!AM354,EMID!AM354,SWALES!AM354,SWEST!AM354,LPN!AM354,SPN!AM354,EPN!AM354,SPD!AM354,SPMW!AM354,SSEH!AM354,SSES!AM354)</f>
        <v>280.96392697399995</v>
      </c>
      <c r="AN354" s="476">
        <f>CHOOSE($B$3,ENWL!AN354,NPgN!AN354,NPgY!AN354,WMID!AN354,EMID!AN354,SWALES!AN354,SWEST!AN354,LPN!AN354,SPN!AN354,EPN!AN354,SPD!AN354,SPMW!AN354,SSEH!AN354,SSES!AN354)</f>
        <v>295.61218076</v>
      </c>
      <c r="AO354" s="476">
        <f>CHOOSE($B$3,ENWL!AO354,NPgN!AO354,NPgY!AO354,WMID!AO354,EMID!AO354,SWALES!AO354,SWEST!AO354,LPN!AO354,SPN!AO354,EPN!AO354,SPD!AO354,SPMW!AO354,SSEH!AO354,SSES!AO354)</f>
        <v>302.06496326000001</v>
      </c>
      <c r="AP354" s="476">
        <f>CHOOSE($B$3,ENWL!AP354,NPgN!AP354,NPgY!AP354,WMID!AP354,EMID!AP354,SWALES!AP354,SWEST!AP354,LPN!AP354,SPN!AP354,EPN!AP354,SPD!AP354,SPMW!AP354,SSEH!AP354,SSES!AP354)</f>
        <v>328.22779650999991</v>
      </c>
      <c r="AQ354" s="477">
        <f>CHOOSE($B$3,ENWL!AQ354,NPgN!AQ354,NPgY!AQ354,WMID!AQ354,EMID!AQ354,SWALES!AQ354,SWEST!AQ354,LPN!AQ354,SPN!AQ354,EPN!AQ354,SPD!AQ354,SPMW!AQ354,SSEH!AQ354,SSES!AQ354)</f>
        <v>387.98965212000002</v>
      </c>
      <c r="AR354" s="184"/>
      <c r="AS354" s="184"/>
      <c r="AT354" s="184"/>
      <c r="AU354" s="184"/>
      <c r="AV354" s="184"/>
      <c r="AW354" s="184"/>
    </row>
    <row r="355" spans="1:49" ht="15">
      <c r="A355" s="82"/>
      <c r="B355" s="82"/>
      <c r="C355" s="82"/>
      <c r="D355" s="82"/>
      <c r="E355" s="363" t="s">
        <v>422</v>
      </c>
      <c r="F355" s="82"/>
      <c r="G355" s="82" t="s">
        <v>302</v>
      </c>
      <c r="H355" s="82" t="s">
        <v>69</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280.86902679440749</v>
      </c>
      <c r="AK355" s="476">
        <f>CHOOSE($B$3,ENWL!AK355,NPgN!AK355,NPgY!AK355,WMID!AK355,EMID!AK355,SWALES!AK355,SWEST!AK355,LPN!AK355,SPN!AK355,EPN!AK355,SPD!AK355,SPMW!AK355,SSEH!AK355,SSES!AK355)</f>
        <v>288.84380742766234</v>
      </c>
      <c r="AL355" s="476">
        <f>CHOOSE($B$3,ENWL!AL355,NPgN!AL355,NPgY!AL355,WMID!AL355,EMID!AL355,SWALES!AL355,SWEST!AL355,LPN!AL355,SPN!AL355,EPN!AL355,SPD!AL355,SPMW!AL355,SSEH!AL355,SSES!AL355)</f>
        <v>282.26484040299204</v>
      </c>
      <c r="AM355" s="476">
        <f>CHOOSE($B$3,ENWL!AM355,NPgN!AM355,NPgY!AM355,WMID!AM355,EMID!AM355,SWALES!AM355,SWEST!AM355,LPN!AM355,SPN!AM355,EPN!AM355,SPD!AM355,SPMW!AM355,SSEH!AM355,SSES!AM355)</f>
        <v>295.47971438118259</v>
      </c>
      <c r="AN355" s="476">
        <f>CHOOSE($B$3,ENWL!AN355,NPgN!AN355,NPgY!AN355,WMID!AN355,EMID!AN355,SWALES!AN355,SWEST!AN355,LPN!AN355,SPN!AN355,EPN!AN355,SPD!AN355,SPMW!AN355,SSEH!AN355,SSES!AN355)</f>
        <v>306.49167069017739</v>
      </c>
      <c r="AO355" s="476">
        <f>CHOOSE($B$3,ENWL!AO355,NPgN!AO355,NPgY!AO355,WMID!AO355,EMID!AO355,SWALES!AO355,SWEST!AO355,LPN!AO355,SPN!AO355,EPN!AO355,SPD!AO355,SPMW!AO355,SSEH!AO355,SSES!AO355)</f>
        <v>321.94451616631017</v>
      </c>
      <c r="AP355" s="476">
        <f>CHOOSE($B$3,ENWL!AP355,NPgN!AP355,NPgY!AP355,WMID!AP355,EMID!AP355,SWALES!AP355,SWEST!AP355,LPN!AP355,SPN!AP355,EPN!AP355,SPD!AP355,SPMW!AP355,SSEH!AP355,SSES!AP355)</f>
        <v>326.86098308043393</v>
      </c>
      <c r="AQ355" s="477">
        <f>CHOOSE($B$3,ENWL!AQ355,NPgN!AQ355,NPgY!AQ355,WMID!AQ355,EMID!AQ355,SWALES!AQ355,SWEST!AQ355,LPN!AQ355,SPN!AQ355,EPN!AQ355,SPD!AQ355,SPMW!AQ355,SSEH!AQ355,SSES!AQ355)</f>
        <v>400.6964231536399</v>
      </c>
      <c r="AR355" s="184"/>
      <c r="AS355" s="184"/>
      <c r="AT355" s="184"/>
      <c r="AU355" s="184"/>
      <c r="AV355" s="184"/>
      <c r="AW355" s="184"/>
    </row>
    <row r="356" spans="1:49" ht="16.5">
      <c r="A356" s="82"/>
      <c r="B356" s="82"/>
      <c r="C356" s="82"/>
      <c r="D356" s="82"/>
      <c r="E356" s="363" t="s">
        <v>423</v>
      </c>
      <c r="F356" s="82"/>
      <c r="G356" s="82" t="s">
        <v>100</v>
      </c>
      <c r="H356" s="82" t="s">
        <v>424</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0.5</v>
      </c>
      <c r="AK356" s="476">
        <f>CHOOSE($B$3,ENWL!AK356,NPgN!AK356,NPgY!AK356,WMID!AK356,EMID!AK356,SWALES!AK356,SWEST!AK356,LPN!AK356,SPN!AK356,EPN!AK356,SPD!AK356,SPMW!AK356,SSEH!AK356,SSES!AK356)</f>
        <v>0.33561643835616445</v>
      </c>
      <c r="AL356" s="476">
        <f>CHOOSE($B$3,ENWL!AL356,NPgN!AL356,NPgY!AL356,WMID!AL356,EMID!AL356,SWALES!AL356,SWEST!AL356,LPN!AL356,SPN!AL356,EPN!AL356,SPD!AL356,SPMW!AL356,SSEH!AL356,SSES!AL356)</f>
        <v>0.35273972602739728</v>
      </c>
      <c r="AM356" s="476">
        <f>CHOOSE($B$3,ENWL!AM356,NPgN!AM356,NPgY!AM356,WMID!AM356,EMID!AM356,SWALES!AM356,SWEST!AM356,LPN!AM356,SPN!AM356,EPN!AM356,SPD!AM356,SPMW!AM356,SSEH!AM356,SSES!AM356)</f>
        <v>0.66575342465753418</v>
      </c>
      <c r="AN356" s="476">
        <f>CHOOSE($B$3,ENWL!AN356,NPgN!AN356,NPgY!AN356,WMID!AN356,EMID!AN356,SWALES!AN356,SWEST!AN356,LPN!AN356,SPN!AN356,EPN!AN356,SPD!AN356,SPMW!AN356,SSEH!AN356,SSES!AN356)</f>
        <v>0.71598360655737692</v>
      </c>
      <c r="AO356" s="476">
        <f>CHOOSE($B$3,ENWL!AO356,NPgN!AO356,NPgY!AO356,WMID!AO356,EMID!AO356,SWALES!AO356,SWEST!AO356,LPN!AO356,SPN!AO356,EPN!AO356,SPD!AO356,SPMW!AO356,SSEH!AO356,SSES!AO356)</f>
        <v>0.1</v>
      </c>
      <c r="AP356" s="476">
        <f>CHOOSE($B$3,ENWL!AP356,NPgN!AP356,NPgY!AP356,WMID!AP356,EMID!AP356,SWALES!AP356,SWEST!AP356,LPN!AP356,SPN!AP356,EPN!AP356,SPD!AP356,SPMW!AP356,SSEH!AP356,SSES!AP356)</f>
        <v>0.19287671232876738</v>
      </c>
      <c r="AQ356" s="477">
        <f>CHOOSE($B$3,ENWL!AQ356,NPgN!AQ356,NPgY!AQ356,WMID!AQ356,EMID!AQ356,SWALES!AQ356,SWEST!AQ356,LPN!AQ356,SPN!AQ356,EPN!AQ356,SPD!AQ356,SPMW!AQ356,SSEH!AQ356,SSES!AQ356)</f>
        <v>2.3034246575342467</v>
      </c>
      <c r="AR356" s="419">
        <f>CHOOSE($B$3,ENWL!AR356,NPgN!AR356,NPgY!AR356,WMID!AR356,EMID!AR356,SWALES!AR356,SWEST!AR356,LPN!AR356,SPN!AR356,EPN!AR356,SPD!AR356,SPMW!AR356,SSEH!AR356,SSES!AR356)</f>
        <v>0</v>
      </c>
      <c r="AS356" s="184"/>
      <c r="AT356" s="184"/>
      <c r="AU356" s="184"/>
      <c r="AV356" s="184"/>
      <c r="AW356" s="184"/>
    </row>
    <row r="357" spans="1:49" ht="15">
      <c r="A357" s="82"/>
      <c r="B357" s="82"/>
      <c r="C357" s="82"/>
      <c r="D357" s="82"/>
      <c r="E357" s="363" t="s">
        <v>425</v>
      </c>
      <c r="F357" s="82"/>
      <c r="G357" s="82" t="s">
        <v>100</v>
      </c>
      <c r="H357" s="82" t="s">
        <v>426</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v>
      </c>
      <c r="AK357" s="476">
        <f>CHOOSE($B$3,ENWL!AK357,NPgN!AK357,NPgY!AK357,WMID!AK357,EMID!AK357,SWALES!AK357,SWEST!AK357,LPN!AK357,SPN!AK357,EPN!AK357,SPD!AK357,SPMW!AK357,SSEH!AK357,SSES!AK357)</f>
        <v>0</v>
      </c>
      <c r="AL357" s="476">
        <f>CHOOSE($B$3,ENWL!AL357,NPgN!AL357,NPgY!AL357,WMID!AL357,EMID!AL357,SWALES!AL357,SWEST!AL357,LPN!AL357,SPN!AL357,EPN!AL357,SPD!AL357,SPMW!AL357,SSEH!AL357,SSES!AL357)</f>
        <v>0</v>
      </c>
      <c r="AM357" s="476">
        <f>CHOOSE($B$3,ENWL!AM357,NPgN!AM357,NPgY!AM357,WMID!AM357,EMID!AM357,SWALES!AM357,SWEST!AM357,LPN!AM357,SPN!AM357,EPN!AM357,SPD!AM357,SPMW!AM357,SSEH!AM357,SSES!AM357)</f>
        <v>0</v>
      </c>
      <c r="AN357" s="476">
        <f>CHOOSE($B$3,ENWL!AN357,NPgN!AN357,NPgY!AN357,WMID!AN357,EMID!AN357,SWALES!AN357,SWEST!AN357,LPN!AN357,SPN!AN357,EPN!AN357,SPD!AN357,SPMW!AN357,SSEH!AN357,SSES!AN357)</f>
        <v>0</v>
      </c>
      <c r="AO357" s="476">
        <f>CHOOSE($B$3,ENWL!AO357,NPgN!AO357,NPgY!AO357,WMID!AO357,EMID!AO357,SWALES!AO357,SWEST!AO357,LPN!AO357,SPN!AO357,EPN!AO357,SPD!AO357,SPMW!AO357,SSEH!AO357,SSES!AO357)</f>
        <v>0</v>
      </c>
      <c r="AP357" s="476">
        <f>CHOOSE($B$3,ENWL!AP357,NPgN!AP357,NPgY!AP357,WMID!AP357,EMID!AP357,SWALES!AP357,SWEST!AP357,LPN!AP357,SPN!AP357,EPN!AP357,SPD!AP357,SPMW!AP357,SSEH!AP357,SSES!AP357)</f>
        <v>0</v>
      </c>
      <c r="AQ357" s="477">
        <f>CHOOSE($B$3,ENWL!AQ357,NPgN!AQ357,NPgY!AQ357,WMID!AQ357,EMID!AQ357,SWALES!AQ357,SWEST!AQ357,LPN!AQ357,SPN!AQ357,EPN!AQ357,SPD!AQ357,SPMW!AQ357,SSEH!AQ357,SSES!AQ357)</f>
        <v>0</v>
      </c>
      <c r="AR357" s="184"/>
      <c r="AS357" s="184"/>
      <c r="AT357" s="184"/>
      <c r="AU357" s="184"/>
      <c r="AV357" s="184"/>
      <c r="AW357" s="184"/>
    </row>
    <row r="358" spans="1:49" ht="15">
      <c r="A358" s="82"/>
      <c r="B358" s="82"/>
      <c r="C358" s="82"/>
      <c r="D358" s="82"/>
      <c r="E358" s="346" t="s">
        <v>427</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428</v>
      </c>
      <c r="F359" s="82"/>
      <c r="G359" s="82" t="s">
        <v>302</v>
      </c>
      <c r="H359" s="510" t="s">
        <v>429</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f>CHOOSE($B$3,ENWL!AR359,NPgN!AR359,NPgY!AR359,WMID!AR359,EMID!AR359,SWALES!AR359,SWEST!AR359,LPN!AR359,SPN!AR359,EPN!AR359,SPD!AR359,SPMW!AR359,SSEH!AR359,SSES!AR359)</f>
        <v>1.6053850000000001E-2</v>
      </c>
      <c r="AS359" s="419">
        <f>CHOOSE($B$3,ENWL!AS359,NPgN!AS359,NPgY!AS359,WMID!AS359,EMID!AS359,SWALES!AS359,SWEST!AS359,LPN!AS359,SPN!AS359,EPN!AS359,SPD!AS359,SPMW!AS359,SSEH!AS359,SSES!AS359)</f>
        <v>0</v>
      </c>
      <c r="AT359" s="419">
        <f>CHOOSE($B$3,ENWL!AT359,NPgN!AT359,NPgY!AT359,WMID!AT359,EMID!AT359,SWALES!AT359,SWEST!AT359,LPN!AT359,SPN!AT359,EPN!AT359,SPD!AT359,SPMW!AT359,SSEH!AT359,SSES!AT359)</f>
        <v>0</v>
      </c>
      <c r="AU359" s="419">
        <f>CHOOSE($B$3,ENWL!AU359,NPgN!AU359,NPgY!AU359,WMID!AU359,EMID!AU359,SWALES!AU359,SWEST!AU359,LPN!AU359,SPN!AU359,EPN!AU359,SPD!AU359,SPMW!AU359,SSEH!AU359,SSES!AU359)</f>
        <v>0</v>
      </c>
      <c r="AV359" s="419">
        <f>CHOOSE($B$3,ENWL!AV359,NPgN!AV359,NPgY!AV359,WMID!AV359,EMID!AV359,SWALES!AV359,SWEST!AV359,LPN!AV359,SPN!AV359,EPN!AV359,SPD!AV359,SPMW!AV359,SSEH!AV359,SSES!AV359)</f>
        <v>0</v>
      </c>
      <c r="AW359" s="184"/>
    </row>
    <row r="360" spans="1:49" ht="15">
      <c r="A360" s="82"/>
      <c r="B360" s="82"/>
      <c r="C360" s="82"/>
      <c r="D360" s="82"/>
      <c r="E360" s="363" t="s">
        <v>430</v>
      </c>
      <c r="F360" s="82"/>
      <c r="G360" s="82" t="s">
        <v>302</v>
      </c>
      <c r="H360" s="510" t="s">
        <v>431</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5">
      <c r="A361" s="82"/>
      <c r="B361" s="82"/>
      <c r="C361" s="82"/>
      <c r="D361" s="82"/>
      <c r="E361" s="346" t="s">
        <v>432</v>
      </c>
      <c r="F361" s="82"/>
      <c r="G361" s="82" t="s">
        <v>302</v>
      </c>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433</v>
      </c>
      <c r="F362" s="82"/>
      <c r="G362" s="82" t="s">
        <v>302</v>
      </c>
      <c r="H362" s="82" t="s">
        <v>434</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f>CHOOSE($B$3,ENWL!AJ362,NPgN!AJ362,NPgY!AJ362,WMID!AJ362,EMID!AJ362,SWALES!AJ362,SWEST!AJ362,LPN!AJ362,SPN!AJ362,EPN!AJ362,SPD!AJ362,SPMW!AJ362,SSEH!AJ362,SSES!AJ362)</f>
        <v>2.64E-3</v>
      </c>
      <c r="AK362" s="476">
        <f>CHOOSE($B$3,ENWL!AK362,NPgN!AK362,NPgY!AK362,WMID!AK362,EMID!AK362,SWALES!AK362,SWEST!AK362,LPN!AK362,SPN!AK362,EPN!AK362,SPD!AK362,SPMW!AK362,SSEH!AK362,SSES!AK362)</f>
        <v>8.0300000000000007E-3</v>
      </c>
      <c r="AL362" s="476">
        <f>CHOOSE($B$3,ENWL!AL362,NPgN!AL362,NPgY!AL362,WMID!AL362,EMID!AL362,SWALES!AL362,SWEST!AL362,LPN!AL362,SPN!AL362,EPN!AL362,SPD!AL362,SPMW!AL362,SSEH!AL362,SSES!AL362)</f>
        <v>2.631E-2</v>
      </c>
      <c r="AM362" s="476">
        <f>CHOOSE($B$3,ENWL!AM362,NPgN!AM362,NPgY!AM362,WMID!AM362,EMID!AM362,SWALES!AM362,SWEST!AM362,LPN!AM362,SPN!AM362,EPN!AM362,SPD!AM362,SPMW!AM362,SSEH!AM362,SSES!AM362)</f>
        <v>2.1659999999999999E-2</v>
      </c>
      <c r="AN362" s="476">
        <f>CHOOSE($B$3,ENWL!AN362,NPgN!AN362,NPgY!AN362,WMID!AN362,EMID!AN362,SWALES!AN362,SWEST!AN362,LPN!AN362,SPN!AN362,EPN!AN362,SPD!AN362,SPMW!AN362,SSEH!AN362,SSES!AN362)</f>
        <v>2.6984999999999999E-2</v>
      </c>
      <c r="AO362" s="476">
        <f>CHOOSE($B$3,ENWL!AO362,NPgN!AO362,NPgY!AO362,WMID!AO362,EMID!AO362,SWALES!AO362,SWEST!AO362,LPN!AO362,SPN!AO362,EPN!AO362,SPD!AO362,SPMW!AO362,SSEH!AO362,SSES!AO362)</f>
        <v>2.878E-2</v>
      </c>
      <c r="AP362" s="476">
        <f>CHOOSE($B$3,ENWL!AP362,NPgN!AP362,NPgY!AP362,WMID!AP362,EMID!AP362,SWALES!AP362,SWEST!AP362,LPN!AP362,SPN!AP362,EPN!AP362,SPD!AP362,SPMW!AP362,SSEH!AP362,SSES!AP362)</f>
        <v>8.3595000000000003E-2</v>
      </c>
      <c r="AQ362" s="477">
        <f>CHOOSE($B$3,ENWL!AQ362,NPgN!AQ362,NPgY!AQ362,WMID!AQ362,EMID!AQ362,SWALES!AQ362,SWEST!AQ362,LPN!AQ362,SPN!AQ362,EPN!AQ362,SPD!AQ362,SPMW!AQ362,SSEH!AQ362,SSES!AQ362)</f>
        <v>0.23425499999999999</v>
      </c>
      <c r="AR362" s="184"/>
      <c r="AS362" s="184"/>
      <c r="AT362" s="184"/>
      <c r="AU362" s="184"/>
      <c r="AV362" s="184"/>
      <c r="AW362" s="184"/>
    </row>
    <row r="363" spans="1:49" ht="15">
      <c r="A363" s="82"/>
      <c r="B363" s="82"/>
      <c r="C363" s="82"/>
      <c r="D363" s="82"/>
      <c r="E363" s="363" t="s">
        <v>435</v>
      </c>
      <c r="F363" s="82"/>
      <c r="G363" s="82" t="s">
        <v>396</v>
      </c>
      <c r="H363" s="82" t="s">
        <v>436</v>
      </c>
      <c r="I363" s="476">
        <f>CHOOSE($B$3,ENWL!I363,NPgN!I363,NPgY!I363,WMID!I363,EMID!I363,SWALES!I363,SWEST!I363,LPN!I363,SPN!I363,EPN!I363,SPD!I363,SPMW!I363,SSEH!I363,SSES!I363)</f>
        <v>32</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437</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438</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439</v>
      </c>
      <c r="F367" s="82"/>
      <c r="G367" s="82" t="s">
        <v>396</v>
      </c>
      <c r="H367" s="82" t="s">
        <v>440</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f>CHOOSE($B$3,ENWL!AP367,NPgN!AP367,NPgY!AP367,WMID!AP367,EMID!AP367,SWALES!AP367,SWEST!AP367,LPN!AP367,SPN!AP367,EPN!AP367,SPD!AP367,SPMW!AP367,SSEH!AP367,SSES!AP367)</f>
        <v>0.68740400000000024</v>
      </c>
      <c r="AQ367" s="477">
        <f>CHOOSE($B$3,ENWL!AQ367,NPgN!AQ367,NPgY!AQ367,WMID!AQ367,EMID!AQ367,SWALES!AQ367,SWEST!AQ367,LPN!AQ367,SPN!AQ367,EPN!AQ367,SPD!AQ367,SPMW!AQ367,SSEH!AQ367,SSES!AQ367)</f>
        <v>1.4778254440608405</v>
      </c>
      <c r="AR367" s="364"/>
      <c r="AS367" s="184"/>
      <c r="AT367" s="184"/>
      <c r="AU367" s="184"/>
      <c r="AV367" s="184"/>
      <c r="AW367" s="184"/>
    </row>
    <row r="368" spans="1:49" ht="15">
      <c r="A368" s="82"/>
      <c r="B368" s="82"/>
      <c r="C368" s="82"/>
      <c r="D368" s="82"/>
      <c r="E368" s="363" t="s">
        <v>441</v>
      </c>
      <c r="F368" s="82"/>
      <c r="G368" s="82" t="s">
        <v>396</v>
      </c>
      <c r="H368" s="82" t="s">
        <v>442</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v>
      </c>
      <c r="AQ368" s="477">
        <f>CHOOSE($B$3,ENWL!AQ368,NPgN!AQ368,NPgY!AQ368,WMID!AQ368,EMID!AQ368,SWALES!AQ368,SWEST!AQ368,LPN!AQ368,SPN!AQ368,EPN!AQ368,SPD!AQ368,SPMW!AQ368,SSEH!AQ368,SSES!AQ368)</f>
        <v>0</v>
      </c>
      <c r="AR368" s="364"/>
      <c r="AS368" s="184"/>
      <c r="AT368" s="184"/>
      <c r="AU368" s="184"/>
      <c r="AV368" s="184"/>
      <c r="AW368" s="184"/>
    </row>
    <row r="369" spans="1:49" ht="15">
      <c r="A369" s="82"/>
      <c r="B369" s="82"/>
      <c r="C369" s="82"/>
      <c r="D369" s="82"/>
      <c r="E369" s="363" t="s">
        <v>443</v>
      </c>
      <c r="F369" s="82"/>
      <c r="G369" s="82" t="s">
        <v>396</v>
      </c>
      <c r="H369" s="82" t="s">
        <v>444</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v>
      </c>
      <c r="AQ369" s="477">
        <f>CHOOSE($B$3,ENWL!AQ369,NPgN!AQ369,NPgY!AQ369,WMID!AQ369,EMID!AQ369,SWALES!AQ369,SWEST!AQ369,LPN!AQ369,SPN!AQ369,EPN!AQ369,SPD!AQ369,SPMW!AQ369,SSEH!AQ369,SSES!AQ369)</f>
        <v>0</v>
      </c>
      <c r="AR369" s="364"/>
      <c r="AS369" s="184"/>
      <c r="AT369" s="184"/>
      <c r="AU369" s="184"/>
      <c r="AV369" s="184"/>
      <c r="AW369" s="184"/>
    </row>
    <row r="370" spans="1:49" ht="15">
      <c r="A370" s="82"/>
      <c r="B370" s="82"/>
      <c r="C370" s="82"/>
      <c r="D370" s="82"/>
      <c r="E370" s="293" t="s">
        <v>445</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446</v>
      </c>
      <c r="F371" s="82"/>
      <c r="G371" s="82" t="s">
        <v>396</v>
      </c>
      <c r="H371" s="82" t="s">
        <v>447</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f>CHOOSE($B$3,ENWL!AP371,NPgN!AP371,NPgY!AP371,WMID!AP371,EMID!AP371,SWALES!AP371,SWEST!AP371,LPN!AP371,SPN!AP371,EPN!AP371,SPD!AP371,SPMW!AP371,SSEH!AP371,SSES!AP371)</f>
        <v>4.2147941632540862</v>
      </c>
      <c r="AQ371" s="477">
        <f>CHOOSE($B$3,ENWL!AQ371,NPgN!AQ371,NPgY!AQ371,WMID!AQ371,EMID!AQ371,SWALES!AQ371,SWEST!AQ371,LPN!AQ371,SPN!AQ371,EPN!AQ371,SPD!AQ371,SPMW!AQ371,SSEH!AQ371,SSES!AQ371)</f>
        <v>4.7819368847034269</v>
      </c>
      <c r="AR371" s="364"/>
      <c r="AS371" s="184"/>
      <c r="AT371" s="184"/>
      <c r="AU371" s="184"/>
      <c r="AV371" s="184"/>
      <c r="AW371" s="184"/>
    </row>
    <row r="372" spans="1:49" ht="15">
      <c r="A372" s="82"/>
      <c r="B372" s="82"/>
      <c r="C372" s="82"/>
      <c r="D372" s="82"/>
      <c r="E372" s="363" t="s">
        <v>448</v>
      </c>
      <c r="F372" s="82"/>
      <c r="G372" s="82" t="s">
        <v>396</v>
      </c>
      <c r="H372" s="82" t="s">
        <v>449</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0.38867999999999903</v>
      </c>
      <c r="AQ372" s="477">
        <f>CHOOSE($B$3,ENWL!AQ372,NPgN!AQ372,NPgY!AQ372,WMID!AQ372,EMID!AQ372,SWALES!AQ372,SWEST!AQ372,LPN!AQ372,SPN!AQ372,EPN!AQ372,SPD!AQ372,SPMW!AQ372,SSEH!AQ372,SSES!AQ372)</f>
        <v>0</v>
      </c>
      <c r="AR372" s="364"/>
      <c r="AS372" s="184"/>
      <c r="AT372" s="184"/>
      <c r="AU372" s="184"/>
      <c r="AV372" s="184"/>
      <c r="AW372" s="184"/>
    </row>
    <row r="373" spans="1:49" ht="15">
      <c r="A373" s="82"/>
      <c r="B373" s="82"/>
      <c r="C373" s="82"/>
      <c r="D373" s="82"/>
      <c r="E373" s="363" t="s">
        <v>450</v>
      </c>
      <c r="F373" s="82"/>
      <c r="G373" s="82" t="s">
        <v>396</v>
      </c>
      <c r="H373" s="82" t="s">
        <v>451</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0</v>
      </c>
      <c r="AQ373" s="477">
        <f>CHOOSE($B$3,ENWL!AQ373,NPgN!AQ373,NPgY!AQ373,WMID!AQ373,EMID!AQ373,SWALES!AQ373,SWEST!AQ373,LPN!AQ373,SPN!AQ373,EPN!AQ373,SPD!AQ373,SPMW!AQ373,SSEH!AQ373,SSES!AQ373)</f>
        <v>-5.4486000000000034E-2</v>
      </c>
      <c r="AR373" s="364"/>
      <c r="AS373" s="184"/>
      <c r="AT373" s="184"/>
      <c r="AU373" s="184"/>
      <c r="AV373" s="184"/>
      <c r="AW373" s="184"/>
    </row>
    <row r="374" spans="1:49" ht="15">
      <c r="A374" s="82"/>
      <c r="B374" s="82"/>
      <c r="C374" s="82"/>
      <c r="D374" s="82"/>
      <c r="E374" s="293" t="s">
        <v>452</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453</v>
      </c>
      <c r="F375" s="82"/>
      <c r="G375" s="82" t="s">
        <v>396</v>
      </c>
      <c r="H375" s="82" t="s">
        <v>454</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f>CHOOSE($B$3,ENWL!AO375,NPgN!AO375,NPgY!AO375,WMID!AO375,EMID!AO375,SWALES!AO375,SWEST!AO375,LPN!AO375,SPN!AO375,EPN!AO375,SPD!AO375,SPMW!AO375,SSEH!AO375,SSES!AO375)</f>
        <v>0</v>
      </c>
      <c r="AP375" s="419">
        <f>CHOOSE($B$3,ENWL!AP375,NPgN!AP375,NPgY!AP375,WMID!AP375,EMID!AP375,SWALES!AP375,SWEST!AP375,LPN!AP375,SPN!AP375,EPN!AP375,SPD!AP375,SPMW!AP375,SSEH!AP375,SSES!AP375)</f>
        <v>0</v>
      </c>
      <c r="AQ375" s="418">
        <f>CHOOSE($B$3,ENWL!AQ375,NPgN!AQ375,NPgY!AQ375,WMID!AQ375,EMID!AQ375,SWALES!AQ375,SWEST!AQ375,LPN!AQ375,SPN!AQ375,EPN!AQ375,SPD!AQ375,SPMW!AQ375,SSEH!AQ375,SSES!AQ375)</f>
        <v>0</v>
      </c>
      <c r="AR375" s="364"/>
      <c r="AS375" s="184"/>
      <c r="AT375" s="184"/>
      <c r="AU375" s="184"/>
      <c r="AV375" s="184"/>
      <c r="AW375" s="184"/>
    </row>
    <row r="376" spans="1:49" ht="15">
      <c r="A376" s="82"/>
      <c r="B376" s="82"/>
      <c r="C376" s="82"/>
      <c r="D376" s="82"/>
      <c r="E376" s="293" t="s">
        <v>455</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456</v>
      </c>
      <c r="F377" s="82"/>
      <c r="G377" s="82" t="s">
        <v>396</v>
      </c>
      <c r="H377" s="82" t="s">
        <v>457</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f>CHOOSE($B$3,ENWL!AP377,NPgN!AP377,NPgY!AP377,WMID!AP377,EMID!AP377,SWALES!AP377,SWEST!AP377,LPN!AP377,SPN!AP377,EPN!AP377,SPD!AP377,SPMW!AP377,SSEH!AP377,SSES!AP377)</f>
        <v>0</v>
      </c>
      <c r="AQ377" s="477">
        <f>CHOOSE($B$3,ENWL!AQ377,NPgN!AQ377,NPgY!AQ377,WMID!AQ377,EMID!AQ377,SWALES!AQ377,SWEST!AQ377,LPN!AQ377,SPN!AQ377,EPN!AQ377,SPD!AQ377,SPMW!AQ377,SSEH!AQ377,SSES!AQ377)</f>
        <v>0</v>
      </c>
      <c r="AR377" s="364"/>
      <c r="AS377" s="184"/>
      <c r="AT377" s="184"/>
      <c r="AU377" s="184"/>
      <c r="AV377" s="184"/>
      <c r="AW377" s="184"/>
    </row>
    <row r="378" spans="1:49" ht="15">
      <c r="A378" s="82"/>
      <c r="B378" s="82"/>
      <c r="C378" s="82"/>
      <c r="D378" s="82"/>
      <c r="E378" s="363" t="s">
        <v>458</v>
      </c>
      <c r="F378" s="82"/>
      <c r="G378" s="82" t="s">
        <v>396</v>
      </c>
      <c r="H378" s="82" t="s">
        <v>459</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v>
      </c>
      <c r="AQ378" s="477">
        <f>CHOOSE($B$3,ENWL!AQ378,NPgN!AQ378,NPgY!AQ378,WMID!AQ378,EMID!AQ378,SWALES!AQ378,SWEST!AQ378,LPN!AQ378,SPN!AQ378,EPN!AQ378,SPD!AQ378,SPMW!AQ378,SSEH!AQ378,SSES!AQ378)</f>
        <v>0</v>
      </c>
      <c r="AR378" s="364"/>
      <c r="AS378" s="184"/>
      <c r="AT378" s="184"/>
      <c r="AU378" s="184"/>
      <c r="AV378" s="184"/>
      <c r="AW378" s="184"/>
    </row>
    <row r="379" spans="1:49" ht="15">
      <c r="A379" s="82"/>
      <c r="B379" s="82"/>
      <c r="C379" s="82"/>
      <c r="D379" s="82"/>
      <c r="E379" s="363" t="s">
        <v>460</v>
      </c>
      <c r="F379" s="82"/>
      <c r="G379" s="82" t="s">
        <v>396</v>
      </c>
      <c r="H379" s="82" t="s">
        <v>461</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v>
      </c>
      <c r="AQ379" s="477">
        <f>CHOOSE($B$3,ENWL!AQ379,NPgN!AQ379,NPgY!AQ379,WMID!AQ379,EMID!AQ379,SWALES!AQ379,SWEST!AQ379,LPN!AQ379,SPN!AQ379,EPN!AQ379,SPD!AQ379,SPMW!AQ379,SSEH!AQ379,SSES!AQ379)</f>
        <v>0</v>
      </c>
      <c r="AR379" s="364"/>
      <c r="AS379" s="184"/>
      <c r="AT379" s="184"/>
      <c r="AU379" s="184"/>
      <c r="AV379" s="184"/>
      <c r="AW379" s="184"/>
    </row>
    <row r="380" spans="1:49" ht="15">
      <c r="A380" s="82"/>
      <c r="B380" s="82"/>
      <c r="C380" s="82"/>
      <c r="D380" s="82"/>
      <c r="E380" s="363" t="s">
        <v>462</v>
      </c>
      <c r="F380" s="82"/>
      <c r="G380" s="82" t="s">
        <v>396</v>
      </c>
      <c r="H380" s="82" t="s">
        <v>463</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v>
      </c>
      <c r="AQ380" s="477">
        <f>CHOOSE($B$3,ENWL!AQ380,NPgN!AQ380,NPgY!AQ380,WMID!AQ380,EMID!AQ380,SWALES!AQ380,SWEST!AQ380,LPN!AQ380,SPN!AQ380,EPN!AQ380,SPD!AQ380,SPMW!AQ380,SSEH!AQ380,SSES!AQ380)</f>
        <v>0</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464</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465</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466</v>
      </c>
      <c r="F384" s="82"/>
      <c r="G384" s="82" t="s">
        <v>302</v>
      </c>
      <c r="H384" s="82" t="s">
        <v>467</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f>CHOOSE($B$3,ENWL!AP384,NPgN!AP384,NPgY!AP384,WMID!AP384,EMID!AP384,SWALES!AP384,SWEST!AP384,LPN!AP384,SPN!AP384,EPN!AP384,SPD!AP384,SPMW!AP384,SSEH!AP384,SSES!AP384)</f>
        <v>1.5874440000000001</v>
      </c>
      <c r="AQ384" s="477">
        <f>CHOOSE($B$3,ENWL!AQ384,NPgN!AQ384,NPgY!AQ384,WMID!AQ384,EMID!AQ384,SWALES!AQ384,SWEST!AQ384,LPN!AQ384,SPN!AQ384,EPN!AQ384,SPD!AQ384,SPMW!AQ384,SSEH!AQ384,SSES!AQ384)</f>
        <v>1.66398801</v>
      </c>
      <c r="AR384" s="364"/>
      <c r="AS384" s="184"/>
      <c r="AT384" s="184"/>
      <c r="AU384" s="184"/>
      <c r="AV384" s="184"/>
      <c r="AW384" s="184"/>
    </row>
    <row r="385" spans="1:49" ht="15">
      <c r="A385" s="82"/>
      <c r="B385" s="82"/>
      <c r="C385" s="82"/>
      <c r="D385" s="82"/>
      <c r="E385" s="363" t="s">
        <v>468</v>
      </c>
      <c r="F385" s="82"/>
      <c r="G385" s="82" t="s">
        <v>396</v>
      </c>
      <c r="H385" s="82" t="s">
        <v>469</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0.8</v>
      </c>
      <c r="AQ385" s="477">
        <f>CHOOSE($B$3,ENWL!AQ385,NPgN!AQ385,NPgY!AQ385,WMID!AQ385,EMID!AQ385,SWALES!AQ385,SWEST!AQ385,LPN!AQ385,SPN!AQ385,EPN!AQ385,SPD!AQ385,SPMW!AQ385,SSEH!AQ385,SSES!AQ385)</f>
        <v>0.8</v>
      </c>
      <c r="AR385" s="364"/>
      <c r="AS385" s="184"/>
      <c r="AT385" s="184"/>
      <c r="AU385" s="184"/>
      <c r="AV385" s="184"/>
      <c r="AW385" s="184"/>
    </row>
    <row r="386" spans="1:49" ht="15">
      <c r="A386" s="82"/>
      <c r="B386" s="82"/>
      <c r="C386" s="82"/>
      <c r="D386" s="82"/>
      <c r="E386" s="293" t="s">
        <v>470</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471</v>
      </c>
      <c r="F387" s="82"/>
      <c r="G387" s="82" t="s">
        <v>302</v>
      </c>
      <c r="H387" s="82" t="s">
        <v>472</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f>CHOOSE($B$3,ENWL!AP387,NPgN!AP387,NPgY!AP387,WMID!AP387,EMID!AP387,SWALES!AP387,SWEST!AP387,LPN!AP387,SPN!AP387,EPN!AP387,SPD!AP387,SPMW!AP387,SSEH!AP387,SSES!AP387)</f>
        <v>20.869119999999999</v>
      </c>
      <c r="AQ387" s="477">
        <f>CHOOSE($B$3,ENWL!AQ387,NPgN!AQ387,NPgY!AQ387,WMID!AQ387,EMID!AQ387,SWALES!AQ387,SWEST!AQ387,LPN!AQ387,SPN!AQ387,EPN!AQ387,SPD!AQ387,SPMW!AQ387,SSEH!AQ387,SSES!AQ387)</f>
        <v>20.869119999999999</v>
      </c>
      <c r="AR387" s="364"/>
      <c r="AS387" s="184"/>
      <c r="AT387" s="184"/>
      <c r="AU387" s="184"/>
      <c r="AV387" s="184"/>
      <c r="AW387" s="184"/>
    </row>
    <row r="388" spans="1:49" ht="15">
      <c r="A388" s="82"/>
      <c r="B388" s="82"/>
      <c r="C388" s="82"/>
      <c r="D388" s="82"/>
      <c r="E388" s="363" t="s">
        <v>473</v>
      </c>
      <c r="F388" s="82"/>
      <c r="G388" s="82" t="s">
        <v>396</v>
      </c>
      <c r="H388" s="82" t="s">
        <v>474</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13.3</v>
      </c>
      <c r="AQ388" s="477">
        <f>CHOOSE($B$3,ENWL!AQ388,NPgN!AQ388,NPgY!AQ388,WMID!AQ388,EMID!AQ388,SWALES!AQ388,SWEST!AQ388,LPN!AQ388,SPN!AQ388,EPN!AQ388,SPD!AQ388,SPMW!AQ388,SSEH!AQ388,SSES!AQ388)</f>
        <v>13.3</v>
      </c>
      <c r="AR388" s="364"/>
      <c r="AS388" s="184"/>
      <c r="AT388" s="184"/>
      <c r="AU388" s="184"/>
      <c r="AV388" s="184"/>
      <c r="AW388" s="184"/>
    </row>
    <row r="389" spans="1:49" ht="15">
      <c r="A389" s="82"/>
      <c r="B389" s="82"/>
      <c r="C389" s="82"/>
      <c r="D389" s="82"/>
      <c r="E389" s="293" t="s">
        <v>475</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476</v>
      </c>
      <c r="F390" s="82"/>
      <c r="G390" s="82" t="s">
        <v>302</v>
      </c>
      <c r="H390" s="82" t="s">
        <v>477</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f>CHOOSE($B$3,ENWL!AP390,NPgN!AP390,NPgY!AP390,WMID!AP390,EMID!AP390,SWALES!AP390,SWEST!AP390,LPN!AP390,SPN!AP390,EPN!AP390,SPD!AP390,SPMW!AP390,SSEH!AP390,SSES!AP390)</f>
        <v>7.7663137200000003</v>
      </c>
      <c r="AQ390" s="477">
        <f>CHOOSE($B$3,ENWL!AQ390,NPgN!AQ390,NPgY!AQ390,WMID!AQ390,EMID!AQ390,SWALES!AQ390,SWEST!AQ390,LPN!AQ390,SPN!AQ390,EPN!AQ390,SPD!AQ390,SPMW!AQ390,SSEH!AQ390,SSES!AQ390)</f>
        <v>11.326099970000001</v>
      </c>
      <c r="AR390" s="364"/>
      <c r="AS390" s="184"/>
      <c r="AT390" s="184"/>
      <c r="AU390" s="184"/>
      <c r="AV390" s="184"/>
      <c r="AW390" s="184"/>
    </row>
    <row r="391" spans="1:49" ht="15">
      <c r="A391" s="82"/>
      <c r="B391" s="82"/>
      <c r="C391" s="82"/>
      <c r="D391" s="82"/>
      <c r="E391" s="363" t="s">
        <v>478</v>
      </c>
      <c r="F391" s="82"/>
      <c r="G391" s="82" t="s">
        <v>396</v>
      </c>
      <c r="H391" s="82" t="s">
        <v>479</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8.9</v>
      </c>
      <c r="AQ391" s="477">
        <f>CHOOSE($B$3,ENWL!AQ391,NPgN!AQ391,NPgY!AQ391,WMID!AQ391,EMID!AQ391,SWALES!AQ391,SWEST!AQ391,LPN!AQ391,SPN!AQ391,EPN!AQ391,SPD!AQ391,SPMW!AQ391,SSEH!AQ391,SSES!AQ391)</f>
        <v>9</v>
      </c>
      <c r="AR391" s="364"/>
      <c r="AS391" s="184"/>
      <c r="AT391" s="184"/>
      <c r="AU391" s="184"/>
      <c r="AV391" s="184"/>
      <c r="AW391" s="184"/>
    </row>
    <row r="392" spans="1:49" ht="15">
      <c r="A392" s="82"/>
      <c r="B392" s="82"/>
      <c r="C392" s="82"/>
      <c r="D392" s="82"/>
      <c r="E392" s="293" t="s">
        <v>480</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481</v>
      </c>
      <c r="F393" s="82"/>
      <c r="G393" s="82" t="s">
        <v>302</v>
      </c>
      <c r="H393" s="82" t="s">
        <v>482</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f>CHOOSE($B$3,ENWL!AP393,NPgN!AP393,NPgY!AP393,WMID!AP393,EMID!AP393,SWALES!AP393,SWEST!AP393,LPN!AP393,SPN!AP393,EPN!AP393,SPD!AP393,SPMW!AP393,SSEH!AP393,SSES!AP393)</f>
        <v>1.7514029100000001</v>
      </c>
      <c r="AQ393" s="477">
        <f>CHOOSE($B$3,ENWL!AQ393,NPgN!AQ393,NPgY!AQ393,WMID!AQ393,EMID!AQ393,SWALES!AQ393,SWEST!AQ393,LPN!AQ393,SPN!AQ393,EPN!AQ393,SPD!AQ393,SPMW!AQ393,SSEH!AQ393,SSES!AQ393)</f>
        <v>1.8716212100000003</v>
      </c>
      <c r="AR393" s="364"/>
      <c r="AS393" s="184"/>
      <c r="AT393" s="184"/>
      <c r="AU393" s="184"/>
      <c r="AV393" s="184"/>
      <c r="AW393" s="184"/>
    </row>
    <row r="394" spans="1:49" ht="15">
      <c r="A394" s="82"/>
      <c r="B394" s="82"/>
      <c r="C394" s="82"/>
      <c r="D394" s="82"/>
      <c r="E394" s="363" t="s">
        <v>483</v>
      </c>
      <c r="F394" s="82"/>
      <c r="G394" s="82" t="s">
        <v>396</v>
      </c>
      <c r="H394" s="82" t="s">
        <v>484</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0</v>
      </c>
      <c r="AQ394" s="477">
        <f>CHOOSE($B$3,ENWL!AQ394,NPgN!AQ394,NPgY!AQ394,WMID!AQ394,EMID!AQ394,SWALES!AQ394,SWEST!AQ394,LPN!AQ394,SPN!AQ394,EPN!AQ394,SPD!AQ394,SPMW!AQ394,SSEH!AQ394,SSES!AQ394)</f>
        <v>0</v>
      </c>
      <c r="AR394" s="364"/>
      <c r="AS394" s="184"/>
      <c r="AT394" s="184"/>
      <c r="AU394" s="184"/>
      <c r="AV394" s="184"/>
      <c r="AW394" s="184"/>
    </row>
    <row r="395" spans="1:49" ht="15">
      <c r="A395" s="82"/>
      <c r="B395" s="82"/>
      <c r="C395" s="82"/>
      <c r="D395" s="82"/>
      <c r="E395" s="293" t="s">
        <v>485</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486</v>
      </c>
      <c r="F396" s="82"/>
      <c r="G396" s="82" t="s">
        <v>302</v>
      </c>
      <c r="H396" s="82" t="s">
        <v>487</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f>CHOOSE($B$3,ENWL!AP396,NPgN!AP396,NPgY!AP396,WMID!AP396,EMID!AP396,SWALES!AP396,SWEST!AP396,LPN!AP396,SPN!AP396,EPN!AP396,SPD!AP396,SPMW!AP396,SSEH!AP396,SSES!AP396)</f>
        <v>1.0168446550000001</v>
      </c>
      <c r="AQ396" s="477">
        <f>CHOOSE($B$3,ENWL!AQ396,NPgN!AQ396,NPgY!AQ396,WMID!AQ396,EMID!AQ396,SWALES!AQ396,SWEST!AQ396,LPN!AQ396,SPN!AQ396,EPN!AQ396,SPD!AQ396,SPMW!AQ396,SSEH!AQ396,SSES!AQ396)</f>
        <v>0.77735213000000003</v>
      </c>
      <c r="AR396" s="364"/>
      <c r="AS396" s="184"/>
      <c r="AT396" s="184"/>
      <c r="AU396" s="184"/>
      <c r="AV396" s="184"/>
      <c r="AW396" s="184"/>
    </row>
    <row r="397" spans="1:49" ht="15">
      <c r="A397" s="82"/>
      <c r="B397" s="82"/>
      <c r="C397" s="82"/>
      <c r="D397" s="82"/>
      <c r="E397" s="363" t="s">
        <v>488</v>
      </c>
      <c r="F397" s="82"/>
      <c r="G397" s="82" t="s">
        <v>396</v>
      </c>
      <c r="H397" s="82" t="s">
        <v>489</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0</v>
      </c>
      <c r="AQ397" s="477">
        <f>CHOOSE($B$3,ENWL!AQ397,NPgN!AQ397,NPgY!AQ397,WMID!AQ397,EMID!AQ397,SWALES!AQ397,SWEST!AQ397,LPN!AQ397,SPN!AQ397,EPN!AQ397,SPD!AQ397,SPMW!AQ397,SSEH!AQ397,SSES!AQ397)</f>
        <v>0</v>
      </c>
      <c r="AR397" s="364"/>
      <c r="AS397" s="184"/>
      <c r="AT397" s="184"/>
      <c r="AU397" s="184"/>
      <c r="AV397" s="184"/>
      <c r="AW397" s="184"/>
    </row>
    <row r="398" spans="1:49" ht="15">
      <c r="A398" s="82"/>
      <c r="B398" s="82"/>
      <c r="C398" s="82"/>
      <c r="D398" s="82"/>
      <c r="E398" s="293" t="s">
        <v>490</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491</v>
      </c>
      <c r="F399" s="82"/>
      <c r="G399" s="82" t="s">
        <v>302</v>
      </c>
      <c r="H399" s="82" t="s">
        <v>492</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f>CHOOSE($B$3,ENWL!AP399,NPgN!AP399,NPgY!AP399,WMID!AP399,EMID!AP399,SWALES!AP399,SWEST!AP399,LPN!AP399,SPN!AP399,EPN!AP399,SPD!AP399,SPMW!AP399,SSEH!AP399,SSES!AP399)</f>
        <v>3.4057440000000001E-2</v>
      </c>
      <c r="AQ399" s="477">
        <f>CHOOSE($B$3,ENWL!AQ399,NPgN!AQ399,NPgY!AQ399,WMID!AQ399,EMID!AQ399,SWALES!AQ399,SWEST!AQ399,LPN!AQ399,SPN!AQ399,EPN!AQ399,SPD!AQ399,SPMW!AQ399,SSEH!AQ399,SSES!AQ399)</f>
        <v>3.6031769999999998E-2</v>
      </c>
      <c r="AR399" s="364"/>
      <c r="AS399" s="184"/>
      <c r="AT399" s="184"/>
      <c r="AU399" s="184"/>
      <c r="AV399" s="184"/>
      <c r="AW399" s="184"/>
    </row>
    <row r="400" spans="1:49" ht="15">
      <c r="A400" s="82"/>
      <c r="B400" s="82"/>
      <c r="C400" s="82"/>
      <c r="D400" s="82"/>
      <c r="E400" s="363" t="s">
        <v>493</v>
      </c>
      <c r="F400" s="82"/>
      <c r="G400" s="82" t="s">
        <v>396</v>
      </c>
      <c r="H400" s="82" t="s">
        <v>494</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0</v>
      </c>
      <c r="AQ400" s="477">
        <f>CHOOSE($B$3,ENWL!AQ400,NPgN!AQ400,NPgY!AQ400,WMID!AQ400,EMID!AQ400,SWALES!AQ400,SWEST!AQ400,LPN!AQ400,SPN!AQ400,EPN!AQ400,SPD!AQ400,SPMW!AQ400,SSEH!AQ400,SSES!AQ400)</f>
        <v>0</v>
      </c>
      <c r="AR400" s="364"/>
      <c r="AS400" s="184"/>
      <c r="AT400" s="184"/>
      <c r="AU400" s="184"/>
      <c r="AV400" s="184"/>
      <c r="AW400" s="184"/>
    </row>
    <row r="401" spans="1:49" ht="15">
      <c r="A401" s="82"/>
      <c r="B401" s="82"/>
      <c r="C401" s="82"/>
      <c r="D401" s="82"/>
      <c r="E401" s="293" t="s">
        <v>495</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496</v>
      </c>
      <c r="F402" s="82"/>
      <c r="G402" s="82" t="s">
        <v>302</v>
      </c>
      <c r="H402" s="82" t="s">
        <v>497</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f>CHOOSE($B$3,ENWL!AP402,NPgN!AP402,NPgY!AP402,WMID!AP402,EMID!AP402,SWALES!AP402,SWEST!AP402,LPN!AP402,SPN!AP402,EPN!AP402,SPD!AP402,SPMW!AP402,SSEH!AP402,SSES!AP402)</f>
        <v>0</v>
      </c>
      <c r="AQ402" s="477">
        <f>CHOOSE($B$3,ENWL!AQ402,NPgN!AQ402,NPgY!AQ402,WMID!AQ402,EMID!AQ402,SWALES!AQ402,SWEST!AQ402,LPN!AQ402,SPN!AQ402,EPN!AQ402,SPD!AQ402,SPMW!AQ402,SSEH!AQ402,SSES!AQ402)</f>
        <v>0</v>
      </c>
      <c r="AR402" s="364"/>
      <c r="AS402" s="184"/>
      <c r="AT402" s="184"/>
      <c r="AU402" s="184"/>
      <c r="AV402" s="184"/>
      <c r="AW402" s="184"/>
    </row>
    <row r="403" spans="1:49" ht="15">
      <c r="A403" s="82"/>
      <c r="B403" s="82"/>
      <c r="C403" s="82"/>
      <c r="D403" s="82"/>
      <c r="E403" s="363" t="s">
        <v>498</v>
      </c>
      <c r="F403" s="82"/>
      <c r="G403" s="82" t="s">
        <v>396</v>
      </c>
      <c r="H403" s="82" t="s">
        <v>499</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5">
      <c r="A404" s="82"/>
      <c r="B404" s="82"/>
      <c r="C404" s="82"/>
      <c r="D404" s="82"/>
      <c r="E404" s="293" t="s">
        <v>500</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501</v>
      </c>
      <c r="F405" s="82"/>
      <c r="G405" s="82" t="s">
        <v>302</v>
      </c>
      <c r="H405" s="82" t="s">
        <v>502</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f>CHOOSE($B$3,ENWL!AP405,NPgN!AP405,NPgY!AP405,WMID!AP405,EMID!AP405,SWALES!AP405,SWEST!AP405,LPN!AP405,SPN!AP405,EPN!AP405,SPD!AP405,SPMW!AP405,SSEH!AP405,SSES!AP405)</f>
        <v>0</v>
      </c>
      <c r="AQ405" s="477">
        <f>CHOOSE($B$3,ENWL!AQ405,NPgN!AQ405,NPgY!AQ405,WMID!AQ405,EMID!AQ405,SWALES!AQ405,SWEST!AQ405,LPN!AQ405,SPN!AQ405,EPN!AQ405,SPD!AQ405,SPMW!AQ405,SSEH!AQ405,SSES!AQ405)</f>
        <v>0</v>
      </c>
      <c r="AR405" s="364"/>
      <c r="AS405" s="184"/>
      <c r="AT405" s="184"/>
      <c r="AU405" s="184"/>
      <c r="AV405" s="184"/>
      <c r="AW405" s="184"/>
    </row>
    <row r="406" spans="1:49" ht="15">
      <c r="A406" s="82"/>
      <c r="B406" s="82"/>
      <c r="C406" s="82"/>
      <c r="D406" s="82"/>
      <c r="E406" s="363" t="s">
        <v>503</v>
      </c>
      <c r="F406" s="82"/>
      <c r="G406" s="82" t="s">
        <v>396</v>
      </c>
      <c r="H406" s="82" t="s">
        <v>504</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5">
      <c r="A407" s="82"/>
      <c r="B407" s="82"/>
      <c r="C407" s="82"/>
      <c r="D407" s="82"/>
      <c r="E407" s="293" t="s">
        <v>505</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506</v>
      </c>
      <c r="F408" s="82"/>
      <c r="G408" s="82" t="s">
        <v>302</v>
      </c>
      <c r="H408" s="82" t="s">
        <v>507</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f>CHOOSE($B$3,ENWL!AP408,NPgN!AP408,NPgY!AP408,WMID!AP408,EMID!AP408,SWALES!AP408,SWEST!AP408,LPN!AP408,SPN!AP408,EPN!AP408,SPD!AP408,SPMW!AP408,SSEH!AP408,SSES!AP408)</f>
        <v>0</v>
      </c>
      <c r="AQ408" s="477">
        <f>CHOOSE($B$3,ENWL!AQ408,NPgN!AQ408,NPgY!AQ408,WMID!AQ408,EMID!AQ408,SWALES!AQ408,SWEST!AQ408,LPN!AQ408,SPN!AQ408,EPN!AQ408,SPD!AQ408,SPMW!AQ408,SSEH!AQ408,SSES!AQ408)</f>
        <v>0</v>
      </c>
      <c r="AR408" s="364"/>
      <c r="AS408" s="184"/>
      <c r="AT408" s="184"/>
      <c r="AU408" s="184"/>
      <c r="AV408" s="184"/>
      <c r="AW408" s="184"/>
    </row>
    <row r="409" spans="1:49" ht="15">
      <c r="A409" s="82"/>
      <c r="B409" s="82"/>
      <c r="C409" s="82"/>
      <c r="D409" s="82"/>
      <c r="E409" s="363" t="s">
        <v>508</v>
      </c>
      <c r="F409" s="82"/>
      <c r="G409" s="82" t="s">
        <v>396</v>
      </c>
      <c r="H409" s="82" t="s">
        <v>509</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5">
      <c r="A410" s="82"/>
      <c r="B410" s="82"/>
      <c r="C410" s="82"/>
      <c r="D410" s="82"/>
      <c r="E410" s="293" t="s">
        <v>510</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511</v>
      </c>
      <c r="F411" s="82"/>
      <c r="G411" s="82" t="s">
        <v>302</v>
      </c>
      <c r="H411" s="82" t="s">
        <v>512</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f>CHOOSE($B$3,ENWL!AP411,NPgN!AP411,NPgY!AP411,WMID!AP411,EMID!AP411,SWALES!AP411,SWEST!AP411,LPN!AP411,SPN!AP411,EPN!AP411,SPD!AP411,SPMW!AP411,SSEH!AP411,SSES!AP411)</f>
        <v>0.55616246000000003</v>
      </c>
      <c r="AQ411" s="477">
        <f>CHOOSE($B$3,ENWL!AQ411,NPgN!AQ411,NPgY!AQ411,WMID!AQ411,EMID!AQ411,SWALES!AQ411,SWEST!AQ411,LPN!AQ411,SPN!AQ411,EPN!AQ411,SPD!AQ411,SPMW!AQ411,SSEH!AQ411,SSES!AQ411)</f>
        <v>1.1573850599999957</v>
      </c>
      <c r="AR411" s="364"/>
      <c r="AS411" s="184"/>
      <c r="AT411" s="184"/>
      <c r="AU411" s="184"/>
      <c r="AV411" s="184"/>
      <c r="AW411" s="184"/>
    </row>
    <row r="412" spans="1:49" ht="15">
      <c r="A412" s="82"/>
      <c r="B412" s="82"/>
      <c r="C412" s="82"/>
      <c r="D412" s="82"/>
      <c r="E412" s="293" t="s">
        <v>513</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514</v>
      </c>
      <c r="F413" s="82"/>
      <c r="G413" s="82" t="s">
        <v>302</v>
      </c>
      <c r="H413" s="82" t="s">
        <v>515</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f>CHOOSE($B$3,ENWL!AO413,NPgN!AO413,NPgY!AO413,WMID!AO413,EMID!AO413,SWALES!AO413,SWEST!AO413,LPN!AO413,SPN!AO413,EPN!AO413,SPD!AO413,SPMW!AO413,SSEH!AO413,SSES!AO413)</f>
        <v>0.62224200833333332</v>
      </c>
      <c r="AP413" s="476">
        <f>CHOOSE($B$3,ENWL!AP413,NPgN!AP413,NPgY!AP413,WMID!AP413,EMID!AP413,SWALES!AP413,SWEST!AP413,LPN!AP413,SPN!AP413,EPN!AP413,SPD!AP413,SPMW!AP413,SSEH!AP413,SSES!AP413)</f>
        <v>2.2745069449999997</v>
      </c>
      <c r="AQ413" s="477">
        <f>CHOOSE($B$3,ENWL!AQ413,NPgN!AQ413,NPgY!AQ413,WMID!AQ413,EMID!AQ413,SWALES!AQ413,SWEST!AQ413,LPN!AQ413,SPN!AQ413,EPN!AQ413,SPD!AQ413,SPMW!AQ413,SSEH!AQ413,SSES!AQ413)</f>
        <v>1.6846693333333343E-2</v>
      </c>
      <c r="AR413" s="145"/>
      <c r="AS413" s="184"/>
      <c r="AT413" s="184"/>
      <c r="AU413" s="184"/>
      <c r="AV413" s="184"/>
      <c r="AW413" s="184"/>
    </row>
    <row r="414" spans="1:49" ht="15">
      <c r="A414" s="82"/>
      <c r="B414" s="82"/>
      <c r="C414" s="82"/>
      <c r="D414" s="82"/>
      <c r="E414" s="363" t="s">
        <v>516</v>
      </c>
      <c r="F414" s="82"/>
      <c r="G414" s="82" t="s">
        <v>302</v>
      </c>
      <c r="H414" s="82" t="s">
        <v>517</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1.3628950000000001E-2</v>
      </c>
      <c r="AP414" s="476">
        <f>CHOOSE($B$3,ENWL!AP414,NPgN!AP414,NPgY!AP414,WMID!AP414,EMID!AP414,SWALES!AP414,SWEST!AP414,LPN!AP414,SPN!AP414,EPN!AP414,SPD!AP414,SPMW!AP414,SSEH!AP414,SSES!AP414)</f>
        <v>6.9366575E-2</v>
      </c>
      <c r="AQ414" s="477">
        <f>CHOOSE($B$3,ENWL!AQ414,NPgN!AQ414,NPgY!AQ414,WMID!AQ414,EMID!AQ414,SWALES!AQ414,SWEST!AQ414,LPN!AQ414,SPN!AQ414,EPN!AQ414,SPD!AQ414,SPMW!AQ414,SSEH!AQ414,SSES!AQ414)</f>
        <v>7.409898333333334E-2</v>
      </c>
      <c r="AR414" s="145"/>
      <c r="AS414" s="184"/>
      <c r="AT414" s="184"/>
      <c r="AU414" s="184"/>
      <c r="AV414" s="184"/>
      <c r="AW414" s="184"/>
    </row>
    <row r="415" spans="1:49" ht="15">
      <c r="A415" s="82"/>
      <c r="B415" s="82"/>
      <c r="C415" s="82"/>
      <c r="D415" s="82"/>
      <c r="E415" s="293" t="s">
        <v>518</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519</v>
      </c>
      <c r="F416" s="82"/>
      <c r="G416" s="82" t="s">
        <v>302</v>
      </c>
      <c r="H416" s="82" t="s">
        <v>520</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f>CHOOSE($B$3,ENWL!AP416,NPgN!AP416,NPgY!AP416,WMID!AP416,EMID!AP416,SWALES!AP416,SWEST!AP416,LPN!AP416,SPN!AP416,EPN!AP416,SPD!AP416,SPMW!AP416,SSEH!AP416,SSES!AP416)</f>
        <v>0</v>
      </c>
      <c r="AQ416" s="477">
        <f>CHOOSE($B$3,ENWL!AQ416,NPgN!AQ416,NPgY!AQ416,WMID!AQ416,EMID!AQ416,SWALES!AQ416,SWEST!AQ416,LPN!AQ416,SPN!AQ416,EPN!AQ416,SPD!AQ416,SPMW!AQ416,SSEH!AQ416,SSES!AQ416)</f>
        <v>0</v>
      </c>
      <c r="AR416" s="145"/>
      <c r="AS416" s="184"/>
      <c r="AT416" s="184"/>
      <c r="AU416" s="184"/>
      <c r="AV416" s="184"/>
      <c r="AW416" s="184"/>
    </row>
    <row r="417" spans="1:49" ht="15">
      <c r="A417" s="82"/>
      <c r="B417" s="82"/>
      <c r="C417" s="82"/>
      <c r="D417" s="82"/>
      <c r="E417" s="363" t="s">
        <v>521</v>
      </c>
      <c r="F417" s="82"/>
      <c r="G417" s="82" t="s">
        <v>302</v>
      </c>
      <c r="H417" s="82" t="s">
        <v>522</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5">
      <c r="A418" s="82"/>
      <c r="B418" s="82"/>
      <c r="C418" s="82"/>
      <c r="D418" s="82"/>
      <c r="E418" s="363" t="s">
        <v>523</v>
      </c>
      <c r="F418" s="82"/>
      <c r="G418" s="82" t="s">
        <v>302</v>
      </c>
      <c r="H418" s="82" t="s">
        <v>524</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19" priority="46" operator="equal">
      <formula>FALSE()</formula>
    </cfRule>
  </conditionalFormatting>
  <conditionalFormatting sqref="I363">
    <cfRule type="cellIs" dxfId="118" priority="18" operator="equal">
      <formula>FALSE()</formula>
    </cfRule>
  </conditionalFormatting>
  <conditionalFormatting sqref="K211:AQ217 AW211:AW217">
    <cfRule type="cellIs" dxfId="117" priority="43" operator="equal">
      <formula>FALSE()</formula>
    </cfRule>
  </conditionalFormatting>
  <conditionalFormatting sqref="K8:AW210">
    <cfRule type="cellIs" dxfId="116" priority="33" operator="equal">
      <formula>FALSE()</formula>
    </cfRule>
  </conditionalFormatting>
  <conditionalFormatting sqref="K218:AW419">
    <cfRule type="cellIs" dxfId="115" priority="1" operator="equal">
      <formula>FALSE()</formula>
    </cfRule>
  </conditionalFormatting>
  <conditionalFormatting sqref="AQ351:AQ352">
    <cfRule type="cellIs" dxfId="114" priority="21" operator="equal">
      <formula>FALSE()</formula>
    </cfRule>
  </conditionalFormatting>
  <conditionalFormatting sqref="AQ354:AQ357">
    <cfRule type="cellIs" dxfId="113" priority="20" operator="equal">
      <formula>FALSE()</formula>
    </cfRule>
  </conditionalFormatting>
  <conditionalFormatting sqref="AQ362">
    <cfRule type="cellIs" dxfId="112" priority="19" operator="equal">
      <formula>FALSE()</formula>
    </cfRule>
  </conditionalFormatting>
  <conditionalFormatting sqref="AQ367:AQ369">
    <cfRule type="cellIs" dxfId="111" priority="17" operator="equal">
      <formula>FALSE()</formula>
    </cfRule>
  </conditionalFormatting>
  <conditionalFormatting sqref="AQ371:AQ373">
    <cfRule type="cellIs" dxfId="110" priority="16" operator="equal">
      <formula>FALSE()</formula>
    </cfRule>
  </conditionalFormatting>
  <conditionalFormatting sqref="AQ377:AQ380">
    <cfRule type="cellIs" dxfId="109" priority="14" operator="equal">
      <formula>FALSE()</formula>
    </cfRule>
  </conditionalFormatting>
  <conditionalFormatting sqref="AQ384:AQ385">
    <cfRule type="cellIs" dxfId="108" priority="13" operator="equal">
      <formula>FALSE()</formula>
    </cfRule>
  </conditionalFormatting>
  <conditionalFormatting sqref="AQ387:AQ388">
    <cfRule type="cellIs" dxfId="107" priority="12" operator="equal">
      <formula>FALSE()</formula>
    </cfRule>
  </conditionalFormatting>
  <conditionalFormatting sqref="AQ390:AQ391">
    <cfRule type="cellIs" dxfId="106" priority="11" operator="equal">
      <formula>FALSE()</formula>
    </cfRule>
  </conditionalFormatting>
  <conditionalFormatting sqref="AQ393:AQ394">
    <cfRule type="cellIs" dxfId="105" priority="10" operator="equal">
      <formula>FALSE()</formula>
    </cfRule>
  </conditionalFormatting>
  <conditionalFormatting sqref="AQ396:AQ397">
    <cfRule type="cellIs" dxfId="104" priority="9" operator="equal">
      <formula>FALSE()</formula>
    </cfRule>
  </conditionalFormatting>
  <conditionalFormatting sqref="AQ399:AQ400">
    <cfRule type="cellIs" dxfId="103" priority="8" operator="equal">
      <formula>FALSE()</formula>
    </cfRule>
  </conditionalFormatting>
  <conditionalFormatting sqref="AQ402:AQ403">
    <cfRule type="cellIs" dxfId="102" priority="7" operator="equal">
      <formula>FALSE()</formula>
    </cfRule>
  </conditionalFormatting>
  <conditionalFormatting sqref="AQ405:AQ406">
    <cfRule type="cellIs" dxfId="101" priority="6" operator="equal">
      <formula>FALSE()</formula>
    </cfRule>
  </conditionalFormatting>
  <conditionalFormatting sqref="AQ408:AQ409">
    <cfRule type="cellIs" dxfId="100" priority="5" operator="equal">
      <formula>FALSE()</formula>
    </cfRule>
  </conditionalFormatting>
  <conditionalFormatting sqref="AQ411">
    <cfRule type="cellIs" dxfId="99" priority="4" operator="equal">
      <formula>FALSE()</formula>
    </cfRule>
  </conditionalFormatting>
  <conditionalFormatting sqref="AQ413:AQ414">
    <cfRule type="cellIs" dxfId="98" priority="3" operator="equal">
      <formula>FALSE()</formula>
    </cfRule>
  </conditionalFormatting>
  <conditionalFormatting sqref="AQ416:AQ418">
    <cfRule type="cellIs" dxfId="97" priority="2" operator="equal">
      <formula>FALSE()</formula>
    </cfRule>
  </conditionalFormatting>
  <conditionalFormatting sqref="AR211:AV211">
    <cfRule type="cellIs" dxfId="96" priority="42" operator="equal">
      <formula>FALSE()</formula>
    </cfRule>
  </conditionalFormatting>
  <conditionalFormatting sqref="AR213:AV217">
    <cfRule type="cellIs" dxfId="95"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142875</xdr:colOff>
                    <xdr:row>0</xdr:row>
                    <xdr:rowOff>28575</xdr:rowOff>
                  </from>
                  <to>
                    <xdr:col>7</xdr:col>
                    <xdr:colOff>152400</xdr:colOff>
                    <xdr:row>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261"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49" ht="19.5">
      <c r="A1" s="195" t="s">
        <v>538</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49" ht="15">
      <c r="A2" s="181"/>
      <c r="B2" s="157" t="str">
        <f>UserInterface!E30</f>
        <v>NPgN</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5">
      <c r="A6" s="82"/>
      <c r="B6" s="37" t="s">
        <v>540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5">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5">
      <c r="A8" s="82"/>
      <c r="B8" s="2"/>
      <c r="C8" s="28" t="s">
        <v>541</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5">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5">
      <c r="A10" s="82"/>
      <c r="B10" s="2"/>
      <c r="C10" s="2"/>
      <c r="D10" s="2"/>
      <c r="E10" s="7" t="s">
        <v>542</v>
      </c>
      <c r="F10" s="7"/>
      <c r="G10" s="7" t="s">
        <v>277</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5">
      <c r="A11" s="82"/>
      <c r="B11" s="2"/>
      <c r="C11" s="2"/>
      <c r="D11" s="2"/>
      <c r="E11" s="7" t="s">
        <v>543</v>
      </c>
      <c r="F11" s="7"/>
      <c r="G11" s="7" t="s">
        <v>277</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5">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5">
      <c r="A13" s="82"/>
      <c r="B13" s="2"/>
      <c r="C13" s="2"/>
      <c r="D13" s="2"/>
      <c r="E13" s="7" t="s">
        <v>544</v>
      </c>
      <c r="F13" s="7"/>
      <c r="G13" s="7" t="s">
        <v>277</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5">
      <c r="A14" s="82"/>
      <c r="B14" s="2"/>
      <c r="C14" s="2"/>
      <c r="D14" s="2"/>
      <c r="E14" s="7" t="s">
        <v>545</v>
      </c>
      <c r="F14" s="7"/>
      <c r="G14" s="7" t="s">
        <v>277</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5">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5">
      <c r="A16" s="82"/>
      <c r="B16" s="2"/>
      <c r="C16" s="2"/>
      <c r="D16" s="2"/>
      <c r="E16" s="2" t="s">
        <v>546</v>
      </c>
      <c r="F16" s="7"/>
      <c r="G16" s="7" t="s">
        <v>547</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5">
      <c r="A17" s="82"/>
      <c r="B17" s="2"/>
      <c r="C17" s="2"/>
      <c r="D17" s="2"/>
      <c r="E17" s="7" t="s">
        <v>548</v>
      </c>
      <c r="F17" s="7"/>
      <c r="G17" s="7" t="s">
        <v>547</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5">
      <c r="A18" s="82"/>
      <c r="B18" s="2"/>
      <c r="C18" s="2"/>
      <c r="D18" s="2"/>
      <c r="E18" s="7" t="s">
        <v>549</v>
      </c>
      <c r="F18" s="7"/>
      <c r="G18" s="7" t="s">
        <v>547</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5">
      <c r="A20" s="82"/>
      <c r="B20" s="82"/>
      <c r="C20" s="82"/>
      <c r="D20" s="82"/>
      <c r="E20" s="34" t="s">
        <v>542</v>
      </c>
      <c r="F20" s="82"/>
      <c r="G20" s="7" t="s">
        <v>547</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5">
      <c r="A21" s="82"/>
      <c r="B21" s="82"/>
      <c r="C21" s="82"/>
      <c r="D21" s="82"/>
      <c r="E21" s="34" t="s">
        <v>544</v>
      </c>
      <c r="F21" s="82"/>
      <c r="G21" s="7" t="s">
        <v>547</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5">
      <c r="A22" s="82"/>
      <c r="B22" s="82"/>
      <c r="C22" s="82"/>
      <c r="D22" s="82"/>
      <c r="E22" s="34" t="s">
        <v>550</v>
      </c>
      <c r="F22" s="82"/>
      <c r="G22" s="7" t="s">
        <v>547</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5">
      <c r="A23" s="82"/>
      <c r="B23" s="82"/>
      <c r="C23" s="82"/>
      <c r="D23" s="82"/>
      <c r="E23" s="34" t="s">
        <v>551</v>
      </c>
      <c r="F23" s="82"/>
      <c r="G23" s="7" t="s">
        <v>547</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5">
      <c r="A25" s="82"/>
      <c r="B25" s="37" t="s">
        <v>552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5">
      <c r="A27" s="82"/>
      <c r="B27" s="2"/>
      <c r="C27" s="28" t="s">
        <v>102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5">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5">
      <c r="A29" s="82"/>
      <c r="B29" s="82"/>
      <c r="C29" s="82"/>
      <c r="D29" s="10" t="s">
        <v>553</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5">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5">
      <c r="A31" s="82"/>
      <c r="B31" s="82"/>
      <c r="C31" s="82"/>
      <c r="D31" s="2"/>
      <c r="E31" s="13" t="s">
        <v>104</v>
      </c>
      <c r="F31" s="13"/>
      <c r="G31" s="2" t="s">
        <v>105</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16.82</v>
      </c>
      <c r="AS31" s="30">
        <f>SelectedInputs!AS15</f>
        <v>18.329999999999998</v>
      </c>
      <c r="AT31" s="30">
        <f>SelectedInputs!AT15</f>
        <v>11.69</v>
      </c>
      <c r="AU31" s="30">
        <f>SelectedInputs!AU15</f>
        <v>13.81</v>
      </c>
      <c r="AV31" s="30">
        <f>SelectedInputs!AV15</f>
        <v>12.08</v>
      </c>
      <c r="AW31" s="378"/>
    </row>
    <row r="32" spans="1:49" ht="15">
      <c r="A32" s="82"/>
      <c r="B32" s="82"/>
      <c r="C32" s="82"/>
      <c r="D32" s="2"/>
      <c r="E32" s="13" t="s">
        <v>106</v>
      </c>
      <c r="F32" s="13"/>
      <c r="G32" s="2" t="s">
        <v>105</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32.630000000000003</v>
      </c>
      <c r="AS32" s="30">
        <f>SelectedInputs!AS16</f>
        <v>34.89</v>
      </c>
      <c r="AT32" s="30">
        <f>SelectedInputs!AT16</f>
        <v>36.58</v>
      </c>
      <c r="AU32" s="30">
        <f>SelectedInputs!AU16</f>
        <v>39.92</v>
      </c>
      <c r="AV32" s="30">
        <f>SelectedInputs!AV16</f>
        <v>40.36</v>
      </c>
      <c r="AW32" s="378"/>
    </row>
    <row r="33" spans="1:49" ht="15">
      <c r="A33" s="82"/>
      <c r="B33" s="82"/>
      <c r="C33" s="82"/>
      <c r="D33" s="2"/>
      <c r="E33" s="13" t="s">
        <v>107</v>
      </c>
      <c r="F33" s="165"/>
      <c r="G33" s="2" t="s">
        <v>105</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18.66</v>
      </c>
      <c r="AS33" s="30">
        <f>SelectedInputs!AS17</f>
        <v>20.69</v>
      </c>
      <c r="AT33" s="30">
        <f>SelectedInputs!AT17</f>
        <v>19.399999999999999</v>
      </c>
      <c r="AU33" s="30">
        <f>SelectedInputs!AU17</f>
        <v>21.5</v>
      </c>
      <c r="AV33" s="30">
        <f>SelectedInputs!AV17</f>
        <v>21.18</v>
      </c>
      <c r="AW33" s="378"/>
    </row>
    <row r="34" spans="1:49" ht="15">
      <c r="A34" s="82"/>
      <c r="B34" s="82"/>
      <c r="C34" s="82"/>
      <c r="D34" s="2"/>
      <c r="E34" s="13" t="s">
        <v>108</v>
      </c>
      <c r="F34" s="165"/>
      <c r="G34" s="2" t="s">
        <v>105</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23.68</v>
      </c>
      <c r="AS34" s="30">
        <f>SelectedInputs!AS18</f>
        <v>23.9</v>
      </c>
      <c r="AT34" s="30">
        <f>SelectedInputs!AT18</f>
        <v>23.91</v>
      </c>
      <c r="AU34" s="30">
        <f>SelectedInputs!AU18</f>
        <v>24.67</v>
      </c>
      <c r="AV34" s="30">
        <f>SelectedInputs!AV18</f>
        <v>24.25</v>
      </c>
      <c r="AW34" s="378"/>
    </row>
    <row r="35" spans="1:49" ht="15">
      <c r="A35" s="82"/>
      <c r="B35" s="82"/>
      <c r="C35" s="82"/>
      <c r="D35" s="2"/>
      <c r="E35" s="13" t="s">
        <v>109</v>
      </c>
      <c r="F35" s="165"/>
      <c r="G35" s="2" t="s">
        <v>105</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3.87</v>
      </c>
      <c r="AS35" s="30">
        <f>SelectedInputs!AS19</f>
        <v>3.59</v>
      </c>
      <c r="AT35" s="30">
        <f>SelectedInputs!AT19</f>
        <v>3.58</v>
      </c>
      <c r="AU35" s="30">
        <f>SelectedInputs!AU19</f>
        <v>3.87</v>
      </c>
      <c r="AV35" s="30">
        <f>SelectedInputs!AV19</f>
        <v>3.59</v>
      </c>
      <c r="AW35" s="378"/>
    </row>
    <row r="36" spans="1:49" ht="15">
      <c r="A36" s="82"/>
      <c r="B36" s="82"/>
      <c r="C36" s="82"/>
      <c r="D36" s="2"/>
      <c r="E36" s="13" t="s">
        <v>110</v>
      </c>
      <c r="F36" s="165"/>
      <c r="G36" s="2" t="s">
        <v>105</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6.38</v>
      </c>
      <c r="AS36" s="30">
        <f>SelectedInputs!AS20</f>
        <v>6.43</v>
      </c>
      <c r="AT36" s="30">
        <f>SelectedInputs!AT20</f>
        <v>6.32</v>
      </c>
      <c r="AU36" s="30">
        <f>SelectedInputs!AU20</f>
        <v>6.46</v>
      </c>
      <c r="AV36" s="30">
        <f>SelectedInputs!AV20</f>
        <v>6.34</v>
      </c>
      <c r="AW36" s="378"/>
    </row>
    <row r="37" spans="1:49" ht="15">
      <c r="A37" s="82"/>
      <c r="B37" s="82"/>
      <c r="C37" s="82"/>
      <c r="D37" s="2"/>
      <c r="E37" s="13" t="s">
        <v>111</v>
      </c>
      <c r="F37" s="165"/>
      <c r="G37" s="2" t="s">
        <v>105</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74.099999999999994</v>
      </c>
      <c r="AS37" s="30">
        <f>SelectedInputs!AS21</f>
        <v>74.42</v>
      </c>
      <c r="AT37" s="30">
        <f>SelectedInputs!AT21</f>
        <v>72.94</v>
      </c>
      <c r="AU37" s="30">
        <f>SelectedInputs!AU21</f>
        <v>74.12</v>
      </c>
      <c r="AV37" s="30">
        <f>SelectedInputs!AV21</f>
        <v>72.540000000000006</v>
      </c>
      <c r="AW37" s="378"/>
    </row>
    <row r="38" spans="1:49" ht="15">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5">
      <c r="A39" s="82"/>
      <c r="B39" s="82"/>
      <c r="C39" s="82"/>
      <c r="D39" s="10" t="s">
        <v>554</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5">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5">
      <c r="A41" s="82"/>
      <c r="B41" s="82"/>
      <c r="C41" s="82"/>
      <c r="D41" s="2"/>
      <c r="E41" s="13" t="s">
        <v>555</v>
      </c>
      <c r="F41" s="13"/>
      <c r="G41" s="2" t="s">
        <v>105</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AR312</f>
        <v>-0.6769781661121127</v>
      </c>
      <c r="AS41" s="7">
        <f t="shared" si="7"/>
        <v>-0.54403533023630757</v>
      </c>
      <c r="AT41" s="7">
        <f t="shared" si="7"/>
        <v>-0.37308072665052505</v>
      </c>
      <c r="AU41" s="7">
        <f t="shared" si="7"/>
        <v>-0.27657371447993723</v>
      </c>
      <c r="AV41" s="7">
        <f t="shared" si="7"/>
        <v>-0.15746082015646923</v>
      </c>
      <c r="AW41" s="285"/>
    </row>
    <row r="42" spans="1:49" ht="15">
      <c r="A42" s="82"/>
      <c r="B42" s="82"/>
      <c r="C42" s="82"/>
      <c r="D42" s="2"/>
      <c r="E42" s="13" t="s">
        <v>556</v>
      </c>
      <c r="F42" s="13"/>
      <c r="G42" s="2" t="s">
        <v>105</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24.837222203495262</v>
      </c>
      <c r="AS42" s="7">
        <f t="shared" si="7"/>
        <v>26.116717073317727</v>
      </c>
      <c r="AT42" s="7">
        <f t="shared" si="7"/>
        <v>25.717622907746833</v>
      </c>
      <c r="AU42" s="7">
        <f t="shared" si="7"/>
        <v>27.562813403850061</v>
      </c>
      <c r="AV42" s="7">
        <f t="shared" si="7"/>
        <v>30.209943280809611</v>
      </c>
    </row>
    <row r="43" spans="1:49" ht="15">
      <c r="A43" s="82"/>
      <c r="B43" s="82"/>
      <c r="C43" s="82"/>
      <c r="D43" s="2"/>
      <c r="E43" s="13" t="s">
        <v>557</v>
      </c>
      <c r="F43" s="165"/>
      <c r="G43" s="2" t="s">
        <v>105</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2.124541901435745</v>
      </c>
      <c r="AS43" s="7">
        <f t="shared" si="7"/>
        <v>5.2367339361422616</v>
      </c>
      <c r="AT43" s="7">
        <f t="shared" si="7"/>
        <v>3.6658767210733179</v>
      </c>
      <c r="AU43" s="7">
        <f t="shared" si="7"/>
        <v>1.7846434535828279</v>
      </c>
      <c r="AV43" s="7">
        <f t="shared" si="7"/>
        <v>1.9698137996344132</v>
      </c>
    </row>
    <row r="44" spans="1:49" ht="15">
      <c r="A44" s="82"/>
      <c r="B44" s="82"/>
      <c r="C44" s="82"/>
      <c r="D44" s="2"/>
      <c r="E44" s="13" t="s">
        <v>558</v>
      </c>
      <c r="F44" s="165"/>
      <c r="G44" s="2" t="s">
        <v>105</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-1.1207884089311082</v>
      </c>
      <c r="AS44" s="7">
        <f t="shared" si="7"/>
        <v>-0.90069151813218473</v>
      </c>
      <c r="AT44" s="7">
        <f t="shared" si="7"/>
        <v>-0.61766327919688879</v>
      </c>
      <c r="AU44" s="7">
        <f t="shared" si="7"/>
        <v>-0.45788864238318766</v>
      </c>
      <c r="AV44" s="7">
        <f t="shared" si="7"/>
        <v>-0.26068826282195051</v>
      </c>
    </row>
    <row r="45" spans="1:49" ht="15">
      <c r="A45" s="82"/>
      <c r="B45" s="82"/>
      <c r="C45" s="82"/>
      <c r="D45" s="2"/>
      <c r="E45" s="13" t="s">
        <v>559</v>
      </c>
      <c r="F45" s="165"/>
      <c r="G45" s="2" t="s">
        <v>105</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-0.17219986350988706</v>
      </c>
      <c r="AS45" s="7">
        <f t="shared" si="7"/>
        <v>-0.13838379773644563</v>
      </c>
      <c r="AT45" s="7">
        <f t="shared" si="7"/>
        <v>-9.4898851134809753E-2</v>
      </c>
      <c r="AU45" s="7">
        <f t="shared" si="7"/>
        <v>-7.0350800465816557E-2</v>
      </c>
      <c r="AV45" s="7">
        <f t="shared" si="7"/>
        <v>-4.0052594155021048E-2</v>
      </c>
    </row>
    <row r="46" spans="1:49" ht="15">
      <c r="A46" s="82"/>
      <c r="B46" s="82"/>
      <c r="C46" s="82"/>
      <c r="D46" s="2"/>
      <c r="E46" s="13" t="s">
        <v>560</v>
      </c>
      <c r="F46" s="165"/>
      <c r="G46" s="2" t="s">
        <v>105</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-0.29720765631733481</v>
      </c>
      <c r="AS46" s="7">
        <f t="shared" si="7"/>
        <v>-0.23884295468782207</v>
      </c>
      <c r="AT46" s="7">
        <f t="shared" si="7"/>
        <v>-0.16379028739105272</v>
      </c>
      <c r="AU46" s="7">
        <f t="shared" si="7"/>
        <v>-0.12142167885802825</v>
      </c>
      <c r="AV46" s="7">
        <f t="shared" si="7"/>
        <v>-6.9128612506476866E-2</v>
      </c>
    </row>
    <row r="47" spans="1:49" ht="15">
      <c r="A47" s="82"/>
      <c r="B47" s="82"/>
      <c r="C47" s="82"/>
      <c r="D47" s="2"/>
      <c r="E47" s="13" t="s">
        <v>561</v>
      </c>
      <c r="F47" s="165"/>
      <c r="G47" s="2" t="s">
        <v>105</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-1.5905068982774377</v>
      </c>
      <c r="AS47" s="7">
        <f t="shared" si="7"/>
        <v>-0.9639369236884372</v>
      </c>
      <c r="AT47" s="7">
        <f t="shared" si="7"/>
        <v>-1.5678299349946854</v>
      </c>
      <c r="AU47" s="7">
        <f t="shared" si="7"/>
        <v>-1.1828505029610397</v>
      </c>
      <c r="AV47" s="7">
        <f t="shared" si="7"/>
        <v>-0.58647580635421026</v>
      </c>
    </row>
    <row r="48" spans="1:49" ht="15">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5">
      <c r="A49" s="82"/>
      <c r="B49" s="82"/>
      <c r="C49" s="82"/>
      <c r="D49" s="10" t="s">
        <v>562</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5">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5">
      <c r="A51" s="82"/>
      <c r="B51" s="82"/>
      <c r="C51" s="82"/>
      <c r="D51" s="2"/>
      <c r="E51" s="13" t="s">
        <v>555</v>
      </c>
      <c r="F51" s="13"/>
      <c r="G51" s="2" t="s">
        <v>105</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AR321</f>
        <v>11.109508885725045</v>
      </c>
      <c r="AS51" s="7">
        <f t="shared" si="8"/>
        <v>11.362149074725234</v>
      </c>
      <c r="AT51" s="7">
        <f t="shared" si="8"/>
        <v>14.868853789553159</v>
      </c>
      <c r="AU51" s="7">
        <f t="shared" si="8"/>
        <v>16.378078089363097</v>
      </c>
      <c r="AV51" s="7">
        <f t="shared" si="8"/>
        <v>17.248389827127642</v>
      </c>
    </row>
    <row r="52" spans="1:48" ht="15">
      <c r="A52" s="82"/>
      <c r="B52" s="82"/>
      <c r="C52" s="82"/>
      <c r="D52" s="2"/>
      <c r="E52" s="13" t="s">
        <v>556</v>
      </c>
      <c r="F52" s="13"/>
      <c r="G52" s="2" t="s">
        <v>105</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3.0681071497348982</v>
      </c>
      <c r="AS52" s="7">
        <f t="shared" si="8"/>
        <v>6.4995191196677577</v>
      </c>
      <c r="AT52" s="7">
        <f t="shared" si="8"/>
        <v>8.4248160609864655</v>
      </c>
      <c r="AU52" s="7">
        <f t="shared" si="8"/>
        <v>-3.4018277184195977E-2</v>
      </c>
      <c r="AV52" s="7">
        <f t="shared" si="8"/>
        <v>5.3226245026731345E-2</v>
      </c>
    </row>
    <row r="53" spans="1:48" ht="15">
      <c r="A53" s="82"/>
      <c r="B53" s="82"/>
      <c r="C53" s="82"/>
      <c r="D53" s="2"/>
      <c r="E53" s="13" t="s">
        <v>557</v>
      </c>
      <c r="F53" s="165"/>
      <c r="G53" s="2" t="s">
        <v>105</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1.3567828843754117</v>
      </c>
      <c r="AS53" s="7">
        <f t="shared" si="8"/>
        <v>5.8228996376647384</v>
      </c>
      <c r="AT53" s="7">
        <f t="shared" si="8"/>
        <v>3.6844292058871524</v>
      </c>
      <c r="AU53" s="7">
        <f t="shared" si="8"/>
        <v>1.2534731346989161</v>
      </c>
      <c r="AV53" s="7">
        <f t="shared" si="8"/>
        <v>1.0120070437258475</v>
      </c>
    </row>
    <row r="54" spans="1:48" ht="15">
      <c r="A54" s="82"/>
      <c r="B54" s="82"/>
      <c r="C54" s="82"/>
      <c r="D54" s="2"/>
      <c r="E54" s="13" t="s">
        <v>558</v>
      </c>
      <c r="F54" s="165"/>
      <c r="G54" s="2" t="s">
        <v>105</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7.3691932467225369E-3</v>
      </c>
      <c r="AS54" s="7">
        <f t="shared" si="8"/>
        <v>0.11527752235129568</v>
      </c>
      <c r="AT54" s="7">
        <f t="shared" si="8"/>
        <v>1.2534244697641355</v>
      </c>
      <c r="AU54" s="7">
        <f t="shared" si="8"/>
        <v>12.246446609108023</v>
      </c>
      <c r="AV54" s="7">
        <f t="shared" si="8"/>
        <v>12.243548653127828</v>
      </c>
    </row>
    <row r="55" spans="1:48" ht="15">
      <c r="A55" s="82"/>
      <c r="B55" s="82"/>
      <c r="C55" s="82"/>
      <c r="D55" s="2"/>
      <c r="E55" s="13" t="s">
        <v>559</v>
      </c>
      <c r="F55" s="165"/>
      <c r="G55" s="2" t="s">
        <v>105</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5">
      <c r="A56" s="82"/>
      <c r="B56" s="82"/>
      <c r="C56" s="82"/>
      <c r="D56" s="2"/>
      <c r="E56" s="13" t="s">
        <v>560</v>
      </c>
      <c r="F56" s="165"/>
      <c r="G56" s="2" t="s">
        <v>105</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5">
      <c r="A57" s="82"/>
      <c r="B57" s="82"/>
      <c r="C57" s="82"/>
      <c r="D57" s="2"/>
      <c r="E57" s="13" t="s">
        <v>561</v>
      </c>
      <c r="F57" s="165"/>
      <c r="G57" s="2" t="s">
        <v>105</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1.4614422850754316</v>
      </c>
      <c r="AS57" s="7">
        <f t="shared" si="8"/>
        <v>1.2608755353959884</v>
      </c>
      <c r="AT57" s="7">
        <f t="shared" si="8"/>
        <v>2.3017574069711797</v>
      </c>
      <c r="AU57" s="7">
        <f t="shared" si="8"/>
        <v>2.1202227018493569</v>
      </c>
      <c r="AV57" s="7">
        <f t="shared" si="8"/>
        <v>2.3321880596392819</v>
      </c>
    </row>
    <row r="58" spans="1:48" ht="15">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5">
      <c r="A59" s="82"/>
      <c r="B59" s="82"/>
      <c r="C59" s="82"/>
      <c r="D59" s="10" t="s">
        <v>563</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5">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5">
      <c r="A61" s="82"/>
      <c r="B61" s="82"/>
      <c r="C61" s="82"/>
      <c r="D61" s="2"/>
      <c r="E61" s="13" t="s">
        <v>129</v>
      </c>
      <c r="F61" s="2"/>
      <c r="G61" s="2" t="s">
        <v>105</v>
      </c>
      <c r="H61" s="2" t="s">
        <v>130</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2.8140856308726772</v>
      </c>
      <c r="AS61" s="8">
        <f>SelectedInputs!AS126</f>
        <v>6.3904257744694846</v>
      </c>
      <c r="AT61" s="8">
        <f>SelectedInputs!AT126</f>
        <v>18.405639178876747</v>
      </c>
      <c r="AU61" s="8">
        <f>SelectedInputs!AU126</f>
        <v>23.541823364144673</v>
      </c>
      <c r="AV61" s="8">
        <f>SelectedInputs!AV126</f>
        <v>25.439452135175944</v>
      </c>
    </row>
    <row r="62" spans="1:48" ht="15">
      <c r="A62" s="82"/>
      <c r="B62" s="82"/>
      <c r="C62" s="82"/>
      <c r="D62" s="2"/>
      <c r="E62" s="13" t="s">
        <v>131</v>
      </c>
      <c r="F62" s="2"/>
      <c r="G62" s="2" t="s">
        <v>105</v>
      </c>
      <c r="H62" s="2" t="s">
        <v>132</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27.319845513636757</v>
      </c>
      <c r="AS62" s="8">
        <f>SelectedInputs!AS127</f>
        <v>64.534836989577983</v>
      </c>
      <c r="AT62" s="8">
        <f>SelectedInputs!AT127</f>
        <v>60.774380008401863</v>
      </c>
      <c r="AU62" s="8">
        <f>SelectedInputs!AU127</f>
        <v>73.823018281954816</v>
      </c>
      <c r="AV62" s="8">
        <f>SelectedInputs!AV127</f>
        <v>65.864720590509279</v>
      </c>
    </row>
    <row r="63" spans="1:48" ht="15">
      <c r="A63" s="82"/>
      <c r="B63" s="82"/>
      <c r="C63" s="82"/>
      <c r="D63" s="2"/>
      <c r="E63" s="13" t="s">
        <v>133</v>
      </c>
      <c r="F63" s="2"/>
      <c r="G63" s="2" t="s">
        <v>105</v>
      </c>
      <c r="H63" s="2" t="s">
        <v>134</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11.565316967991961</v>
      </c>
      <c r="AS63" s="8">
        <f>SelectedInputs!AS128</f>
        <v>28.919879323767866</v>
      </c>
      <c r="AT63" s="8">
        <f>SelectedInputs!AT128</f>
        <v>27.729811663215745</v>
      </c>
      <c r="AU63" s="8">
        <f>SelectedInputs!AU128</f>
        <v>20.811019180538889</v>
      </c>
      <c r="AV63" s="8">
        <f>SelectedInputs!AV128</f>
        <v>15.591372787257452</v>
      </c>
    </row>
    <row r="64" spans="1:48" ht="15">
      <c r="A64" s="82"/>
      <c r="B64" s="82"/>
      <c r="C64" s="82"/>
      <c r="D64" s="2"/>
      <c r="E64" s="13" t="s">
        <v>135</v>
      </c>
      <c r="F64" s="2"/>
      <c r="G64" s="2" t="s">
        <v>105</v>
      </c>
      <c r="H64" s="2" t="s">
        <v>136</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36.658867752890153</v>
      </c>
      <c r="AS64" s="8">
        <f>SelectedInputs!AS129</f>
        <v>29.396527159817936</v>
      </c>
      <c r="AT64" s="8">
        <f>SelectedInputs!AT129</f>
        <v>29.517895030126866</v>
      </c>
      <c r="AU64" s="8">
        <f>SelectedInputs!AU129</f>
        <v>29.52019485561727</v>
      </c>
      <c r="AV64" s="8">
        <f>SelectedInputs!AV129</f>
        <v>29.522714097147016</v>
      </c>
    </row>
    <row r="65" spans="1:48" ht="15">
      <c r="A65" s="82"/>
      <c r="B65" s="82"/>
      <c r="C65" s="82"/>
      <c r="D65" s="2"/>
      <c r="E65" s="13" t="s">
        <v>137</v>
      </c>
      <c r="F65" s="2"/>
      <c r="G65" s="2" t="s">
        <v>105</v>
      </c>
      <c r="H65" s="2" t="s">
        <v>138</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3.0548757455097566</v>
      </c>
      <c r="AS65" s="8">
        <f>SelectedInputs!AS130</f>
        <v>5.6362769798234789</v>
      </c>
      <c r="AT65" s="8">
        <f>SelectedInputs!AT130</f>
        <v>6.0190972115841674</v>
      </c>
      <c r="AU65" s="8">
        <f>SelectedInputs!AU130</f>
        <v>3.9089394138452325</v>
      </c>
      <c r="AV65" s="8">
        <f>SelectedInputs!AV130</f>
        <v>4.1546816265198752</v>
      </c>
    </row>
    <row r="66" spans="1:48" ht="15">
      <c r="A66" s="82"/>
      <c r="B66" s="82"/>
      <c r="C66" s="82"/>
      <c r="D66" s="2"/>
      <c r="E66" s="13" t="s">
        <v>564</v>
      </c>
      <c r="F66" s="2"/>
      <c r="G66" s="2" t="s">
        <v>105</v>
      </c>
      <c r="H66" s="2" t="s">
        <v>140</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5.6778773372069278</v>
      </c>
      <c r="AS66" s="8">
        <f>SelectedInputs!AS131</f>
        <v>5.6924363314947737</v>
      </c>
      <c r="AT66" s="8">
        <f>SelectedInputs!AT131</f>
        <v>5.6924363314947737</v>
      </c>
      <c r="AU66" s="8">
        <f>SelectedInputs!AU131</f>
        <v>5.6924363314947719</v>
      </c>
      <c r="AV66" s="8">
        <f>SelectedInputs!AV131</f>
        <v>5.6924363314947719</v>
      </c>
    </row>
    <row r="67" spans="1:48" ht="15">
      <c r="A67" s="82"/>
      <c r="B67" s="82"/>
      <c r="C67" s="82"/>
      <c r="D67" s="2"/>
      <c r="E67" s="13" t="s">
        <v>141</v>
      </c>
      <c r="F67" s="2"/>
      <c r="G67" s="2" t="s">
        <v>105</v>
      </c>
      <c r="H67" s="2" t="s">
        <v>142</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61.817145365584103</v>
      </c>
      <c r="AS67" s="8">
        <f>SelectedInputs!AS132</f>
        <v>70.462727372389111</v>
      </c>
      <c r="AT67" s="8">
        <f>SelectedInputs!AT132</f>
        <v>70.569924706974305</v>
      </c>
      <c r="AU67" s="8">
        <f>SelectedInputs!AU132</f>
        <v>70.270957358762999</v>
      </c>
      <c r="AV67" s="8">
        <f>SelectedInputs!AV132</f>
        <v>70.243173260459372</v>
      </c>
    </row>
    <row r="68" spans="1:48" ht="15">
      <c r="A68" s="82"/>
      <c r="B68" s="82"/>
      <c r="C68" s="82"/>
      <c r="D68" s="2"/>
      <c r="E68" s="13" t="s">
        <v>565</v>
      </c>
      <c r="F68" s="2"/>
      <c r="G68" s="2" t="s">
        <v>105</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148.90801431369232</v>
      </c>
      <c r="AS68" s="526">
        <f>SUM(AS61:AS67)</f>
        <v>211.03310993134065</v>
      </c>
      <c r="AT68" s="526">
        <f>SUM(AT61:AT67)</f>
        <v>218.70918413067443</v>
      </c>
      <c r="AU68" s="526">
        <f>SUM(AU61:AU67)</f>
        <v>227.5683887863587</v>
      </c>
      <c r="AV68" s="526">
        <f>SUM(AV61:AV67)</f>
        <v>216.50855082856373</v>
      </c>
    </row>
    <row r="69" spans="1:48" ht="15">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5">
      <c r="A70" s="82"/>
      <c r="B70" s="82"/>
      <c r="C70" s="82"/>
      <c r="D70" s="10" t="s">
        <v>566</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5">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5">
      <c r="A72" s="82"/>
      <c r="B72" s="82"/>
      <c r="C72" s="82"/>
      <c r="D72" s="2"/>
      <c r="E72" s="13" t="s">
        <v>129</v>
      </c>
      <c r="F72" s="2"/>
      <c r="G72" s="2" t="s">
        <v>105</v>
      </c>
      <c r="H72" s="2" t="s">
        <v>144</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11.29665380092912</v>
      </c>
      <c r="AS72" s="8">
        <f>SelectedInputs!AS135</f>
        <v>11.472829587295291</v>
      </c>
      <c r="AT72" s="8">
        <f>SelectedInputs!AT135</f>
        <v>15.133875573730423</v>
      </c>
      <c r="AU72" s="8">
        <f>SelectedInputs!AU135</f>
        <v>17.780157568350855</v>
      </c>
      <c r="AV72" s="8">
        <f>SelectedInputs!AV135</f>
        <v>18.670952862020624</v>
      </c>
    </row>
    <row r="73" spans="1:48" ht="15">
      <c r="A73" s="82"/>
      <c r="B73" s="82"/>
      <c r="C73" s="82"/>
      <c r="D73" s="2"/>
      <c r="E73" s="13" t="s">
        <v>131</v>
      </c>
      <c r="F73" s="2"/>
      <c r="G73" s="2" t="s">
        <v>105</v>
      </c>
      <c r="H73" s="2" t="s">
        <v>145</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3.0528335064589873</v>
      </c>
      <c r="AS73" s="8">
        <f>SelectedInputs!AS136</f>
        <v>6.3618183259846379</v>
      </c>
      <c r="AT73" s="8">
        <f>SelectedInputs!AT136</f>
        <v>8.9006180965567658</v>
      </c>
      <c r="AU73" s="8">
        <f>SelectedInputs!AU136</f>
        <v>9.5399499834123098</v>
      </c>
      <c r="AV73" s="8">
        <f>SelectedInputs!AV136</f>
        <v>9.6041136164505687</v>
      </c>
    </row>
    <row r="74" spans="1:48" ht="15">
      <c r="A74" s="82"/>
      <c r="B74" s="82"/>
      <c r="C74" s="82"/>
      <c r="D74" s="2"/>
      <c r="E74" s="13" t="s">
        <v>133</v>
      </c>
      <c r="F74" s="2"/>
      <c r="G74" s="2" t="s">
        <v>105</v>
      </c>
      <c r="H74" s="2" t="s">
        <v>146</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0.45533489636974073</v>
      </c>
      <c r="AS74" s="8">
        <f>SelectedInputs!AS137</f>
        <v>2.6743738989793688</v>
      </c>
      <c r="AT74" s="8">
        <f>SelectedInputs!AT137</f>
        <v>4.4158542724364525</v>
      </c>
      <c r="AU74" s="8">
        <f>SelectedInputs!AU137</f>
        <v>2.0365141789795858</v>
      </c>
      <c r="AV74" s="8">
        <f>SelectedInputs!AV137</f>
        <v>0.94328840592104912</v>
      </c>
    </row>
    <row r="75" spans="1:48" ht="15">
      <c r="A75" s="82"/>
      <c r="B75" s="82"/>
      <c r="C75" s="82"/>
      <c r="D75" s="2"/>
      <c r="E75" s="13" t="s">
        <v>135</v>
      </c>
      <c r="F75" s="2"/>
      <c r="G75" s="2" t="s">
        <v>105</v>
      </c>
      <c r="H75" s="2" t="s">
        <v>147</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v>
      </c>
      <c r="AU75" s="8">
        <f>SelectedInputs!AU138</f>
        <v>0</v>
      </c>
      <c r="AV75" s="8">
        <f>SelectedInputs!AV138</f>
        <v>0</v>
      </c>
    </row>
    <row r="76" spans="1:48" ht="15">
      <c r="A76" s="82"/>
      <c r="B76" s="82"/>
      <c r="C76" s="82"/>
      <c r="D76" s="2"/>
      <c r="E76" s="13" t="s">
        <v>137</v>
      </c>
      <c r="F76" s="2"/>
      <c r="G76" s="2" t="s">
        <v>105</v>
      </c>
      <c r="H76" s="2" t="s">
        <v>148</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5">
      <c r="A77" s="82"/>
      <c r="B77" s="82"/>
      <c r="C77" s="82"/>
      <c r="D77" s="2"/>
      <c r="E77" s="13" t="s">
        <v>564</v>
      </c>
      <c r="F77" s="2"/>
      <c r="G77" s="2" t="s">
        <v>105</v>
      </c>
      <c r="H77" s="2" t="s">
        <v>149</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5">
      <c r="A78" s="82"/>
      <c r="B78" s="82"/>
      <c r="C78" s="82"/>
      <c r="D78" s="2"/>
      <c r="E78" s="13" t="s">
        <v>141</v>
      </c>
      <c r="F78" s="2"/>
      <c r="G78" s="2" t="s">
        <v>105</v>
      </c>
      <c r="H78" s="2" t="s">
        <v>150</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0.8971457410428717</v>
      </c>
      <c r="AS78" s="8">
        <f>SelectedInputs!AS141</f>
        <v>2.1379186504283112</v>
      </c>
      <c r="AT78" s="8">
        <f>SelectedInputs!AT141</f>
        <v>3.61204853553562</v>
      </c>
      <c r="AU78" s="8">
        <f>SelectedInputs!AU141</f>
        <v>4.1961651518546859</v>
      </c>
      <c r="AV78" s="8">
        <f>SelectedInputs!AV141</f>
        <v>3.6250077422828069</v>
      </c>
    </row>
    <row r="79" spans="1:48" ht="15">
      <c r="A79" s="82"/>
      <c r="B79" s="82"/>
      <c r="C79" s="82"/>
      <c r="D79" s="2"/>
      <c r="E79" s="13" t="s">
        <v>567</v>
      </c>
      <c r="F79" s="2"/>
      <c r="G79" s="2" t="s">
        <v>105</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15.701967944800717</v>
      </c>
      <c r="AS79" s="526">
        <f>SUM(AS72:AS78)</f>
        <v>22.64694046268761</v>
      </c>
      <c r="AT79" s="526">
        <f>SUM(AT72:AT78)</f>
        <v>32.062396478259259</v>
      </c>
      <c r="AU79" s="526">
        <f>SUM(AU72:AU78)</f>
        <v>33.552786882597438</v>
      </c>
      <c r="AV79" s="526">
        <f>SUM(AV72:AV78)</f>
        <v>32.843362626675045</v>
      </c>
    </row>
    <row r="80" spans="1:48" ht="15">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5">
      <c r="A81" s="2"/>
      <c r="B81" s="2"/>
      <c r="C81" s="28" t="s">
        <v>151</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5">
      <c r="A83" s="82"/>
      <c r="B83" s="82"/>
      <c r="C83" s="82"/>
      <c r="D83" s="82"/>
      <c r="E83" s="13" t="s">
        <v>152</v>
      </c>
      <c r="F83" s="2"/>
      <c r="G83" s="2" t="s">
        <v>105</v>
      </c>
      <c r="H83" s="510" t="s">
        <v>153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1.4692298078497332</v>
      </c>
      <c r="AS83" s="8">
        <f>SelectedInputs!AS145</f>
        <v>1.4768824166242707</v>
      </c>
      <c r="AT83" s="8">
        <f>SelectedInputs!AT145</f>
        <v>1.4768824166242707</v>
      </c>
      <c r="AU83" s="8">
        <f>SelectedInputs!AU145</f>
        <v>1.4810361484210264</v>
      </c>
      <c r="AV83" s="8">
        <f>SelectedInputs!AV145</f>
        <v>1.4769438018232377</v>
      </c>
    </row>
    <row r="84" spans="1:48" ht="15">
      <c r="A84" s="82"/>
      <c r="B84" s="82"/>
      <c r="C84" s="82"/>
      <c r="D84" s="82"/>
      <c r="E84" s="82" t="s">
        <v>154</v>
      </c>
      <c r="F84" s="2"/>
      <c r="G84" s="2" t="s">
        <v>105</v>
      </c>
      <c r="H84" s="510" t="s">
        <v>155</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17.750569722785045</v>
      </c>
      <c r="AS84" s="8">
        <f>SelectedInputs!AS146</f>
        <v>18.825308214363279</v>
      </c>
      <c r="AT84" s="8">
        <f>SelectedInputs!AT146</f>
        <v>18.670174974407086</v>
      </c>
      <c r="AU84" s="8">
        <f>SelectedInputs!AU146</f>
        <v>23.622310233538517</v>
      </c>
      <c r="AV84" s="8">
        <f>SelectedInputs!AV146</f>
        <v>24.663190971866825</v>
      </c>
    </row>
    <row r="85" spans="1:48" ht="15">
      <c r="A85" s="82"/>
      <c r="B85" s="82"/>
      <c r="C85" s="82"/>
      <c r="D85" s="82"/>
      <c r="E85" s="13" t="s">
        <v>156</v>
      </c>
      <c r="F85" s="2"/>
      <c r="G85" s="2" t="s">
        <v>105</v>
      </c>
      <c r="H85" s="510" t="s">
        <v>157</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9.7121152211442947</v>
      </c>
      <c r="AS85" s="8">
        <f>SelectedInputs!AS147</f>
        <v>8.9322274128174826</v>
      </c>
      <c r="AT85" s="8">
        <f>SelectedInputs!AT147</f>
        <v>9.1126644525471807</v>
      </c>
      <c r="AU85" s="8">
        <f>SelectedInputs!AU147</f>
        <v>9.3313672974200514</v>
      </c>
      <c r="AV85" s="8">
        <f>SelectedInputs!AV147</f>
        <v>9.5651484941330729</v>
      </c>
    </row>
    <row r="86" spans="1:48" ht="15">
      <c r="A86" s="82"/>
      <c r="B86" s="82"/>
      <c r="C86" s="82"/>
      <c r="D86" s="82"/>
      <c r="E86" s="13" t="s">
        <v>158</v>
      </c>
      <c r="F86" s="2"/>
      <c r="G86" s="2" t="s">
        <v>105</v>
      </c>
      <c r="H86" s="510" t="s">
        <v>159</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1.4850082884799853</v>
      </c>
      <c r="AS86" s="8">
        <f>SelectedInputs!AS148</f>
        <v>1.4074241277662456</v>
      </c>
      <c r="AT86" s="8">
        <f>SelectedInputs!AT148</f>
        <v>1.4457486467592529</v>
      </c>
      <c r="AU86" s="8">
        <f>SelectedInputs!AU148</f>
        <v>1.4457486467592526</v>
      </c>
      <c r="AV86" s="8">
        <f>SelectedInputs!AV148</f>
        <v>1.4457486467592529</v>
      </c>
    </row>
    <row r="87" spans="1:48" ht="15">
      <c r="A87" s="82"/>
      <c r="B87" s="82"/>
      <c r="C87" s="82"/>
      <c r="D87" s="82"/>
      <c r="E87" s="13" t="s">
        <v>160</v>
      </c>
      <c r="F87" s="2"/>
      <c r="G87" s="2" t="s">
        <v>105</v>
      </c>
      <c r="H87" s="510" t="s">
        <v>161</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0.90713750180006369</v>
      </c>
      <c r="AS87" s="8">
        <f>SelectedInputs!AS149</f>
        <v>0.82018509608753154</v>
      </c>
      <c r="AT87" s="8">
        <f>SelectedInputs!AT149</f>
        <v>0.92208740904956776</v>
      </c>
      <c r="AU87" s="8">
        <f>SelectedInputs!AU149</f>
        <v>0.58181373026462968</v>
      </c>
      <c r="AV87" s="8">
        <f>SelectedInputs!AV149</f>
        <v>0.56300673199197881</v>
      </c>
    </row>
    <row r="88" spans="1:48" ht="15">
      <c r="A88" s="82"/>
      <c r="B88" s="82"/>
      <c r="C88" s="82"/>
      <c r="D88" s="82"/>
      <c r="E88" s="13" t="s">
        <v>162</v>
      </c>
      <c r="F88" s="2"/>
      <c r="G88" s="2" t="s">
        <v>105</v>
      </c>
      <c r="H88" s="510" t="s">
        <v>163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2.9122231599690771E-2</v>
      </c>
      <c r="AS88" s="8">
        <f>SelectedInputs!AS150</f>
        <v>2.9275362985932998E-2</v>
      </c>
      <c r="AT88" s="8">
        <f>SelectedInputs!AT150</f>
        <v>2.9563790207469284E-2</v>
      </c>
      <c r="AU88" s="8">
        <f>SelectedInputs!AU150</f>
        <v>2.985505907650839E-2</v>
      </c>
      <c r="AV88" s="8">
        <f>SelectedInputs!AV150</f>
        <v>3.0149197589577438E-2</v>
      </c>
    </row>
    <row r="89" spans="1:48" ht="15">
      <c r="A89" s="82"/>
      <c r="B89" s="82"/>
      <c r="C89" s="82"/>
      <c r="D89" s="82"/>
      <c r="E89" s="13" t="s">
        <v>164</v>
      </c>
      <c r="F89" s="2"/>
      <c r="G89" s="2" t="s">
        <v>105</v>
      </c>
      <c r="H89" s="510" t="s">
        <v>165</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11.323384838377768</v>
      </c>
      <c r="AS89" s="8">
        <f>SelectedInputs!AS151</f>
        <v>0.35551809874217427</v>
      </c>
      <c r="AT89" s="8">
        <f>SelectedInputs!AT151</f>
        <v>-0.41628174432014636</v>
      </c>
      <c r="AU89" s="8">
        <f>SelectedInputs!AU151</f>
        <v>0</v>
      </c>
      <c r="AV89" s="8">
        <f>SelectedInputs!AV151</f>
        <v>0</v>
      </c>
    </row>
    <row r="90" spans="1:48" ht="15">
      <c r="A90" s="82"/>
      <c r="B90" s="82"/>
      <c r="C90" s="82"/>
      <c r="D90" s="82"/>
      <c r="E90" s="13" t="s">
        <v>166</v>
      </c>
      <c r="F90" s="2"/>
      <c r="G90" s="2" t="s">
        <v>105</v>
      </c>
      <c r="H90" s="510" t="s">
        <v>167</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2.2895721493213395E-2</v>
      </c>
      <c r="AS90" s="8">
        <f>SelectedInputs!AS152</f>
        <v>9.1893176440402888E-2</v>
      </c>
      <c r="AT90" s="8">
        <f>SelectedInputs!AT152</f>
        <v>0</v>
      </c>
      <c r="AU90" s="8">
        <f>SelectedInputs!AU152</f>
        <v>0</v>
      </c>
      <c r="AV90" s="8">
        <f>SelectedInputs!AV152</f>
        <v>0</v>
      </c>
    </row>
    <row r="91" spans="1:48" ht="15">
      <c r="A91" s="82"/>
      <c r="B91" s="82"/>
      <c r="C91" s="82"/>
      <c r="D91" s="82"/>
      <c r="E91" s="82" t="s">
        <v>168</v>
      </c>
      <c r="F91" s="82"/>
      <c r="G91" s="2" t="s">
        <v>105</v>
      </c>
      <c r="H91" s="510" t="s">
        <v>169</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5.2299114725253526</v>
      </c>
      <c r="AS91" s="30">
        <f>SelectedInputs!AS153</f>
        <v>-31.882685707301704</v>
      </c>
      <c r="AT91" s="30">
        <f>SelectedInputs!AT153</f>
        <v>0</v>
      </c>
      <c r="AU91" s="30">
        <f>SelectedInputs!AU153</f>
        <v>0</v>
      </c>
      <c r="AV91" s="30">
        <f>SelectedInputs!AV153</f>
        <v>0</v>
      </c>
    </row>
    <row r="92" spans="1:48" ht="15">
      <c r="A92" s="82"/>
      <c r="B92" s="82"/>
      <c r="C92" s="82"/>
      <c r="D92" s="82"/>
      <c r="E92" s="82" t="s">
        <v>170</v>
      </c>
      <c r="F92" s="82"/>
      <c r="G92" s="2" t="s">
        <v>105</v>
      </c>
      <c r="H92" s="510" t="s">
        <v>171</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5">
      <c r="A93" s="82"/>
      <c r="B93" s="82"/>
      <c r="C93" s="82"/>
      <c r="D93" s="82"/>
      <c r="E93" s="82" t="s">
        <v>172</v>
      </c>
      <c r="F93" s="2"/>
      <c r="G93" s="2" t="s">
        <v>105</v>
      </c>
      <c r="H93" s="510" t="s">
        <v>173</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5">
      <c r="A94" s="82"/>
      <c r="B94" s="82"/>
      <c r="C94" s="82"/>
      <c r="D94" s="82"/>
      <c r="E94" s="82" t="s">
        <v>174</v>
      </c>
      <c r="F94" s="82"/>
      <c r="G94" s="82" t="s">
        <v>105</v>
      </c>
      <c r="H94" s="510" t="s">
        <v>175</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5">
      <c r="A95" s="82"/>
      <c r="B95" s="82"/>
      <c r="C95" s="82"/>
      <c r="D95" s="82"/>
      <c r="E95" s="182" t="s">
        <v>176</v>
      </c>
      <c r="F95" s="82"/>
      <c r="G95" s="82" t="s">
        <v>105</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5">
      <c r="A96" s="82"/>
      <c r="B96" s="82"/>
      <c r="C96" s="82"/>
      <c r="D96" s="82"/>
      <c r="E96" s="182" t="s">
        <v>176</v>
      </c>
      <c r="F96" s="82"/>
      <c r="G96" s="82" t="s">
        <v>105</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5">
      <c r="A97" s="82"/>
      <c r="B97" s="82"/>
      <c r="C97" s="82"/>
      <c r="D97" s="82"/>
      <c r="E97" s="13" t="s">
        <v>568</v>
      </c>
      <c r="F97" s="2"/>
      <c r="G97" s="2" t="s">
        <v>105</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47.929374806055144</v>
      </c>
      <c r="AS97" s="431">
        <f>SUM(AS83:AS91,AS93)-(AS92+AS94)+SUM(AS95:AS96)</f>
        <v>5.6028198525613249E-2</v>
      </c>
      <c r="AT97" s="431">
        <f>SUM(AT83:AT91,AT93)-(AT92+AT94)+SUM(AT95:AT96)</f>
        <v>31.240839945274683</v>
      </c>
      <c r="AU97" s="431">
        <f>SUM(AU83:AU91,AU93)-(AU92+AU94)+SUM(AU95:AU96)</f>
        <v>36.492131115479992</v>
      </c>
      <c r="AV97" s="431">
        <f>SUM(AV83:AV91,AV93)-(AV92+AV94)+SUM(AV95:AV96)</f>
        <v>37.744187844163946</v>
      </c>
    </row>
    <row r="98" spans="1:53" ht="1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5">
      <c r="A99" s="2"/>
      <c r="B99" s="2"/>
      <c r="C99" s="28" t="s">
        <v>177</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5">
      <c r="E101" s="82" t="s">
        <v>178</v>
      </c>
      <c r="G101" s="82" t="s">
        <v>105</v>
      </c>
      <c r="H101" s="82" t="s">
        <v>179</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-0.20195364155844167</v>
      </c>
      <c r="AS101" s="465">
        <f>SelectedInputs!AS162</f>
        <v>-4.1404200000000141E-2</v>
      </c>
      <c r="AT101" s="465">
        <f>SelectedInputs!AT162</f>
        <v>-4.1404200000000141E-2</v>
      </c>
      <c r="AU101" s="465">
        <f>SelectedInputs!AU162</f>
        <v>-4.1404200000000141E-2</v>
      </c>
      <c r="AV101" s="465">
        <f>SelectedInputs!AV162</f>
        <v>-4.1404200000000141E-2</v>
      </c>
      <c r="AW101" s="184"/>
      <c r="AX101" s="184"/>
      <c r="AY101" s="184"/>
      <c r="AZ101" s="184"/>
      <c r="BA101" s="184"/>
    </row>
    <row r="102" spans="1:53" s="82" customFormat="1" ht="15">
      <c r="E102" s="82" t="s">
        <v>180</v>
      </c>
      <c r="G102" s="82" t="s">
        <v>105</v>
      </c>
      <c r="H102" s="82" t="s">
        <v>181</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-1.0085909403399145</v>
      </c>
      <c r="AS102" s="465">
        <f>SelectedInputs!AS163</f>
        <v>0.46770000000000111</v>
      </c>
      <c r="AT102" s="465">
        <f>SelectedInputs!AT163</f>
        <v>0.46770000000000111</v>
      </c>
      <c r="AU102" s="465">
        <f>SelectedInputs!AU163</f>
        <v>0.46770000000000111</v>
      </c>
      <c r="AV102" s="465">
        <f>SelectedInputs!AV163</f>
        <v>0.46770000000000111</v>
      </c>
      <c r="AW102" s="184"/>
      <c r="AX102" s="184"/>
      <c r="AY102" s="184"/>
      <c r="AZ102" s="184"/>
      <c r="BA102" s="184"/>
    </row>
    <row r="103" spans="1:53" s="82" customFormat="1" ht="15">
      <c r="E103" s="82" t="s">
        <v>182</v>
      </c>
      <c r="G103" s="82" t="s">
        <v>105</v>
      </c>
      <c r="H103" s="82" t="s">
        <v>183</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-2.5490505498763509</v>
      </c>
      <c r="AS103" s="465">
        <f>SelectedInputs!AS164</f>
        <v>-3.5380389866993998</v>
      </c>
      <c r="AT103" s="465">
        <f>SelectedInputs!AT164</f>
        <v>-0.52438049594525138</v>
      </c>
      <c r="AU103" s="465">
        <f>SelectedInputs!AU164</f>
        <v>0.14197685052088882</v>
      </c>
      <c r="AV103" s="465">
        <f>SelectedInputs!AV164</f>
        <v>0.93430564092485946</v>
      </c>
      <c r="AW103" s="184"/>
      <c r="AX103" s="184"/>
      <c r="AY103" s="184"/>
      <c r="AZ103" s="184"/>
      <c r="BA103" s="184"/>
    </row>
    <row r="104" spans="1:53" s="82" customFormat="1" ht="15">
      <c r="E104" s="82" t="s">
        <v>184</v>
      </c>
      <c r="G104" s="82" t="s">
        <v>105</v>
      </c>
      <c r="H104" s="82" t="s">
        <v>185</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5">
      <c r="E105" s="82" t="s">
        <v>186</v>
      </c>
      <c r="G105" s="82" t="s">
        <v>105</v>
      </c>
      <c r="H105" s="82" t="s">
        <v>187</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0</v>
      </c>
      <c r="AT105" s="465">
        <f>SelectedInputs!AT166</f>
        <v>0</v>
      </c>
      <c r="AU105" s="465">
        <f>SelectedInputs!AU166</f>
        <v>0</v>
      </c>
      <c r="AV105" s="465">
        <f>SelectedInputs!AV166</f>
        <v>0</v>
      </c>
      <c r="AW105" s="184"/>
      <c r="AX105" s="184"/>
      <c r="AY105" s="184"/>
      <c r="AZ105" s="184"/>
      <c r="BA105" s="184"/>
    </row>
    <row r="106" spans="1:53" s="82" customFormat="1" ht="15">
      <c r="E106" s="82" t="s">
        <v>188</v>
      </c>
      <c r="G106" s="82" t="s">
        <v>105</v>
      </c>
      <c r="H106" s="82" t="s">
        <v>189</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0.30102000000000007</v>
      </c>
      <c r="AS106" s="465">
        <f>SelectedInputs!AS167</f>
        <v>0</v>
      </c>
      <c r="AT106" s="465">
        <f>SelectedInputs!AT167</f>
        <v>0</v>
      </c>
      <c r="AU106" s="465">
        <f>SelectedInputs!AU167</f>
        <v>0</v>
      </c>
      <c r="AV106" s="465">
        <f>SelectedInputs!AV167</f>
        <v>0</v>
      </c>
      <c r="AW106" s="184"/>
      <c r="AX106" s="184"/>
      <c r="AY106" s="184"/>
      <c r="AZ106" s="184"/>
      <c r="BA106" s="184"/>
    </row>
    <row r="107" spans="1:53" s="82" customFormat="1" ht="15">
      <c r="E107" s="82" t="s">
        <v>190</v>
      </c>
      <c r="G107" s="82" t="s">
        <v>105</v>
      </c>
      <c r="H107" s="82" t="s">
        <v>191</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v>
      </c>
      <c r="AS107" s="465">
        <f>SelectedInputs!AS168</f>
        <v>0</v>
      </c>
      <c r="AT107" s="465">
        <f>SelectedInputs!AT168</f>
        <v>0</v>
      </c>
      <c r="AU107" s="465">
        <f>SelectedInputs!AU168</f>
        <v>0</v>
      </c>
      <c r="AV107" s="465">
        <f>SelectedInputs!AV168</f>
        <v>0</v>
      </c>
      <c r="AW107" s="184"/>
      <c r="AX107" s="184"/>
      <c r="AY107" s="184"/>
      <c r="AZ107" s="184"/>
      <c r="BA107" s="184"/>
    </row>
    <row r="108" spans="1:53" s="82" customFormat="1" ht="15">
      <c r="E108" s="82" t="s">
        <v>192</v>
      </c>
      <c r="G108" s="82" t="s">
        <v>105</v>
      </c>
      <c r="H108" s="82" t="s">
        <v>193</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5">
      <c r="E109" s="182" t="s">
        <v>176</v>
      </c>
      <c r="G109" s="82" t="s">
        <v>105</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5">
      <c r="E110" s="182" t="s">
        <v>176</v>
      </c>
      <c r="G110" s="82" t="s">
        <v>105</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5">
      <c r="E111" s="82" t="s">
        <v>569</v>
      </c>
      <c r="G111" s="82" t="s">
        <v>105</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-3.4585751317747073</v>
      </c>
      <c r="AS111" s="467">
        <f>SUM(AS101:AS110)</f>
        <v>-3.1117431866993988</v>
      </c>
      <c r="AT111" s="467">
        <f>SUM(AT101:AT110)</f>
        <v>-9.8084695945250377E-2</v>
      </c>
      <c r="AU111" s="467">
        <f>SUM(AU101:AU110)</f>
        <v>0.56827265052088982</v>
      </c>
      <c r="AV111" s="467">
        <f>SUM(AV101:AV110)</f>
        <v>1.3606014409248606</v>
      </c>
      <c r="AW111" s="184"/>
      <c r="AX111" s="184"/>
      <c r="AY111" s="184"/>
      <c r="AZ111" s="184"/>
      <c r="BA111" s="184"/>
    </row>
    <row r="112" spans="1:53" s="82" customFormat="1" ht="15">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5">
      <c r="A113" s="82"/>
      <c r="B113" s="2"/>
      <c r="C113" s="82"/>
      <c r="D113" s="82"/>
      <c r="E113" s="82" t="s">
        <v>194</v>
      </c>
      <c r="F113" s="82"/>
      <c r="G113" s="82" t="s">
        <v>105</v>
      </c>
      <c r="H113" s="82" t="s">
        <v>195</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5">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5">
      <c r="A115" s="2"/>
      <c r="B115" s="2"/>
      <c r="C115" s="28" t="s">
        <v>3</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5">
      <c r="A116" s="82"/>
      <c r="B116" s="82"/>
      <c r="C116" s="82"/>
      <c r="D116" s="82"/>
      <c r="E116" s="82"/>
      <c r="F116" s="82"/>
      <c r="G116" s="82"/>
      <c r="H116" s="82"/>
      <c r="I116" s="278" t="s">
        <v>570</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5">
      <c r="A117" s="94"/>
      <c r="B117" s="2"/>
      <c r="C117" s="194"/>
      <c r="D117" s="82"/>
      <c r="E117" s="13" t="s">
        <v>196</v>
      </c>
      <c r="F117" s="2"/>
      <c r="G117" s="2" t="s">
        <v>105</v>
      </c>
      <c r="H117" s="82" t="s">
        <v>197</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0.6523103245300147</v>
      </c>
      <c r="AS117" s="7">
        <f>SelectedInputs!AS177</f>
        <v>0.88720701413623226</v>
      </c>
      <c r="AT117" s="7">
        <f>SelectedInputs!AT177</f>
        <v>0.72841298369148766</v>
      </c>
      <c r="AU117" s="7">
        <f>SelectedInputs!AU177</f>
        <v>0.51670674705209008</v>
      </c>
      <c r="AV117" s="7">
        <f>SelectedInputs!AV177</f>
        <v>0.41536293059017515</v>
      </c>
    </row>
    <row r="118" spans="1:48" ht="15">
      <c r="A118" s="94"/>
      <c r="B118" s="2"/>
      <c r="C118" s="194"/>
      <c r="D118" s="82"/>
      <c r="E118" s="82" t="s">
        <v>198</v>
      </c>
      <c r="F118" s="2"/>
      <c r="G118" s="2" t="s">
        <v>105</v>
      </c>
      <c r="H118" s="82" t="s">
        <v>199</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0.40302208076634727</v>
      </c>
      <c r="AS118" s="7">
        <f>SelectedInputs!AS178</f>
        <v>0</v>
      </c>
      <c r="AT118" s="7">
        <f>SelectedInputs!AT178</f>
        <v>0</v>
      </c>
      <c r="AU118" s="7">
        <f>SelectedInputs!AU178</f>
        <v>0</v>
      </c>
      <c r="AV118" s="7">
        <f>SelectedInputs!AV178</f>
        <v>0</v>
      </c>
    </row>
    <row r="119" spans="1:48" ht="15">
      <c r="A119" s="94"/>
      <c r="B119" s="2"/>
      <c r="C119" s="194"/>
      <c r="D119" s="82"/>
      <c r="E119" s="82" t="s">
        <v>200</v>
      </c>
      <c r="F119" s="2"/>
      <c r="G119" s="2" t="s">
        <v>105</v>
      </c>
      <c r="H119" s="82" t="s">
        <v>201</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5">
      <c r="A120" s="94"/>
      <c r="B120" s="2"/>
      <c r="C120" s="194"/>
      <c r="D120" s="82"/>
      <c r="E120" s="82" t="s">
        <v>202</v>
      </c>
      <c r="F120" s="2"/>
      <c r="G120" s="2" t="s">
        <v>105</v>
      </c>
      <c r="H120" s="82" t="s">
        <v>203</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5">
      <c r="A121" s="94"/>
      <c r="B121" s="2"/>
      <c r="C121" s="194"/>
      <c r="D121" s="82"/>
      <c r="E121" s="2" t="s">
        <v>204</v>
      </c>
      <c r="F121" s="82"/>
      <c r="G121" s="2" t="s">
        <v>105</v>
      </c>
      <c r="H121" s="82" t="s">
        <v>205</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5">
      <c r="A122" s="94"/>
      <c r="B122" s="2"/>
      <c r="C122" s="194"/>
      <c r="D122" s="82"/>
      <c r="E122" s="2" t="s">
        <v>206</v>
      </c>
      <c r="F122" s="82"/>
      <c r="G122" s="2" t="s">
        <v>105</v>
      </c>
      <c r="H122" s="82" t="s">
        <v>207</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5">
      <c r="A123" s="94"/>
      <c r="B123" s="2"/>
      <c r="C123" s="194"/>
      <c r="D123" s="194"/>
      <c r="E123" s="13" t="s">
        <v>571</v>
      </c>
      <c r="F123" s="2"/>
      <c r="G123" s="2" t="s">
        <v>105</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1.055332405296362</v>
      </c>
      <c r="AS123" s="526">
        <f>SUM(AS117:AS122)</f>
        <v>0.88720701413623226</v>
      </c>
      <c r="AT123" s="526">
        <f>SUM(AT117:AT122)</f>
        <v>0.72841298369148766</v>
      </c>
      <c r="AU123" s="526">
        <f>SUM(AU117:AU122)</f>
        <v>0.51670674705209008</v>
      </c>
      <c r="AV123" s="526">
        <f>SUM(AV117:AV122)</f>
        <v>0.41536293059017515</v>
      </c>
    </row>
    <row r="124" spans="1:48" ht="15">
      <c r="A124" s="94"/>
      <c r="B124" s="2"/>
      <c r="C124" s="194"/>
      <c r="D124" s="194"/>
      <c r="E124" s="13" t="s">
        <v>572</v>
      </c>
      <c r="F124" s="2"/>
      <c r="G124" s="2" t="s">
        <v>105</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-1.1725914441812459</v>
      </c>
      <c r="AS124" s="30">
        <f xml:space="preserve"> - SUMPRODUCT($I$117:$I$119,AS117:AS119)</f>
        <v>-0.98578547268392314</v>
      </c>
      <c r="AT124" s="30">
        <f xml:space="preserve"> - SUMPRODUCT($I$117:$I$119,AT117:AT119)</f>
        <v>-0.80934767872243252</v>
      </c>
      <c r="AU124" s="30">
        <f xml:space="preserve"> - SUMPRODUCT($I$117:$I$119,AU117:AU119)</f>
        <v>-0.57411855042379478</v>
      </c>
      <c r="AV124" s="30">
        <f xml:space="preserve"> - SUMPRODUCT($I$117:$I$119,AV117:AV119)</f>
        <v>-0.46151432117098007</v>
      </c>
    </row>
    <row r="125" spans="1:48" ht="1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5">
      <c r="A126" s="2"/>
      <c r="B126" s="2"/>
      <c r="C126" s="28" t="s">
        <v>212</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5">
      <c r="A128" s="82"/>
      <c r="B128" s="82"/>
      <c r="C128" s="82"/>
      <c r="D128" s="10" t="s">
        <v>573</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5">
      <c r="A129" s="82"/>
      <c r="B129" s="82"/>
      <c r="C129" s="82"/>
      <c r="D129" s="82"/>
      <c r="E129" s="82" t="s">
        <v>214</v>
      </c>
      <c r="F129" s="82"/>
      <c r="G129" s="82" t="s">
        <v>105</v>
      </c>
      <c r="H129" s="82" t="s">
        <v>215</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33.524116349840675</v>
      </c>
      <c r="AS129" s="8">
        <f>SelectedInputs!AS191</f>
        <v>38.073916196939415</v>
      </c>
      <c r="AT129" s="8">
        <f>SelectedInputs!AT191</f>
        <v>41.986679651386673</v>
      </c>
      <c r="AU129" s="8">
        <f>SelectedInputs!AU191</f>
        <v>41.121847213670002</v>
      </c>
      <c r="AV129" s="8">
        <f>SelectedInputs!AV191</f>
        <v>41.928023907391754</v>
      </c>
    </row>
    <row r="130" spans="1:48" ht="15">
      <c r="A130" s="82"/>
      <c r="B130" s="82"/>
      <c r="C130" s="82"/>
      <c r="D130" s="82"/>
      <c r="E130" s="82" t="s">
        <v>216</v>
      </c>
      <c r="F130" s="82"/>
      <c r="G130" s="82" t="s">
        <v>105</v>
      </c>
      <c r="H130" s="82" t="s">
        <v>217</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-36.928452580855563</v>
      </c>
      <c r="AS130" s="8">
        <f>SelectedInputs!AS192</f>
        <v>-37.869703753656538</v>
      </c>
      <c r="AT130" s="8">
        <f>SelectedInputs!AT192</f>
        <v>-41.537332559897969</v>
      </c>
      <c r="AU130" s="8">
        <f>SelectedInputs!AU192</f>
        <v>-40.697929342237217</v>
      </c>
      <c r="AV130" s="8">
        <f>SelectedInputs!AV192</f>
        <v>-41.49733951659757</v>
      </c>
    </row>
    <row r="131" spans="1:48" ht="15">
      <c r="A131" s="82"/>
      <c r="B131" s="82"/>
      <c r="C131" s="82"/>
      <c r="D131" s="82"/>
      <c r="E131" s="82" t="s">
        <v>574</v>
      </c>
      <c r="F131" s="82"/>
      <c r="G131" s="2" t="s">
        <v>105</v>
      </c>
      <c r="H131" s="82" t="s">
        <v>219</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3.4661649777904442</v>
      </c>
      <c r="AS131" s="8">
        <f>SelectedInputs!AS193</f>
        <v>2.9597675572222077</v>
      </c>
      <c r="AT131" s="8">
        <f>SelectedInputs!AT193</f>
        <v>1.6003833482226621</v>
      </c>
      <c r="AU131" s="8">
        <f>SelectedInputs!AU193</f>
        <v>1.61260521546182</v>
      </c>
      <c r="AV131" s="8">
        <f>SelectedInputs!AV193</f>
        <v>1.6117291582140776</v>
      </c>
    </row>
    <row r="132" spans="1:48" ht="15">
      <c r="A132" s="82"/>
      <c r="B132" s="82"/>
      <c r="C132" s="82"/>
      <c r="D132" s="82"/>
      <c r="E132" s="82" t="s">
        <v>575</v>
      </c>
      <c r="F132" s="82"/>
      <c r="G132" s="2" t="s">
        <v>105</v>
      </c>
      <c r="H132" s="82" t="s">
        <v>221</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-3.6805881500557454</v>
      </c>
      <c r="AS132" s="8">
        <f>SelectedInputs!AS194</f>
        <v>-2.9597675572222077</v>
      </c>
      <c r="AT132" s="8">
        <f>SelectedInputs!AT194</f>
        <v>-1.6003833482226628</v>
      </c>
      <c r="AU132" s="8">
        <f>SelectedInputs!AU194</f>
        <v>-1.6126052154618205</v>
      </c>
      <c r="AV132" s="8">
        <f>SelectedInputs!AV194</f>
        <v>-1.6117291582140783</v>
      </c>
    </row>
    <row r="133" spans="1:48" ht="15">
      <c r="A133" s="82"/>
      <c r="B133" s="82"/>
      <c r="C133" s="82"/>
      <c r="D133" s="82"/>
      <c r="E133" s="82" t="s">
        <v>576</v>
      </c>
      <c r="F133" s="82"/>
      <c r="G133" s="2" t="s">
        <v>105</v>
      </c>
      <c r="H133" s="82" t="s">
        <v>223</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1.3122268711979064</v>
      </c>
      <c r="AS133" s="8">
        <f>SelectedInputs!AS195</f>
        <v>0.78520205167995771</v>
      </c>
      <c r="AT133" s="8">
        <f>SelectedInputs!AT195</f>
        <v>0.9382431592508983</v>
      </c>
      <c r="AU133" s="8">
        <f>SelectedInputs!AU195</f>
        <v>0.94748693421888797</v>
      </c>
      <c r="AV133" s="8">
        <f>SelectedInputs!AV195</f>
        <v>0.95682178086143843</v>
      </c>
    </row>
    <row r="134" spans="1:48" ht="15">
      <c r="A134" s="82"/>
      <c r="B134" s="82"/>
      <c r="C134" s="82"/>
      <c r="D134" s="82"/>
      <c r="E134" s="82" t="s">
        <v>577</v>
      </c>
      <c r="F134" s="82"/>
      <c r="G134" s="2" t="s">
        <v>105</v>
      </c>
      <c r="H134" s="82" t="s">
        <v>225</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-1.369130891743884</v>
      </c>
      <c r="AS134" s="8">
        <f>SelectedInputs!AS196</f>
        <v>-0.78520205167995771</v>
      </c>
      <c r="AT134" s="8">
        <f>SelectedInputs!AT196</f>
        <v>-0.9382431592508983</v>
      </c>
      <c r="AU134" s="8">
        <f>SelectedInputs!AU196</f>
        <v>-0.94748693421888797</v>
      </c>
      <c r="AV134" s="8">
        <f>SelectedInputs!AV196</f>
        <v>-0.95682178086143843</v>
      </c>
    </row>
    <row r="135" spans="1:48" ht="15">
      <c r="A135" s="82"/>
      <c r="B135" s="82"/>
      <c r="C135" s="82"/>
      <c r="D135" s="82"/>
      <c r="E135" s="82" t="s">
        <v>226</v>
      </c>
      <c r="F135" s="82"/>
      <c r="G135" s="2" t="s">
        <v>105</v>
      </c>
      <c r="H135" s="82" t="s">
        <v>227</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5">
      <c r="A136" s="82"/>
      <c r="B136" s="82"/>
      <c r="C136" s="82"/>
      <c r="D136" s="82"/>
      <c r="E136" s="82" t="s">
        <v>228</v>
      </c>
      <c r="F136" s="82"/>
      <c r="G136" s="2" t="s">
        <v>105</v>
      </c>
      <c r="H136" s="82" t="s">
        <v>229</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5">
      <c r="A137" s="82"/>
      <c r="B137" s="82"/>
      <c r="C137" s="82"/>
      <c r="D137" s="82"/>
      <c r="E137" s="82" t="s">
        <v>230</v>
      </c>
      <c r="F137" s="82"/>
      <c r="G137" s="2" t="s">
        <v>105</v>
      </c>
      <c r="H137" s="82" t="s">
        <v>231</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v>
      </c>
      <c r="AS137" s="8">
        <f>SelectedInputs!AS199</f>
        <v>0</v>
      </c>
      <c r="AT137" s="8">
        <f>SelectedInputs!AT199</f>
        <v>0</v>
      </c>
      <c r="AU137" s="8">
        <f>SelectedInputs!AU199</f>
        <v>0</v>
      </c>
      <c r="AV137" s="8">
        <f>SelectedInputs!AV199</f>
        <v>0</v>
      </c>
    </row>
    <row r="138" spans="1:48" ht="15">
      <c r="A138" s="82"/>
      <c r="B138" s="82"/>
      <c r="C138" s="82"/>
      <c r="D138" s="82"/>
      <c r="E138" s="82" t="s">
        <v>232</v>
      </c>
      <c r="F138" s="82"/>
      <c r="G138" s="2" t="s">
        <v>105</v>
      </c>
      <c r="H138" s="82" t="s">
        <v>233</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5">
      <c r="A139" s="82"/>
      <c r="B139" s="82"/>
      <c r="C139" s="82"/>
      <c r="D139" s="82"/>
      <c r="E139" s="82" t="s">
        <v>234</v>
      </c>
      <c r="F139" s="82"/>
      <c r="G139" s="2" t="s">
        <v>105</v>
      </c>
      <c r="H139" s="82" t="s">
        <v>235</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0.93317471851501743</v>
      </c>
      <c r="AS139" s="8">
        <f>SelectedInputs!AS201</f>
        <v>0.70438211910579118</v>
      </c>
      <c r="AT139" s="8">
        <f>SelectedInputs!AT201</f>
        <v>0.36046499061690879</v>
      </c>
      <c r="AU139" s="8">
        <f>SelectedInputs!AU201</f>
        <v>0.11000116279480865</v>
      </c>
      <c r="AV139" s="8">
        <f>SelectedInputs!AV201</f>
        <v>0</v>
      </c>
    </row>
    <row r="140" spans="1:48" ht="15">
      <c r="A140" s="82"/>
      <c r="B140" s="82"/>
      <c r="C140" s="82"/>
      <c r="D140" s="82"/>
      <c r="E140" s="82" t="s">
        <v>236</v>
      </c>
      <c r="F140" s="82"/>
      <c r="G140" s="2" t="s">
        <v>105</v>
      </c>
      <c r="H140" s="82" t="s">
        <v>237</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-4.8249390348821655E-2</v>
      </c>
      <c r="AS140" s="8">
        <f>SelectedInputs!AS202</f>
        <v>-4.8249390348821648E-2</v>
      </c>
      <c r="AT140" s="8">
        <f>SelectedInputs!AT202</f>
        <v>-4.8249390348821648E-2</v>
      </c>
      <c r="AU140" s="8">
        <f>SelectedInputs!AU202</f>
        <v>-4.8249390348821648E-2</v>
      </c>
      <c r="AV140" s="8">
        <f>SelectedInputs!AV202</f>
        <v>0</v>
      </c>
    </row>
    <row r="141" spans="1:48" ht="15">
      <c r="A141" s="82"/>
      <c r="B141" s="82"/>
      <c r="C141" s="82"/>
      <c r="D141" s="82"/>
      <c r="E141" s="82" t="s">
        <v>238</v>
      </c>
      <c r="F141" s="82"/>
      <c r="G141" s="2" t="s">
        <v>105</v>
      </c>
      <c r="H141" s="82" t="s">
        <v>239</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5">
      <c r="A142" s="82"/>
      <c r="B142" s="82"/>
      <c r="C142" s="82"/>
      <c r="D142" s="82"/>
      <c r="E142" s="82" t="s">
        <v>240</v>
      </c>
      <c r="F142" s="82"/>
      <c r="G142" s="2" t="s">
        <v>105</v>
      </c>
      <c r="H142" s="82" t="s">
        <v>241</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5">
      <c r="A143" s="82"/>
      <c r="B143" s="82"/>
      <c r="C143" s="82"/>
      <c r="D143" s="82"/>
      <c r="E143" s="2" t="s">
        <v>578</v>
      </c>
      <c r="F143" s="82"/>
      <c r="G143" s="2" t="s">
        <v>105</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39.235682917344043</v>
      </c>
      <c r="AS143" s="526">
        <f t="shared" si="9"/>
        <v>42.523267924947376</v>
      </c>
      <c r="AT143" s="526">
        <f t="shared" si="9"/>
        <v>44.885771149477144</v>
      </c>
      <c r="AU143" s="526">
        <f t="shared" si="9"/>
        <v>43.791940526145517</v>
      </c>
      <c r="AV143" s="526">
        <f t="shared" si="9"/>
        <v>44.496574846467269</v>
      </c>
    </row>
    <row r="144" spans="1:48" ht="15">
      <c r="A144" s="82"/>
      <c r="B144" s="82"/>
      <c r="C144" s="82"/>
      <c r="D144" s="82"/>
      <c r="E144" s="2" t="s">
        <v>579</v>
      </c>
      <c r="F144" s="82"/>
      <c r="G144" s="2" t="s">
        <v>105</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-42.026421013004018</v>
      </c>
      <c r="AS144" s="30">
        <f t="shared" si="9"/>
        <v>-41.662922752907527</v>
      </c>
      <c r="AT144" s="30">
        <f t="shared" si="9"/>
        <v>-44.12420845772035</v>
      </c>
      <c r="AU144" s="30">
        <f t="shared" si="9"/>
        <v>-43.306270882266745</v>
      </c>
      <c r="AV144" s="30">
        <f t="shared" si="9"/>
        <v>-44.065890455673085</v>
      </c>
    </row>
    <row r="145" spans="1:48" ht="1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5">
      <c r="A146" s="82"/>
      <c r="B146" s="82"/>
      <c r="C146" s="82"/>
      <c r="D146" s="82"/>
      <c r="E146" s="13" t="s">
        <v>242</v>
      </c>
      <c r="F146" s="13"/>
      <c r="G146" s="2" t="s">
        <v>105</v>
      </c>
      <c r="H146" s="82" t="s">
        <v>243</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4.6778650248327051E-3</v>
      </c>
      <c r="AS146" s="30">
        <f>SelectedInputs!AS205</f>
        <v>0</v>
      </c>
      <c r="AT146" s="30">
        <f>SelectedInputs!AT205</f>
        <v>0</v>
      </c>
      <c r="AU146" s="30">
        <f>SelectedInputs!AU205</f>
        <v>0</v>
      </c>
      <c r="AV146" s="30">
        <f>SelectedInputs!AV205</f>
        <v>0</v>
      </c>
    </row>
    <row r="147" spans="1:48" ht="15">
      <c r="A147" s="82"/>
      <c r="B147" s="82"/>
      <c r="C147" s="82"/>
      <c r="D147" s="82"/>
      <c r="E147" s="13" t="s">
        <v>244</v>
      </c>
      <c r="F147" s="13"/>
      <c r="G147" s="2" t="s">
        <v>105</v>
      </c>
      <c r="H147" s="82" t="s">
        <v>245</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v>
      </c>
      <c r="AS147" s="30">
        <f>SelectedInputs!AS206</f>
        <v>0</v>
      </c>
      <c r="AT147" s="30">
        <f>SelectedInputs!AT206</f>
        <v>0</v>
      </c>
      <c r="AU147" s="30">
        <f>SelectedInputs!AU206</f>
        <v>0</v>
      </c>
      <c r="AV147" s="30">
        <f>SelectedInputs!AV206</f>
        <v>0</v>
      </c>
    </row>
    <row r="148" spans="1:48" ht="1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5">
      <c r="A149" s="82"/>
      <c r="B149" s="82"/>
      <c r="C149" s="82"/>
      <c r="D149" s="82"/>
      <c r="E149" s="2" t="s">
        <v>580</v>
      </c>
      <c r="F149" s="82"/>
      <c r="G149" s="2" t="s">
        <v>105</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-4.6778650248327051E-3</v>
      </c>
      <c r="AS149" s="30">
        <f>-SUM(AS146:AS147)</f>
        <v>0</v>
      </c>
      <c r="AT149" s="30">
        <f>-SUM(AT146:AT147)</f>
        <v>0</v>
      </c>
      <c r="AU149" s="30">
        <f>-SUM(AU146:AU147)</f>
        <v>0</v>
      </c>
      <c r="AV149" s="30">
        <f>-SUM(AV146:AV147)</f>
        <v>0</v>
      </c>
    </row>
    <row r="150" spans="1:48" ht="15">
      <c r="A150" s="82"/>
      <c r="B150" s="82"/>
      <c r="C150" s="82"/>
      <c r="D150" s="82"/>
      <c r="E150" s="2" t="s">
        <v>581</v>
      </c>
      <c r="F150" s="82"/>
      <c r="G150" s="2" t="s">
        <v>105</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-2.7860602306351425</v>
      </c>
      <c r="AS150" s="30">
        <f>SUM(AS143:AS144) + SUM(AS146:AS147)</f>
        <v>0.86034517203984961</v>
      </c>
      <c r="AT150" s="30">
        <f>SUM(AT143:AT144) + SUM(AT146:AT147)</f>
        <v>0.7615626917567937</v>
      </c>
      <c r="AU150" s="30">
        <f>SUM(AU143:AU144) + SUM(AU146:AU147)</f>
        <v>0.48566964387877221</v>
      </c>
      <c r="AV150" s="30">
        <f>SUM(AV143:AV144) + SUM(AV146:AV147)</f>
        <v>0.43068439079418397</v>
      </c>
    </row>
    <row r="151" spans="1:48" ht="15">
      <c r="A151" s="82"/>
      <c r="B151" s="82"/>
      <c r="C151" s="82"/>
      <c r="D151" s="82"/>
      <c r="E151" s="2" t="s">
        <v>582</v>
      </c>
      <c r="F151" s="82"/>
      <c r="G151" s="2" t="s">
        <v>105</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4.6778650248327051E-3</v>
      </c>
      <c r="AS151" s="30">
        <f>SUM(AS146:AS147)</f>
        <v>0</v>
      </c>
      <c r="AT151" s="30">
        <f>SUM(AT146:AT147)</f>
        <v>0</v>
      </c>
      <c r="AU151" s="30">
        <f>SUM(AU146:AU147)</f>
        <v>0</v>
      </c>
      <c r="AV151" s="30">
        <f>SUM(AV146:AV147)</f>
        <v>0</v>
      </c>
    </row>
    <row r="152" spans="1:48" ht="15">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5">
      <c r="A153" s="2"/>
      <c r="B153" s="37" t="s">
        <v>246</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5">
      <c r="A155" s="2"/>
      <c r="B155" s="2"/>
      <c r="C155" s="28" t="s">
        <v>583</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5">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5">
      <c r="A157" s="2"/>
      <c r="B157" s="2"/>
      <c r="C157" s="194"/>
      <c r="D157" s="2"/>
      <c r="E157" s="2" t="s">
        <v>248</v>
      </c>
      <c r="F157" s="2"/>
      <c r="G157" s="7" t="s">
        <v>249</v>
      </c>
      <c r="H157" s="82" t="s">
        <v>250</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5">
      <c r="A158" s="2"/>
      <c r="B158" s="2"/>
      <c r="C158" s="194"/>
      <c r="D158" s="194"/>
      <c r="E158" s="2" t="s">
        <v>584</v>
      </c>
      <c r="F158" s="2"/>
      <c r="G158" s="7" t="s">
        <v>249</v>
      </c>
      <c r="H158" s="194" t="s">
        <v>585</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3.1E-2</v>
      </c>
      <c r="AS158" s="532">
        <f>SUM(AS157:AS157)</f>
        <v>3.1699999999999999E-2</v>
      </c>
      <c r="AT158" s="532">
        <f>SUM(AT157:AT157)</f>
        <v>3.1899999999999998E-2</v>
      </c>
      <c r="AU158" s="532">
        <f>SUM(AU157:AU157)</f>
        <v>3.1899999999999998E-2</v>
      </c>
      <c r="AV158" s="532">
        <f>SUM(AV157:AV157)</f>
        <v>3.1899999999999998E-2</v>
      </c>
    </row>
    <row r="159" spans="1:48" ht="15">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5">
      <c r="A160" s="2"/>
      <c r="B160" s="2"/>
      <c r="C160" s="28" t="s">
        <v>586</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5">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5">
      <c r="A162" s="2"/>
      <c r="B162" s="2"/>
      <c r="C162" s="2"/>
      <c r="D162" s="2"/>
      <c r="E162" s="2" t="s">
        <v>251</v>
      </c>
      <c r="F162" s="2"/>
      <c r="G162" s="7" t="s">
        <v>249</v>
      </c>
      <c r="H162" s="7" t="s">
        <v>252</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5">
      <c r="A163" s="2"/>
      <c r="B163" s="2"/>
      <c r="C163" s="2"/>
      <c r="D163" s="2"/>
      <c r="E163" s="194" t="s">
        <v>253</v>
      </c>
      <c r="F163" s="194"/>
      <c r="G163" s="194" t="s">
        <v>100</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5">
      <c r="A164" s="2"/>
      <c r="B164" s="2"/>
      <c r="C164" s="2"/>
      <c r="D164" s="2"/>
      <c r="E164" s="7" t="s">
        <v>254</v>
      </c>
      <c r="F164" s="7"/>
      <c r="G164" s="7" t="s">
        <v>209</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5">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5">
      <c r="A166" s="2"/>
      <c r="B166" s="2"/>
      <c r="C166" s="2"/>
      <c r="D166" s="2"/>
      <c r="E166" s="2" t="s">
        <v>587</v>
      </c>
      <c r="F166" s="7"/>
      <c r="G166" s="7" t="s">
        <v>249</v>
      </c>
      <c r="H166" s="7" t="s">
        <v>588</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5">
      <c r="A167" s="2"/>
      <c r="B167" s="2"/>
      <c r="C167" s="2"/>
      <c r="D167" s="2"/>
      <c r="E167" s="7" t="s">
        <v>255</v>
      </c>
      <c r="F167" s="7"/>
      <c r="G167" s="7" t="s">
        <v>209</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5">
      <c r="A168" s="2"/>
      <c r="B168" s="2"/>
      <c r="C168" s="2"/>
      <c r="D168" s="2"/>
      <c r="E168" s="7" t="s">
        <v>589</v>
      </c>
      <c r="F168" s="7"/>
      <c r="G168" s="7" t="s">
        <v>249</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3.97335776E-2</v>
      </c>
      <c r="AS168" s="532">
        <f>(AS158 * AS167) + (AS166* (1 - AS167))</f>
        <v>4.1370183200000001E-2</v>
      </c>
      <c r="AT168" s="532">
        <f>(AT158 * AT167) + (AT166* (1 - AT167))</f>
        <v>4.09301584E-2</v>
      </c>
      <c r="AU168" s="532">
        <f>(AU158 * AU167) + (AU166* (1 - AU167))</f>
        <v>4.1113614800000003E-2</v>
      </c>
      <c r="AV168" s="532">
        <f>(AV158 * AV167) + (AV166* (1 - AV167))</f>
        <v>4.1190859599999997E-2</v>
      </c>
    </row>
    <row r="169" spans="1:49" ht="15">
      <c r="A169" s="2"/>
      <c r="B169" s="2"/>
      <c r="C169" s="2"/>
      <c r="D169" s="2"/>
      <c r="E169" s="7" t="s">
        <v>590</v>
      </c>
      <c r="F169" s="7"/>
      <c r="G169" s="7" t="s">
        <v>249</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3.97335776E-2</v>
      </c>
      <c r="AS169" s="193">
        <f>(AS158 * AS167) + (AS166 * (1 - AS167))</f>
        <v>4.1370183200000001E-2</v>
      </c>
      <c r="AT169" s="193">
        <f>(AT158 * AT167) + (AT166 * (1 - AT167))</f>
        <v>4.09301584E-2</v>
      </c>
      <c r="AU169" s="193">
        <f>(AU158 * AU167) + (AU166 * (1 - AU167))</f>
        <v>4.1113614800000003E-2</v>
      </c>
      <c r="AV169" s="193">
        <f>(AV158 * AV167) + (AV166 * (1 - AV167))</f>
        <v>4.1190859599999997E-2</v>
      </c>
    </row>
    <row r="170" spans="1:49" ht="15">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5">
      <c r="A171" s="2"/>
      <c r="B171" s="2"/>
      <c r="C171" s="2"/>
      <c r="D171" s="2"/>
      <c r="E171" s="2" t="s">
        <v>256</v>
      </c>
      <c r="F171" s="2"/>
      <c r="G171" s="7" t="s">
        <v>209</v>
      </c>
      <c r="H171" s="7" t="s">
        <v>290</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5">
      <c r="A172" s="2"/>
      <c r="B172" s="2"/>
      <c r="C172" s="2"/>
      <c r="D172" s="2"/>
      <c r="E172" s="2" t="s">
        <v>591</v>
      </c>
      <c r="F172" s="2"/>
      <c r="G172" s="7" t="s">
        <v>249</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5.4475396000000002E-2</v>
      </c>
      <c r="AU172" s="532">
        <f>(AU168 - (AU171 * AU158)) / (1 - AU171)</f>
        <v>5.4934037000000012E-2</v>
      </c>
      <c r="AV172" s="532">
        <f>(AV168 - (AV171 * AV158)) / (1 - AV171)</f>
        <v>5.5127149E-2</v>
      </c>
    </row>
    <row r="173" spans="1:49" ht="15">
      <c r="A173" s="2"/>
      <c r="B173" s="2"/>
      <c r="C173" s="2"/>
      <c r="D173" s="2"/>
      <c r="E173" s="2" t="s">
        <v>592</v>
      </c>
      <c r="F173" s="194"/>
      <c r="G173" s="7" t="s">
        <v>249</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5.4475396000000002E-2</v>
      </c>
      <c r="AU173" s="193">
        <f>(AU169 - (AU158 * AU171)) / (1 - AU171)</f>
        <v>5.4934037000000012E-2</v>
      </c>
      <c r="AV173" s="193">
        <f>(AV169 - (AV158 * AV171)) / (1 - AV171)</f>
        <v>5.5127149E-2</v>
      </c>
    </row>
    <row r="174" spans="1:49" ht="15">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5">
      <c r="A175" s="2"/>
      <c r="B175" s="2"/>
      <c r="C175" s="28" t="s">
        <v>593</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5">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5">
      <c r="A177" s="2"/>
      <c r="B177" s="2"/>
      <c r="C177" s="2"/>
      <c r="D177" s="2"/>
      <c r="E177" s="7" t="s">
        <v>257</v>
      </c>
      <c r="F177" s="7"/>
      <c r="G177" s="7" t="s">
        <v>209</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3.1529999999999996E-2</v>
      </c>
      <c r="AQ177" s="216">
        <f>SelectedInputs!AQ219</f>
        <v>3.0359999999999998E-2</v>
      </c>
      <c r="AR177" s="7"/>
      <c r="AS177" s="7"/>
      <c r="AT177" s="126"/>
      <c r="AU177" s="126"/>
      <c r="AV177" s="126"/>
    </row>
    <row r="178" spans="1:49" ht="15">
      <c r="A178" s="2"/>
      <c r="B178" s="2"/>
      <c r="C178" s="2"/>
      <c r="D178" s="2"/>
      <c r="E178" s="7" t="s">
        <v>594</v>
      </c>
      <c r="F178" s="7"/>
      <c r="G178" s="7" t="s">
        <v>249</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3.1E-2</v>
      </c>
      <c r="AS178" s="485">
        <f>AS158</f>
        <v>3.1699999999999999E-2</v>
      </c>
      <c r="AT178" s="485">
        <f>AT158</f>
        <v>3.1899999999999998E-2</v>
      </c>
      <c r="AU178" s="485">
        <f>AU158</f>
        <v>3.1899999999999998E-2</v>
      </c>
      <c r="AV178" s="485">
        <f>AV158</f>
        <v>3.1899999999999998E-2</v>
      </c>
    </row>
    <row r="179" spans="1:49" ht="15">
      <c r="A179" s="2"/>
      <c r="B179" s="2"/>
      <c r="C179" s="2"/>
      <c r="D179" s="2"/>
      <c r="E179" s="7" t="s">
        <v>595</v>
      </c>
      <c r="F179" s="7"/>
      <c r="G179" s="7" t="s">
        <v>249</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5.4475396000000002E-2</v>
      </c>
      <c r="AU179" s="485">
        <f>AU173</f>
        <v>5.4934037000000012E-2</v>
      </c>
      <c r="AV179" s="485">
        <f>AV173</f>
        <v>5.5127149E-2</v>
      </c>
    </row>
    <row r="180" spans="1:49" ht="15">
      <c r="A180" s="2"/>
      <c r="B180" s="2"/>
      <c r="C180" s="2"/>
      <c r="D180" s="2"/>
      <c r="E180" s="7" t="s">
        <v>256</v>
      </c>
      <c r="F180" s="7"/>
      <c r="G180" s="7" t="s">
        <v>209</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5">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5">
      <c r="A182" s="82"/>
      <c r="B182" s="2"/>
      <c r="C182" s="2"/>
      <c r="D182" s="2"/>
      <c r="E182" s="7" t="s">
        <v>596</v>
      </c>
      <c r="F182" s="7"/>
      <c r="G182" s="7" t="s">
        <v>249</v>
      </c>
      <c r="H182" s="7" t="s">
        <v>597</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3.7574999999999997E-2</v>
      </c>
      <c r="AK182" s="186">
        <f t="shared" si="10"/>
        <v>3.6729999999999999E-2</v>
      </c>
      <c r="AL182" s="186">
        <f t="shared" si="10"/>
        <v>3.5885E-2</v>
      </c>
      <c r="AM182" s="186">
        <f t="shared" si="10"/>
        <v>3.4584999999999998E-2</v>
      </c>
      <c r="AN182" s="186">
        <f t="shared" si="10"/>
        <v>3.3610000000000001E-2</v>
      </c>
      <c r="AO182" s="186">
        <f t="shared" si="10"/>
        <v>3.2570000000000002E-2</v>
      </c>
      <c r="AP182" s="186">
        <f t="shared" si="10"/>
        <v>3.1529999999999996E-2</v>
      </c>
      <c r="AQ182" s="191">
        <f t="shared" si="10"/>
        <v>3.0359999999999998E-2</v>
      </c>
      <c r="AR182" s="186">
        <f t="shared" si="10"/>
        <v>3.97335776E-2</v>
      </c>
      <c r="AS182" s="186">
        <f t="shared" si="10"/>
        <v>4.1370183200000001E-2</v>
      </c>
      <c r="AT182" s="186">
        <f t="shared" si="10"/>
        <v>4.09301584E-2</v>
      </c>
      <c r="AU182" s="186">
        <f t="shared" si="10"/>
        <v>4.1113614800000003E-2</v>
      </c>
      <c r="AV182" s="186">
        <f t="shared" si="10"/>
        <v>4.1190859599999997E-2</v>
      </c>
      <c r="AW182" s="509"/>
    </row>
    <row r="183" spans="1:49" ht="15">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5">
      <c r="A184" s="94"/>
      <c r="B184" s="2"/>
      <c r="C184" s="28" t="s">
        <v>598</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5">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5">
      <c r="A186" s="2"/>
      <c r="B186" s="2"/>
      <c r="C186" s="2"/>
      <c r="D186" s="10" t="s">
        <v>599</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5">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5">
      <c r="A188" s="2"/>
      <c r="B188" s="2"/>
      <c r="C188" s="2"/>
      <c r="D188" s="2"/>
      <c r="E188" s="2" t="s">
        <v>600</v>
      </c>
      <c r="F188" s="2"/>
      <c r="G188" s="7" t="s">
        <v>601</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7.4787642955440825E-2</v>
      </c>
      <c r="AS188" s="262">
        <f>'Annual Inflation'!AS24</f>
        <v>3.6375879745893069E-2</v>
      </c>
      <c r="AT188" s="262">
        <f>'Annual Inflation'!AT24</f>
        <v>3.4113744221049958E-2</v>
      </c>
      <c r="AU188" s="262">
        <f>'Annual Inflation'!AU24</f>
        <v>3.2128980326741274E-2</v>
      </c>
      <c r="AV188" s="262">
        <f>'Annual Inflation'!AV24</f>
        <v>3.0443252903016305E-2</v>
      </c>
    </row>
    <row r="189" spans="1:49" ht="15">
      <c r="A189" s="2"/>
      <c r="B189" s="2"/>
      <c r="C189" s="2"/>
      <c r="D189" s="2"/>
      <c r="E189" s="2" t="s">
        <v>602</v>
      </c>
      <c r="F189" s="7"/>
      <c r="G189" s="7" t="s">
        <v>601</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5.5469014561462915E-2</v>
      </c>
      <c r="AS189" s="262">
        <f>'Annual Inflation'!AS27</f>
        <v>3.16152248404864E-2</v>
      </c>
      <c r="AT189" s="262">
        <f>'Annual Inflation'!AT27</f>
        <v>2.4929628075417209E-2</v>
      </c>
      <c r="AU189" s="262">
        <f>'Annual Inflation'!AU27</f>
        <v>2.2218456203320969E-2</v>
      </c>
      <c r="AV189" s="262">
        <f>'Annual Inflation'!AV27</f>
        <v>2.106079359766122E-2</v>
      </c>
    </row>
    <row r="190" spans="1:49" ht="15">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5">
      <c r="A191" s="2"/>
      <c r="B191" s="2"/>
      <c r="C191" s="2"/>
      <c r="D191" s="2"/>
      <c r="E191" s="7" t="s">
        <v>603</v>
      </c>
      <c r="F191" s="7"/>
      <c r="G191" s="7" t="s">
        <v>601</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5">
      <c r="A192" s="2"/>
      <c r="B192" s="2"/>
      <c r="C192" s="2"/>
      <c r="D192" s="2"/>
      <c r="E192" s="7" t="s">
        <v>604</v>
      </c>
      <c r="F192" s="7"/>
      <c r="G192" s="7" t="s">
        <v>601</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5">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5">
      <c r="A194" s="2"/>
      <c r="B194" s="2"/>
      <c r="C194" s="2"/>
      <c r="D194" s="2"/>
      <c r="E194" s="2" t="s">
        <v>605</v>
      </c>
      <c r="F194" s="7"/>
      <c r="G194" s="2" t="s">
        <v>100</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1.2806226704273584</v>
      </c>
      <c r="AS194" s="256">
        <f>'Annual Inflation'!AS32</f>
        <v>1.321109844088743</v>
      </c>
      <c r="AT194" s="256">
        <f>'Annual Inflation'!AT32</f>
        <v>1.3540446211486474</v>
      </c>
      <c r="AU194" s="256">
        <f>'Annual Inflation'!AU32</f>
        <v>1.3841294022609805</v>
      </c>
      <c r="AV194" s="256">
        <f>'Annual Inflation'!AV32</f>
        <v>1.4132802659144532</v>
      </c>
    </row>
    <row r="195" spans="1:48" ht="15">
      <c r="A195" s="2"/>
      <c r="B195" s="2"/>
      <c r="C195" s="2"/>
      <c r="D195" s="2"/>
      <c r="E195" s="2" t="s">
        <v>606</v>
      </c>
      <c r="F195" s="7"/>
      <c r="G195" s="2" t="s">
        <v>100</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1.3006734873924681</v>
      </c>
      <c r="AS195" s="256">
        <f>'Annual Inflation'!AS46</f>
        <v>1.3381934807872249</v>
      </c>
      <c r="AT195" s="256">
        <f>'Annual Inflation'!AT46</f>
        <v>1.3693248004421943</v>
      </c>
      <c r="AU195" s="256">
        <f>'Annual Inflation'!AU46</f>
        <v>1.3987132738267296</v>
      </c>
      <c r="AV195" s="256">
        <f>'Annual Inflation'!AV46</f>
        <v>1.426632053800075</v>
      </c>
    </row>
    <row r="196" spans="1:48" ht="15">
      <c r="A196" s="2"/>
      <c r="B196" s="2"/>
      <c r="C196" s="2"/>
      <c r="D196" s="2"/>
      <c r="E196" s="2" t="s">
        <v>607</v>
      </c>
      <c r="F196" s="7"/>
      <c r="G196" s="2" t="s">
        <v>601</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5">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5">
      <c r="A198" s="2"/>
      <c r="B198" s="2"/>
      <c r="C198" s="20" t="s">
        <v>608</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5.75">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5">
      <c r="A200" s="2"/>
      <c r="B200" s="2"/>
      <c r="C200" s="2"/>
      <c r="D200" s="2"/>
      <c r="E200" s="7" t="s">
        <v>263</v>
      </c>
      <c r="F200" s="7"/>
      <c r="G200" s="7" t="s">
        <v>209</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5">
      <c r="A201" s="2"/>
      <c r="B201" s="2"/>
      <c r="C201" s="2"/>
      <c r="D201" s="2"/>
      <c r="E201" s="7" t="s">
        <v>264</v>
      </c>
      <c r="F201" s="7"/>
      <c r="G201" s="7" t="s">
        <v>209</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5">
      <c r="A202" s="2"/>
      <c r="B202" s="2"/>
      <c r="C202" s="2"/>
      <c r="D202" s="2"/>
      <c r="E202" s="21" t="s">
        <v>265</v>
      </c>
      <c r="F202" s="21"/>
      <c r="G202" s="21" t="s">
        <v>209</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5">
      <c r="A203" s="7"/>
      <c r="B203" s="7"/>
      <c r="C203" s="2"/>
      <c r="D203" s="7"/>
      <c r="E203" s="7" t="s">
        <v>266</v>
      </c>
      <c r="F203" s="7"/>
      <c r="G203" s="21" t="s">
        <v>209</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5">
      <c r="A204" s="2"/>
      <c r="B204" s="2"/>
      <c r="C204" s="2"/>
      <c r="D204" s="2"/>
      <c r="E204" s="7" t="s">
        <v>267</v>
      </c>
      <c r="F204" s="7"/>
      <c r="G204" s="21" t="s">
        <v>209</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5">
      <c r="A205" s="2"/>
      <c r="B205" s="2"/>
      <c r="C205" s="2"/>
      <c r="D205" s="2"/>
      <c r="E205" s="7" t="s">
        <v>268</v>
      </c>
      <c r="F205" s="7"/>
      <c r="G205" s="21" t="s">
        <v>209</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5">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5">
      <c r="A207" s="2"/>
      <c r="B207" s="2"/>
      <c r="C207" s="20" t="s">
        <v>609</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5">
      <c r="A209" s="2"/>
      <c r="B209" s="2"/>
      <c r="C209" s="2"/>
      <c r="D209" s="2"/>
      <c r="E209" s="82" t="s">
        <v>270</v>
      </c>
      <c r="F209" s="2"/>
      <c r="G209" s="2" t="s">
        <v>209</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0.73</v>
      </c>
      <c r="AS209" s="262">
        <f>SelectedInputs!$I234</f>
        <v>0.73</v>
      </c>
      <c r="AT209" s="262">
        <f>SelectedInputs!$I234</f>
        <v>0.73</v>
      </c>
      <c r="AU209" s="262">
        <f>SelectedInputs!$I234</f>
        <v>0.73</v>
      </c>
      <c r="AV209" s="262">
        <f>SelectedInputs!$I234</f>
        <v>0.73</v>
      </c>
    </row>
    <row r="210" spans="1:48" ht="15">
      <c r="A210" s="2"/>
      <c r="B210" s="2"/>
      <c r="C210" s="2"/>
      <c r="D210" s="2"/>
      <c r="E210" s="82" t="s">
        <v>271</v>
      </c>
      <c r="F210" s="2"/>
      <c r="G210" s="2" t="s">
        <v>209</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5">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5">
      <c r="A212" s="2"/>
      <c r="B212" s="13"/>
      <c r="C212" s="13"/>
      <c r="D212" s="13"/>
      <c r="E212" s="2" t="s">
        <v>272</v>
      </c>
      <c r="F212" s="13"/>
      <c r="G212" s="14" t="s">
        <v>209</v>
      </c>
      <c r="H212" s="474"/>
      <c r="I212" s="186">
        <f>SelectedInputs!I237</f>
        <v>0.499</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5">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5">
      <c r="A214" s="2"/>
      <c r="B214" s="37" t="s">
        <v>610</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5">
      <c r="A216" s="2"/>
      <c r="B216" s="2"/>
      <c r="C216" s="28" t="s">
        <v>611</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5">
      <c r="A218" s="82"/>
      <c r="B218" s="82"/>
      <c r="C218" s="82"/>
      <c r="D218" s="82"/>
      <c r="E218" s="41" t="s">
        <v>280</v>
      </c>
      <c r="F218" s="2"/>
      <c r="G218" s="2" t="s">
        <v>281</v>
      </c>
      <c r="H218" s="2"/>
      <c r="I218" s="30">
        <f>SelectedInputs!I245</f>
        <v>14</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5">
      <c r="A219" s="82"/>
      <c r="B219" s="7"/>
      <c r="C219" s="7"/>
      <c r="D219" s="7"/>
      <c r="E219" s="7" t="s">
        <v>275</v>
      </c>
      <c r="F219" s="7"/>
      <c r="G219" s="2" t="s">
        <v>105</v>
      </c>
      <c r="H219" s="7"/>
      <c r="I219" s="30">
        <f>SelectedInputs!I241</f>
        <v>25.519621594927063</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5">
      <c r="A220" s="2"/>
      <c r="B220" s="82"/>
      <c r="C220" s="82"/>
      <c r="D220" s="82"/>
      <c r="E220" s="82" t="s">
        <v>276</v>
      </c>
      <c r="F220" s="82"/>
      <c r="G220" s="82" t="s">
        <v>277</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5">
      <c r="A221" s="2"/>
      <c r="B221" s="82"/>
      <c r="C221" s="82"/>
      <c r="D221" s="82"/>
      <c r="E221" s="41" t="s">
        <v>278</v>
      </c>
      <c r="F221" s="2"/>
      <c r="G221" s="2" t="s">
        <v>279</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5">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5">
      <c r="A223" s="2"/>
      <c r="B223" s="2"/>
      <c r="C223" s="28" t="s">
        <v>612</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5">
      <c r="A225" s="82"/>
      <c r="B225" s="82"/>
      <c r="C225" s="82"/>
      <c r="D225" s="10" t="s">
        <v>613</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5">
      <c r="A226" s="82"/>
      <c r="B226" s="82"/>
      <c r="C226" s="82"/>
      <c r="D226" s="82"/>
      <c r="E226" s="41" t="s">
        <v>282</v>
      </c>
      <c r="F226" s="2"/>
      <c r="G226" s="2" t="s">
        <v>281</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5">
      <c r="A227" s="82"/>
      <c r="B227" s="82"/>
      <c r="C227" s="82"/>
      <c r="D227" s="82"/>
      <c r="E227" s="7" t="s">
        <v>283</v>
      </c>
      <c r="F227" s="82"/>
      <c r="G227" s="2" t="s">
        <v>281</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5">
      <c r="A228" s="82"/>
      <c r="B228" s="82"/>
      <c r="C228" s="82"/>
      <c r="D228" s="82"/>
      <c r="E228" s="41" t="s">
        <v>284</v>
      </c>
      <c r="F228" s="2"/>
      <c r="G228" s="2" t="s">
        <v>281</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5">
      <c r="A229" s="82"/>
      <c r="B229" s="82"/>
      <c r="C229" s="82"/>
      <c r="D229" s="82"/>
      <c r="E229" s="7" t="s">
        <v>286</v>
      </c>
      <c r="F229" s="82"/>
      <c r="G229" s="2" t="s">
        <v>105</v>
      </c>
      <c r="H229" s="82"/>
      <c r="I229" s="82"/>
      <c r="J229" s="43"/>
      <c r="K229" s="30">
        <f>SelectedInputs!K250</f>
        <v>24.265624180091308</v>
      </c>
      <c r="L229" s="30">
        <f>SelectedInputs!L250</f>
        <v>75.575379125780543</v>
      </c>
      <c r="M229" s="30">
        <f>SelectedInputs!M250</f>
        <v>78.539119483654289</v>
      </c>
      <c r="N229" s="30">
        <f>SelectedInputs!N250</f>
        <v>89.097444508579528</v>
      </c>
      <c r="O229" s="30">
        <f>SelectedInputs!O250</f>
        <v>105.21278270451801</v>
      </c>
      <c r="P229" s="30">
        <f>SelectedInputs!P250</f>
        <v>77.61295062181874</v>
      </c>
      <c r="Q229" s="30">
        <f>SelectedInputs!Q250</f>
        <v>83.169963792832021</v>
      </c>
      <c r="R229" s="30">
        <f>SelectedInputs!R250</f>
        <v>76.316314215248994</v>
      </c>
      <c r="S229" s="30">
        <f>SelectedInputs!S250</f>
        <v>81.374484759045359</v>
      </c>
      <c r="T229" s="30">
        <f>SelectedInputs!T250</f>
        <v>86.472798316801928</v>
      </c>
      <c r="U229" s="30">
        <f>SelectedInputs!U250</f>
        <v>88.773713396244773</v>
      </c>
      <c r="V229" s="30">
        <f>SelectedInputs!V250</f>
        <v>99.987059669302653</v>
      </c>
      <c r="W229" s="30">
        <f>SelectedInputs!W250</f>
        <v>92.334630861645195</v>
      </c>
      <c r="X229" s="30">
        <f>SelectedInputs!X250</f>
        <v>97.405183056914325</v>
      </c>
      <c r="Y229" s="30">
        <f>SelectedInputs!Y250</f>
        <v>91.254455029953064</v>
      </c>
      <c r="Z229" s="30">
        <f>SelectedInputs!Z250</f>
        <v>107.8513973764981</v>
      </c>
      <c r="AA229" s="30">
        <f>SelectedInputs!AA250</f>
        <v>112.7814106362575</v>
      </c>
      <c r="AB229" s="30">
        <f>SelectedInputs!AB250</f>
        <v>129.46104758722427</v>
      </c>
      <c r="AC229" s="30">
        <f>SelectedInputs!AC250</f>
        <v>128.05734461084816</v>
      </c>
      <c r="AD229" s="30">
        <f>SelectedInputs!AD250</f>
        <v>124.36188074160526</v>
      </c>
      <c r="AE229" s="30">
        <f>SelectedInputs!AE250</f>
        <v>110.51366635320358</v>
      </c>
      <c r="AF229" s="30">
        <f>SelectedInputs!AF250</f>
        <v>110.87417588734979</v>
      </c>
      <c r="AG229" s="30">
        <f>SelectedInputs!AG250</f>
        <v>159.43632367418397</v>
      </c>
      <c r="AH229" s="30">
        <f>SelectedInputs!AH250</f>
        <v>179.23991373181218</v>
      </c>
      <c r="AI229" s="30">
        <f>SelectedInputs!AI250</f>
        <v>158.09167183610603</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5">
      <c r="A230" s="82"/>
      <c r="B230" s="82"/>
      <c r="C230" s="82"/>
      <c r="D230" s="82"/>
      <c r="E230" s="41" t="s">
        <v>287</v>
      </c>
      <c r="F230" s="82"/>
      <c r="G230" s="2" t="s">
        <v>105</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5">
      <c r="A231" s="82"/>
      <c r="B231" s="82"/>
      <c r="C231" s="82"/>
      <c r="D231" s="82"/>
      <c r="E231" s="41" t="s">
        <v>288</v>
      </c>
      <c r="F231" s="82"/>
      <c r="G231" s="2" t="s">
        <v>105</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-0.45374134482442691</v>
      </c>
      <c r="AI231" s="166">
        <f>SelectedInputs!AI252</f>
        <v>31.826224156279334</v>
      </c>
      <c r="AJ231" s="82"/>
      <c r="AK231" s="82"/>
      <c r="AL231" s="82"/>
      <c r="AM231" s="82"/>
      <c r="AN231" s="82"/>
      <c r="AO231" s="82"/>
      <c r="AP231" s="82"/>
      <c r="AQ231" s="147"/>
      <c r="AR231" s="82"/>
      <c r="AS231" s="82"/>
      <c r="AT231" s="82"/>
      <c r="AU231" s="82"/>
      <c r="AV231" s="82"/>
    </row>
    <row r="232" spans="1:48" ht="15">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5">
      <c r="A233" s="82"/>
      <c r="B233" s="82"/>
      <c r="C233" s="82"/>
      <c r="D233" s="10" t="s">
        <v>614</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5">
      <c r="A234" s="82"/>
      <c r="B234" s="82"/>
      <c r="C234" s="82"/>
      <c r="D234" s="82"/>
      <c r="E234" s="41" t="s">
        <v>615</v>
      </c>
      <c r="F234" s="82"/>
      <c r="G234" s="82" t="s">
        <v>281</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5">
      <c r="A235" s="2"/>
      <c r="B235" s="2"/>
      <c r="C235" s="194"/>
      <c r="D235" s="194"/>
      <c r="E235" s="194" t="s">
        <v>398</v>
      </c>
      <c r="F235" s="194"/>
      <c r="G235" s="2" t="s">
        <v>105</v>
      </c>
      <c r="H235" s="194" t="s">
        <v>399</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152.19899361527973</v>
      </c>
      <c r="AK235" s="30">
        <f>SelectedInputs!AK342 * Legacy!$I12</f>
        <v>149.2499241158919</v>
      </c>
      <c r="AL235" s="30">
        <f>SelectedInputs!AL342 * Legacy!$I12</f>
        <v>137.44824217505581</v>
      </c>
      <c r="AM235" s="30">
        <f>SelectedInputs!AM342 * Legacy!$I12</f>
        <v>137.88772970021392</v>
      </c>
      <c r="AN235" s="30">
        <f>SelectedInputs!AN342 * Legacy!$I12</f>
        <v>144.58958014338717</v>
      </c>
      <c r="AO235" s="30">
        <f>SelectedInputs!AO342 * Legacy!$I12</f>
        <v>137.63932832006341</v>
      </c>
      <c r="AP235" s="30">
        <f>SelectedInputs!AP342 * Legacy!$I12</f>
        <v>127.41891356475148</v>
      </c>
      <c r="AQ235" s="218">
        <f>SelectedInputs!AQ342 * Legacy!$I12</f>
        <v>115.32547935840009</v>
      </c>
      <c r="AR235" s="30"/>
      <c r="AS235" s="30"/>
      <c r="AT235" s="30"/>
      <c r="AU235" s="30"/>
      <c r="AV235" s="30"/>
    </row>
    <row r="236" spans="1:48" ht="15">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5">
      <c r="A237" s="2"/>
      <c r="B237" s="37" t="s">
        <v>289</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5">
      <c r="A239" s="82"/>
      <c r="B239" s="82"/>
      <c r="C239" s="82"/>
      <c r="D239" s="82"/>
      <c r="E239" s="82" t="s">
        <v>256</v>
      </c>
      <c r="F239" s="82"/>
      <c r="G239" s="2" t="s">
        <v>209</v>
      </c>
      <c r="H239" s="2" t="s">
        <v>290</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5">
      <c r="A240" s="82"/>
      <c r="B240" s="82"/>
      <c r="C240" s="82"/>
      <c r="D240" s="82"/>
      <c r="E240" s="21" t="s">
        <v>291</v>
      </c>
      <c r="F240" s="82"/>
      <c r="G240" s="2" t="s">
        <v>249</v>
      </c>
      <c r="H240" s="21" t="s">
        <v>292</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5">
      <c r="A241" s="82"/>
      <c r="B241" s="82"/>
      <c r="C241" s="82"/>
      <c r="D241" s="82"/>
      <c r="E241" s="21" t="s">
        <v>293</v>
      </c>
      <c r="F241" s="82"/>
      <c r="G241" s="2" t="s">
        <v>249</v>
      </c>
      <c r="H241" s="21" t="s">
        <v>294</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5">
      <c r="A242" s="82"/>
      <c r="B242" s="82"/>
      <c r="C242" s="82"/>
      <c r="D242" s="82"/>
      <c r="E242" s="56" t="s">
        <v>295</v>
      </c>
      <c r="F242" s="82"/>
      <c r="G242" s="2" t="s">
        <v>209</v>
      </c>
      <c r="H242" s="21" t="s">
        <v>296</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5">
      <c r="A243" s="82"/>
      <c r="B243" s="82"/>
      <c r="C243" s="82"/>
      <c r="D243" s="82"/>
      <c r="E243" s="56" t="s">
        <v>297</v>
      </c>
      <c r="F243" s="82"/>
      <c r="G243" s="2" t="s">
        <v>209</v>
      </c>
      <c r="H243" s="21" t="s">
        <v>298</v>
      </c>
      <c r="I243" s="488">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5">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5">
      <c r="A245" s="2"/>
      <c r="B245" s="37" t="s">
        <v>299</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5">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5">
      <c r="A247" s="2"/>
      <c r="B247" s="2"/>
      <c r="C247" s="2"/>
      <c r="D247" s="2"/>
      <c r="E247" s="131" t="s">
        <v>301</v>
      </c>
      <c r="F247" s="2"/>
      <c r="G247" s="21" t="s">
        <v>302</v>
      </c>
      <c r="H247" s="2" t="s">
        <v>303</v>
      </c>
      <c r="I247" s="7"/>
      <c r="J247" s="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SelectedInputs!AQ354</f>
        <v>387.98965212000002</v>
      </c>
      <c r="AR247" s="30">
        <f>SelectedInputs!AR264</f>
        <v>358.39043361</v>
      </c>
      <c r="AS247" s="30">
        <f>SelectedInputs!AS264</f>
        <v>497.42539007532946</v>
      </c>
      <c r="AT247" s="30">
        <f>SelectedInputs!AT264</f>
        <v>341.6510657395977</v>
      </c>
      <c r="AU247" s="30">
        <f>SelectedInputs!AU264</f>
        <v>0</v>
      </c>
      <c r="AV247" s="30">
        <f>SelectedInputs!AV264</f>
        <v>0</v>
      </c>
    </row>
    <row r="248" spans="1:48" ht="15">
      <c r="A248" s="2"/>
      <c r="B248" s="2"/>
      <c r="C248" s="2"/>
      <c r="D248" s="2"/>
      <c r="E248" s="131" t="s">
        <v>1224</v>
      </c>
      <c r="F248" s="2"/>
      <c r="G248" s="21" t="s">
        <v>302</v>
      </c>
      <c r="H248" s="2" t="s">
        <v>616</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AQ247 - (AQ251+AQ252)*InputSummary!AQ18</f>
        <v>387.98965212000002</v>
      </c>
      <c r="AR248" s="30">
        <f>AR247 - (AR251+AR252)*InputSummary!AR18</f>
        <v>358.42727594500002</v>
      </c>
      <c r="AS248" s="30">
        <f>AS247 - (AS251+AS252)*InputSummary!AS18</f>
        <v>497.43339780866279</v>
      </c>
      <c r="AT248" s="30">
        <f>AT247 - (AT251+AT252)*InputSummary!AT18</f>
        <v>341.6510657395977</v>
      </c>
      <c r="AU248" s="30">
        <f>AU247 - (AU251+AU252)*InputSummary!AU18</f>
        <v>0</v>
      </c>
      <c r="AV248" s="30">
        <f>AV247 - (AV251+AV252)*InputSummary!AV18</f>
        <v>0</v>
      </c>
    </row>
    <row r="249" spans="1:48" ht="15">
      <c r="A249" s="2"/>
      <c r="B249" s="2"/>
      <c r="C249" s="2"/>
      <c r="D249" s="2"/>
      <c r="E249" s="131" t="s">
        <v>304</v>
      </c>
      <c r="F249" s="2"/>
      <c r="G249" s="21" t="s">
        <v>302</v>
      </c>
      <c r="H249" s="82" t="s">
        <v>305</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4"/>
      <c r="AK249" s="364"/>
      <c r="AL249" s="126"/>
      <c r="AM249" s="364"/>
      <c r="AN249" s="126"/>
      <c r="AO249" s="126"/>
      <c r="AP249" s="136"/>
      <c r="AQ249" s="218"/>
      <c r="AR249" s="30">
        <f>SelectedInputs!AR265</f>
        <v>0</v>
      </c>
      <c r="AS249" s="30">
        <f>SelectedInputs!AS265</f>
        <v>0</v>
      </c>
      <c r="AT249" s="30">
        <f>SelectedInputs!AT265</f>
        <v>340.41054209014391</v>
      </c>
      <c r="AU249" s="30">
        <f>SelectedInputs!AU265</f>
        <v>0</v>
      </c>
      <c r="AV249" s="30">
        <f>SelectedInputs!AV265</f>
        <v>0</v>
      </c>
    </row>
    <row r="250" spans="1:48" ht="15">
      <c r="A250" s="2"/>
      <c r="B250" s="2"/>
      <c r="C250" s="2"/>
      <c r="D250" s="2"/>
      <c r="E250" s="131" t="s">
        <v>306</v>
      </c>
      <c r="F250" s="2"/>
      <c r="G250" s="2" t="s">
        <v>105</v>
      </c>
      <c r="H250" s="82" t="s">
        <v>307</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f>SelectedInputs!AQ266</f>
        <v>0</v>
      </c>
      <c r="AR250" s="30">
        <f>SelectedInputs!AR266</f>
        <v>0</v>
      </c>
      <c r="AS250" s="30">
        <f>SelectedInputs!AS266</f>
        <v>0</v>
      </c>
      <c r="AT250" s="30">
        <f>SelectedInputs!AT266</f>
        <v>271.24935114255658</v>
      </c>
      <c r="AU250" s="30">
        <f>SelectedInputs!AU266</f>
        <v>0</v>
      </c>
      <c r="AV250" s="30">
        <f>SelectedInputs!AV266</f>
        <v>0</v>
      </c>
    </row>
    <row r="251" spans="1:48" ht="15">
      <c r="A251" s="2"/>
      <c r="B251" s="2"/>
      <c r="C251" s="2"/>
      <c r="D251" s="2"/>
      <c r="E251" s="82" t="s">
        <v>1396</v>
      </c>
      <c r="F251" s="82"/>
      <c r="G251" s="82" t="s">
        <v>302</v>
      </c>
      <c r="H251" s="82" t="s">
        <v>308</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c r="AR251" s="30">
        <f>SelectedInputs!AR267</f>
        <v>3.7752333333333082E-4</v>
      </c>
      <c r="AS251" s="30">
        <f>SelectedInputs!AS267</f>
        <v>0</v>
      </c>
      <c r="AT251" s="30">
        <f>SelectedInputs!AT267</f>
        <v>0</v>
      </c>
      <c r="AU251" s="30">
        <f>SelectedInputs!AU267</f>
        <v>0</v>
      </c>
      <c r="AV251" s="30">
        <f>SelectedInputs!AV267</f>
        <v>0</v>
      </c>
    </row>
    <row r="252" spans="1:48" ht="15">
      <c r="A252" s="2"/>
      <c r="B252" s="2"/>
      <c r="C252" s="2"/>
      <c r="D252" s="2"/>
      <c r="E252" s="82" t="s">
        <v>516</v>
      </c>
      <c r="F252" s="82"/>
      <c r="G252" s="82" t="s">
        <v>302</v>
      </c>
      <c r="H252" s="82" t="s">
        <v>310</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-3.7219858333333335E-2</v>
      </c>
      <c r="AS252" s="30">
        <f>SelectedInputs!AS268</f>
        <v>-8.0077333333333344E-3</v>
      </c>
      <c r="AT252" s="30">
        <f>SelectedInputs!AT268</f>
        <v>0</v>
      </c>
      <c r="AU252" s="30">
        <f>SelectedInputs!AU268</f>
        <v>0</v>
      </c>
      <c r="AV252" s="30">
        <f>SelectedInputs!AV268</f>
        <v>0</v>
      </c>
    </row>
    <row r="253" spans="1:48" ht="15">
      <c r="A253" s="2"/>
      <c r="B253" s="2"/>
      <c r="C253" s="2"/>
      <c r="D253" s="2"/>
      <c r="E253" s="131" t="s">
        <v>311</v>
      </c>
      <c r="F253" s="34"/>
      <c r="G253" s="7" t="s">
        <v>312</v>
      </c>
      <c r="H253" s="34" t="s">
        <v>313</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f>SelectedInputs!AQ269</f>
        <v>0</v>
      </c>
      <c r="AR253" s="30">
        <f>SelectedInputs!AR269</f>
        <v>0</v>
      </c>
      <c r="AS253" s="30">
        <f>SelectedInputs!AS269</f>
        <v>0</v>
      </c>
      <c r="AT253" s="30">
        <f>SelectedInputs!AT269</f>
        <v>0</v>
      </c>
      <c r="AU253" s="30">
        <f>SelectedInputs!AU269</f>
        <v>0</v>
      </c>
      <c r="AV253" s="30">
        <f>SelectedInputs!AV269</f>
        <v>0</v>
      </c>
    </row>
    <row r="254" spans="1:48" ht="15">
      <c r="A254" s="2"/>
      <c r="B254" s="2"/>
      <c r="C254" s="2"/>
      <c r="D254" s="2"/>
      <c r="E254" s="131" t="s">
        <v>314</v>
      </c>
      <c r="F254" s="34"/>
      <c r="G254" s="7" t="s">
        <v>312</v>
      </c>
      <c r="H254" s="34" t="s">
        <v>315</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0</v>
      </c>
      <c r="AS254" s="30">
        <f>SelectedInputs!AS270</f>
        <v>0</v>
      </c>
      <c r="AT254" s="30">
        <f>SelectedInputs!AT270</f>
        <v>0</v>
      </c>
      <c r="AU254" s="30">
        <f>SelectedInputs!AU270</f>
        <v>0</v>
      </c>
      <c r="AV254" s="30">
        <f>SelectedInputs!AV270</f>
        <v>0</v>
      </c>
    </row>
    <row r="255" spans="1:48" ht="15">
      <c r="A255" s="2"/>
      <c r="B255" s="2"/>
      <c r="C255" s="2"/>
      <c r="D255" s="2"/>
      <c r="E255" s="131" t="s">
        <v>316</v>
      </c>
      <c r="F255" s="21"/>
      <c r="G255" s="21" t="s">
        <v>209</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4"/>
      <c r="AN255" s="46"/>
      <c r="AO255" s="46"/>
      <c r="AP255" s="46"/>
      <c r="AQ255" s="188"/>
      <c r="AR255" s="30"/>
      <c r="AS255" s="30"/>
      <c r="AT255" s="30"/>
      <c r="AU255" s="30"/>
      <c r="AV255" s="30"/>
    </row>
    <row r="256" spans="1:48" ht="15">
      <c r="A256" s="2"/>
      <c r="B256" s="2"/>
      <c r="C256" s="2"/>
      <c r="D256" s="2"/>
      <c r="E256" s="34" t="s">
        <v>317</v>
      </c>
      <c r="F256" s="34"/>
      <c r="G256" s="21" t="s">
        <v>209</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5">
      <c r="A257" s="2"/>
      <c r="B257" s="2"/>
      <c r="C257" s="2"/>
      <c r="D257" s="2"/>
      <c r="E257" s="34" t="s">
        <v>318</v>
      </c>
      <c r="F257" s="34"/>
      <c r="G257" s="21" t="s">
        <v>209</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23"/>
      <c r="AQ257" s="491"/>
      <c r="AR257" s="23"/>
      <c r="AS257" s="23"/>
      <c r="AT257" s="23"/>
      <c r="AU257" s="23"/>
      <c r="AV257" s="23"/>
    </row>
    <row r="258" spans="1:48" ht="15">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46"/>
      <c r="AQ258" s="188"/>
      <c r="AR258" s="46"/>
      <c r="AS258" s="46"/>
      <c r="AT258" s="46"/>
      <c r="AU258" s="46"/>
      <c r="AV258" s="46"/>
    </row>
    <row r="259" spans="1:48" ht="15">
      <c r="A259" s="2"/>
      <c r="B259" s="37" t="s">
        <v>617</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5">
      <c r="A261" s="2"/>
      <c r="B261" s="2"/>
      <c r="C261" s="28" t="s">
        <v>618</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5">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7"/>
      <c r="AR262" s="82"/>
      <c r="AS262" s="82"/>
      <c r="AT262" s="82"/>
      <c r="AU262" s="82"/>
      <c r="AV262" s="82"/>
    </row>
    <row r="263" spans="1:48" ht="15">
      <c r="A263" s="2"/>
      <c r="B263" s="2"/>
      <c r="C263" s="2"/>
      <c r="D263" s="2"/>
      <c r="E263" s="7" t="s">
        <v>332</v>
      </c>
      <c r="F263" s="2"/>
      <c r="G263" s="7" t="s">
        <v>209</v>
      </c>
      <c r="H263" s="2" t="s">
        <v>333</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6"/>
      <c r="AJ263" s="262"/>
      <c r="AK263" s="262"/>
      <c r="AL263" s="262"/>
      <c r="AM263" s="262"/>
      <c r="AN263" s="262"/>
      <c r="AO263" s="262"/>
      <c r="AP263" s="262"/>
      <c r="AQ263" s="298"/>
      <c r="AR263" s="262">
        <f>SelectedInputs!AR285</f>
        <v>0.25</v>
      </c>
      <c r="AS263" s="262">
        <f>SelectedInputs!AS285</f>
        <v>0.25</v>
      </c>
      <c r="AT263" s="262">
        <f>SelectedInputs!AT285</f>
        <v>0.25</v>
      </c>
      <c r="AU263" s="262">
        <f>SelectedInputs!AU285</f>
        <v>0.25</v>
      </c>
      <c r="AV263" s="262">
        <f>SelectedInputs!AV285</f>
        <v>0.25</v>
      </c>
    </row>
    <row r="264" spans="1:48" ht="15">
      <c r="A264" s="2"/>
      <c r="B264" s="2"/>
      <c r="C264" s="2"/>
      <c r="D264" s="2"/>
      <c r="E264" s="7" t="s">
        <v>334</v>
      </c>
      <c r="F264" s="7"/>
      <c r="G264" s="7" t="s">
        <v>209</v>
      </c>
      <c r="H264" s="7" t="s">
        <v>335</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0.18</v>
      </c>
      <c r="AS264" s="262">
        <f>SelectedInputs!AS286</f>
        <v>0.18</v>
      </c>
      <c r="AT264" s="262">
        <f>SelectedInputs!AT286</f>
        <v>0.18</v>
      </c>
      <c r="AU264" s="262">
        <f>SelectedInputs!AU286</f>
        <v>0.18</v>
      </c>
      <c r="AV264" s="262">
        <f>SelectedInputs!AV286</f>
        <v>0.18</v>
      </c>
    </row>
    <row r="265" spans="1:48" ht="15">
      <c r="A265" s="2"/>
      <c r="B265" s="2"/>
      <c r="C265" s="2"/>
      <c r="D265" s="2"/>
      <c r="E265" s="7" t="s">
        <v>336</v>
      </c>
      <c r="F265" s="7"/>
      <c r="G265" s="7" t="s">
        <v>209</v>
      </c>
      <c r="H265" s="7" t="s">
        <v>337</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0.06</v>
      </c>
      <c r="AS265" s="262">
        <f>SelectedInputs!AS287</f>
        <v>0.06</v>
      </c>
      <c r="AT265" s="262">
        <f>SelectedInputs!AT287</f>
        <v>0.06</v>
      </c>
      <c r="AU265" s="262">
        <f>SelectedInputs!AU287</f>
        <v>0.06</v>
      </c>
      <c r="AV265" s="262">
        <f>SelectedInputs!AV287</f>
        <v>0.06</v>
      </c>
    </row>
    <row r="266" spans="1:48" ht="15">
      <c r="A266" s="2"/>
      <c r="B266" s="2"/>
      <c r="C266" s="2"/>
      <c r="D266" s="2"/>
      <c r="E266" s="7" t="s">
        <v>338</v>
      </c>
      <c r="F266" s="2"/>
      <c r="G266" s="7" t="s">
        <v>209</v>
      </c>
      <c r="H266" s="7" t="s">
        <v>339</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0.03</v>
      </c>
      <c r="AS266" s="262">
        <f>SelectedInputs!AS288</f>
        <v>0.03</v>
      </c>
      <c r="AT266" s="262">
        <f>SelectedInputs!AT288</f>
        <v>0.03</v>
      </c>
      <c r="AU266" s="262">
        <f>SelectedInputs!AU288</f>
        <v>0.03</v>
      </c>
      <c r="AV266" s="262">
        <f>SelectedInputs!AV288</f>
        <v>0.03</v>
      </c>
    </row>
    <row r="267" spans="1:48" ht="15">
      <c r="A267" s="2"/>
      <c r="B267" s="2"/>
      <c r="C267" s="2"/>
      <c r="D267" s="2"/>
      <c r="E267" s="7" t="s">
        <v>340</v>
      </c>
      <c r="F267" s="7"/>
      <c r="G267" s="7" t="s">
        <v>209</v>
      </c>
      <c r="H267" s="7" t="s">
        <v>341</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6"/>
      <c r="AJ267" s="262"/>
      <c r="AK267" s="262"/>
      <c r="AL267" s="262"/>
      <c r="AM267" s="262"/>
      <c r="AN267" s="262"/>
      <c r="AO267" s="262"/>
      <c r="AP267" s="262"/>
      <c r="AQ267" s="298"/>
      <c r="AR267" s="262">
        <f>SelectedInputs!AR289</f>
        <v>2.2200000000000001E-2</v>
      </c>
      <c r="AS267" s="262">
        <f>SelectedInputs!AS289</f>
        <v>2.2200000000000001E-2</v>
      </c>
      <c r="AT267" s="262">
        <f>SelectedInputs!AT289</f>
        <v>2.2200000000000001E-2</v>
      </c>
      <c r="AU267" s="262">
        <f>SelectedInputs!AU289</f>
        <v>2.2200000000000001E-2</v>
      </c>
      <c r="AV267" s="262">
        <f>SelectedInputs!AV289</f>
        <v>2.2200000000000001E-2</v>
      </c>
    </row>
    <row r="268" spans="1:48" ht="15">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c r="AS268" s="262"/>
      <c r="AT268" s="262"/>
      <c r="AU268" s="262"/>
      <c r="AV268" s="262"/>
    </row>
    <row r="269" spans="1:48" ht="15">
      <c r="A269" s="82"/>
      <c r="B269" s="82"/>
      <c r="C269" s="20" t="s">
        <v>619</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5">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7"/>
      <c r="AR270" s="82"/>
      <c r="AS270" s="82"/>
      <c r="AT270" s="82"/>
      <c r="AU270" s="82"/>
      <c r="AV270" s="82"/>
    </row>
    <row r="271" spans="1:48" ht="15">
      <c r="A271" s="82"/>
      <c r="B271" s="82"/>
      <c r="C271" s="82"/>
      <c r="D271" s="21"/>
      <c r="E271" s="82" t="s">
        <v>401</v>
      </c>
      <c r="F271" s="82"/>
      <c r="G271" s="82" t="s">
        <v>302</v>
      </c>
      <c r="H271" s="82" t="s">
        <v>402</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8"/>
      <c r="AR271" s="30">
        <f>SelectedInputs!AR344</f>
        <v>46.080796007047375</v>
      </c>
      <c r="AS271" s="30"/>
      <c r="AT271" s="30"/>
      <c r="AU271" s="30"/>
      <c r="AV271" s="30"/>
    </row>
    <row r="272" spans="1:48" ht="15">
      <c r="A272" s="82"/>
      <c r="B272" s="82"/>
      <c r="C272" s="82"/>
      <c r="D272" s="21"/>
      <c r="E272" s="82" t="s">
        <v>403</v>
      </c>
      <c r="F272" s="82"/>
      <c r="G272" s="82" t="s">
        <v>302</v>
      </c>
      <c r="H272" s="82" t="s">
        <v>404</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266.29227843296019</v>
      </c>
      <c r="AS272" s="30"/>
      <c r="AT272" s="30"/>
      <c r="AU272" s="30"/>
      <c r="AV272" s="30"/>
    </row>
    <row r="273" spans="1:57" ht="15">
      <c r="A273" s="82"/>
      <c r="B273" s="82"/>
      <c r="C273" s="82"/>
      <c r="D273" s="21"/>
      <c r="E273" s="82" t="s">
        <v>405</v>
      </c>
      <c r="F273" s="82"/>
      <c r="G273" s="82" t="s">
        <v>302</v>
      </c>
      <c r="H273" s="82" t="s">
        <v>406</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1369.3486602701878</v>
      </c>
      <c r="AS273" s="30"/>
      <c r="AT273" s="30"/>
      <c r="AU273" s="30"/>
      <c r="AV273" s="30"/>
    </row>
    <row r="274" spans="1:57" s="82" customFormat="1" ht="15">
      <c r="E274" s="82" t="s">
        <v>407</v>
      </c>
      <c r="G274" s="82" t="s">
        <v>302</v>
      </c>
      <c r="H274" s="82" t="s">
        <v>408</v>
      </c>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18">
        <f>SelectedInputs!AQ347</f>
        <v>1697.8640410247963</v>
      </c>
      <c r="AR274" s="455"/>
      <c r="AS274" s="184"/>
      <c r="AT274" s="184"/>
      <c r="AU274" s="184"/>
      <c r="AV274" s="184"/>
      <c r="AW274" s="184"/>
      <c r="AX274" s="184"/>
      <c r="AY274" s="184"/>
      <c r="AZ274" s="184"/>
      <c r="BA274" s="184"/>
      <c r="BC274"/>
      <c r="BD274"/>
      <c r="BE274"/>
    </row>
    <row r="275" spans="1:57" ht="15">
      <c r="A275" s="82"/>
      <c r="B275" s="82"/>
      <c r="C275" s="82"/>
      <c r="D275" s="21"/>
      <c r="E275" s="82" t="s">
        <v>409</v>
      </c>
      <c r="F275" s="82"/>
      <c r="G275" s="82" t="s">
        <v>302</v>
      </c>
      <c r="H275" s="82" t="s">
        <v>410</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8"/>
      <c r="AR275" s="30">
        <f>SelectedInputs!AR348</f>
        <v>0</v>
      </c>
      <c r="AS275" s="30"/>
      <c r="AT275" s="30"/>
      <c r="AU275" s="30"/>
      <c r="AV275" s="30"/>
    </row>
    <row r="276" spans="1:57" ht="1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7"/>
      <c r="AR276" s="82"/>
      <c r="AS276" s="82"/>
      <c r="AT276" s="82"/>
      <c r="AU276" s="82"/>
      <c r="AV276" s="82"/>
    </row>
    <row r="277" spans="1:57" ht="15">
      <c r="A277" s="82"/>
      <c r="B277" s="82"/>
      <c r="C277" s="82"/>
      <c r="D277" s="82"/>
      <c r="E277" s="293" t="s">
        <v>411</v>
      </c>
      <c r="F277" s="82"/>
      <c r="G277" s="82" t="s">
        <v>302</v>
      </c>
      <c r="H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18"/>
      <c r="AR277" s="184">
        <f>SelectedInputs!AR349</f>
        <v>0</v>
      </c>
      <c r="AS277" s="184"/>
      <c r="AT277" s="184"/>
      <c r="AU277" s="184"/>
      <c r="AV277" s="184"/>
      <c r="AW277" s="184"/>
      <c r="AX277" s="184"/>
      <c r="AY277" s="184"/>
      <c r="AZ277" s="184"/>
      <c r="BA277" s="184"/>
      <c r="BB277" s="82"/>
    </row>
    <row r="278" spans="1:57" ht="15">
      <c r="A278" s="82"/>
      <c r="B278" s="82"/>
      <c r="C278" s="82"/>
      <c r="D278" s="82"/>
      <c r="E278" s="346"/>
      <c r="F278" s="82"/>
      <c r="G278" s="82"/>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c r="AS278" s="184"/>
      <c r="AT278" s="184"/>
      <c r="AU278" s="184"/>
      <c r="AV278" s="184"/>
      <c r="AW278" s="184"/>
      <c r="AX278" s="184"/>
      <c r="AY278" s="184"/>
      <c r="AZ278" s="184"/>
      <c r="BA278" s="184"/>
      <c r="BB278" s="82"/>
    </row>
    <row r="279" spans="1:57" ht="15">
      <c r="A279" s="82"/>
      <c r="B279" s="82"/>
      <c r="C279" s="20" t="s">
        <v>620</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5">
      <c r="A280" s="82"/>
      <c r="B280" s="82"/>
      <c r="C280" s="141"/>
      <c r="D280" s="141"/>
      <c r="E280" s="141"/>
      <c r="F280" s="141"/>
      <c r="G280" s="14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7"/>
      <c r="AR280" s="30"/>
      <c r="AS280" s="82"/>
      <c r="AT280" s="82"/>
      <c r="AU280" s="82"/>
      <c r="AV280" s="82"/>
    </row>
    <row r="281" spans="1:57" ht="15">
      <c r="A281" s="82"/>
      <c r="B281" s="82"/>
      <c r="C281" s="21"/>
      <c r="D281" s="21"/>
      <c r="E281" s="82" t="s">
        <v>320</v>
      </c>
      <c r="F281" s="21"/>
      <c r="G281" s="82" t="s">
        <v>105</v>
      </c>
      <c r="H281" s="82" t="s">
        <v>321</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8"/>
      <c r="AR281" s="30">
        <f>SelectedInputs!AR277</f>
        <v>-7.4902841129978519</v>
      </c>
      <c r="AS281" s="30">
        <f>SelectedInputs!AS277</f>
        <v>-13.85742314165349</v>
      </c>
      <c r="AT281" s="30">
        <f>SelectedInputs!AT277</f>
        <v>-16.391682717885182</v>
      </c>
      <c r="AU281" s="30">
        <f>SelectedInputs!AU277</f>
        <v>-13.326443031526201</v>
      </c>
      <c r="AV281" s="30">
        <f>SelectedInputs!AV277</f>
        <v>-12.194089871593816</v>
      </c>
    </row>
    <row r="282" spans="1:57" ht="15">
      <c r="A282" s="82"/>
      <c r="B282" s="82"/>
      <c r="C282" s="141"/>
      <c r="D282" s="141"/>
      <c r="E282" s="141" t="s">
        <v>322</v>
      </c>
      <c r="F282" s="141"/>
      <c r="G282" s="141" t="s">
        <v>302</v>
      </c>
      <c r="H282" s="82" t="s">
        <v>323</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1088.3004290000001</v>
      </c>
      <c r="AS282" s="30">
        <f>SelectedInputs!AS278</f>
        <v>1060.8897999999999</v>
      </c>
      <c r="AT282" s="30">
        <f>SelectedInputs!AT278</f>
        <v>1318.623</v>
      </c>
      <c r="AU282" s="30">
        <f>SelectedInputs!AU278</f>
        <v>1402.528</v>
      </c>
      <c r="AV282" s="30">
        <f>SelectedInputs!AV278</f>
        <v>1566.8589999999999</v>
      </c>
    </row>
    <row r="283" spans="1:57" ht="15">
      <c r="A283" s="82"/>
      <c r="B283" s="82"/>
      <c r="C283" s="21"/>
      <c r="D283" s="21"/>
      <c r="E283" s="7" t="s">
        <v>324</v>
      </c>
      <c r="F283" s="21"/>
      <c r="G283" s="82" t="s">
        <v>302</v>
      </c>
      <c r="H283" s="82" t="s">
        <v>325</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18.307000000000002</v>
      </c>
      <c r="AS283" s="30">
        <f>SelectedInputs!AS279</f>
        <v>32.593967244983794</v>
      </c>
      <c r="AT283" s="30">
        <f>SelectedInputs!AT279</f>
        <v>38.851299999999995</v>
      </c>
      <c r="AU283" s="30">
        <f>SelectedInputs!AU279</f>
        <v>47.974300000000014</v>
      </c>
      <c r="AV283" s="30">
        <f>SelectedInputs!AV279</f>
        <v>54.565899999999999</v>
      </c>
    </row>
    <row r="284" spans="1:57" ht="15">
      <c r="A284" s="82"/>
      <c r="B284" s="82"/>
      <c r="C284" s="21"/>
      <c r="D284" s="21"/>
      <c r="E284" s="7" t="s">
        <v>326</v>
      </c>
      <c r="F284" s="21"/>
      <c r="G284" s="82" t="s">
        <v>302</v>
      </c>
      <c r="H284" s="82" t="s">
        <v>327</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5">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7"/>
      <c r="AR285" s="30"/>
      <c r="AS285" s="30"/>
      <c r="AT285" s="30"/>
      <c r="AU285" s="30"/>
      <c r="AV285" s="30"/>
    </row>
    <row r="286" spans="1:57" ht="15">
      <c r="A286" s="82"/>
      <c r="B286" s="82"/>
      <c r="C286" s="21"/>
      <c r="D286" s="21"/>
      <c r="E286" s="7" t="s">
        <v>342</v>
      </c>
      <c r="F286" s="21"/>
      <c r="G286" s="82" t="s">
        <v>105</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f>SelectedInputs!AR291</f>
        <v>1.368578491828039</v>
      </c>
      <c r="AS286" s="30">
        <f>SelectedInputs!AS291</f>
        <v>1.4008338175049104</v>
      </c>
      <c r="AT286" s="30">
        <f>SelectedInputs!AT291</f>
        <v>1.2944169556388054</v>
      </c>
      <c r="AU286" s="30">
        <f>SelectedInputs!AU291</f>
        <v>1.1615288221705597</v>
      </c>
      <c r="AV286" s="30">
        <f>SelectedInputs!AV291</f>
        <v>1.0171476978779488</v>
      </c>
    </row>
    <row r="287" spans="1:57" ht="15">
      <c r="A287" s="82"/>
      <c r="B287" s="82"/>
      <c r="C287" s="21"/>
      <c r="D287" s="21"/>
      <c r="E287" s="7" t="s">
        <v>343</v>
      </c>
      <c r="F287" s="21"/>
      <c r="G287" s="82" t="s">
        <v>209</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489">
        <f>SelectedInputs!AR292</f>
        <v>0.65</v>
      </c>
      <c r="AS287" s="489">
        <f>SelectedInputs!AS292</f>
        <v>0.64</v>
      </c>
      <c r="AT287" s="489">
        <f>SelectedInputs!AT292</f>
        <v>0.63</v>
      </c>
      <c r="AU287" s="489">
        <f>SelectedInputs!AU292</f>
        <v>0.61</v>
      </c>
      <c r="AV287" s="489">
        <f>SelectedInputs!AV292</f>
        <v>0.6</v>
      </c>
    </row>
    <row r="288" spans="1:57" ht="1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7"/>
      <c r="AR288" s="82"/>
      <c r="AS288" s="82"/>
      <c r="AT288" s="82"/>
      <c r="AU288" s="82"/>
      <c r="AV288" s="82"/>
    </row>
    <row r="289" spans="1:48" ht="15">
      <c r="A289" s="2"/>
      <c r="B289" s="37" t="s">
        <v>627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5">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69"/>
      <c r="AR290" s="83"/>
      <c r="AS290" s="83"/>
      <c r="AT290" s="83"/>
      <c r="AU290" s="83"/>
      <c r="AV290" s="83"/>
    </row>
    <row r="291" spans="1:48" ht="15">
      <c r="A291" s="2"/>
      <c r="B291" s="2"/>
      <c r="C291" s="28" t="s">
        <v>628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5.75">
      <c r="A293" s="82"/>
      <c r="B293" s="82"/>
      <c r="C293" s="82"/>
      <c r="D293" s="82"/>
      <c r="E293" s="259" t="s">
        <v>629</v>
      </c>
      <c r="F293" s="268"/>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7"/>
      <c r="AR293" s="7"/>
      <c r="AS293" s="7"/>
      <c r="AT293" s="7"/>
      <c r="AU293" s="7"/>
      <c r="AV293" s="7"/>
    </row>
    <row r="294" spans="1:48" ht="15.75">
      <c r="A294" s="82"/>
      <c r="B294" s="82"/>
      <c r="C294" s="82"/>
      <c r="D294" s="82"/>
      <c r="E294" s="82" t="s">
        <v>630</v>
      </c>
      <c r="F294" s="268"/>
      <c r="G294" s="2" t="s">
        <v>105</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4"/>
      <c r="AR294" s="7">
        <f t="shared" ref="AR294:AV300" si="12">AR31 + AR312 + AR321</f>
        <v>27.252530719612931</v>
      </c>
      <c r="AS294" s="7">
        <f t="shared" si="12"/>
        <v>29.148113744488924</v>
      </c>
      <c r="AT294" s="7">
        <f t="shared" si="12"/>
        <v>26.185773062902634</v>
      </c>
      <c r="AU294" s="7">
        <f t="shared" si="12"/>
        <v>29.911504374883158</v>
      </c>
      <c r="AV294" s="7">
        <f t="shared" si="12"/>
        <v>29.170929006971171</v>
      </c>
    </row>
    <row r="295" spans="1:48" ht="15.75">
      <c r="A295" s="82"/>
      <c r="B295" s="82"/>
      <c r="C295" s="82"/>
      <c r="D295" s="82"/>
      <c r="E295" s="82" t="s">
        <v>631</v>
      </c>
      <c r="F295" s="268"/>
      <c r="G295" s="2" t="s">
        <v>105</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si="12"/>
        <v>60.535329353230168</v>
      </c>
      <c r="AS295" s="7">
        <f t="shared" si="12"/>
        <v>67.506236192985483</v>
      </c>
      <c r="AT295" s="7">
        <f t="shared" si="12"/>
        <v>70.722438968733286</v>
      </c>
      <c r="AU295" s="7">
        <f t="shared" si="12"/>
        <v>67.448795126665857</v>
      </c>
      <c r="AV295" s="7">
        <f t="shared" si="12"/>
        <v>70.623169525836346</v>
      </c>
    </row>
    <row r="296" spans="1:48" ht="15.75">
      <c r="A296" s="82"/>
      <c r="B296" s="82"/>
      <c r="C296" s="82"/>
      <c r="D296" s="82"/>
      <c r="E296" s="82" t="s">
        <v>632</v>
      </c>
      <c r="F296" s="268"/>
      <c r="G296" s="2" t="s">
        <v>105</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22.141324785811157</v>
      </c>
      <c r="AS296" s="7">
        <f t="shared" si="12"/>
        <v>31.749633573807003</v>
      </c>
      <c r="AT296" s="7">
        <f t="shared" si="12"/>
        <v>26.750305926960468</v>
      </c>
      <c r="AU296" s="7">
        <f t="shared" si="12"/>
        <v>24.538116588281742</v>
      </c>
      <c r="AV296" s="7">
        <f t="shared" si="12"/>
        <v>24.16182084336026</v>
      </c>
    </row>
    <row r="297" spans="1:48" ht="15.75">
      <c r="A297" s="82"/>
      <c r="B297" s="82"/>
      <c r="C297" s="82"/>
      <c r="D297" s="82"/>
      <c r="E297" s="82" t="s">
        <v>633</v>
      </c>
      <c r="F297" s="268"/>
      <c r="G297" s="2" t="s">
        <v>105</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22.566580784315615</v>
      </c>
      <c r="AS297" s="7">
        <f t="shared" si="12"/>
        <v>23.11458600421911</v>
      </c>
      <c r="AT297" s="7">
        <f t="shared" si="12"/>
        <v>24.545761190567244</v>
      </c>
      <c r="AU297" s="7">
        <f t="shared" si="12"/>
        <v>36.45855796672484</v>
      </c>
      <c r="AV297" s="7">
        <f t="shared" si="12"/>
        <v>36.232860390305873</v>
      </c>
    </row>
    <row r="298" spans="1:48" ht="15.75">
      <c r="A298" s="82"/>
      <c r="B298" s="82"/>
      <c r="C298" s="82"/>
      <c r="D298" s="82"/>
      <c r="E298" s="82" t="s">
        <v>634</v>
      </c>
      <c r="F298" s="268"/>
      <c r="G298" s="2" t="s">
        <v>105</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3.697800136490113</v>
      </c>
      <c r="AS298" s="7">
        <f t="shared" si="12"/>
        <v>3.4516162022635544</v>
      </c>
      <c r="AT298" s="7">
        <f t="shared" si="12"/>
        <v>3.4851011488651902</v>
      </c>
      <c r="AU298" s="7">
        <f t="shared" si="12"/>
        <v>3.7996491995341835</v>
      </c>
      <c r="AV298" s="7">
        <f t="shared" si="12"/>
        <v>3.5499474058449789</v>
      </c>
    </row>
    <row r="299" spans="1:48" ht="15.75">
      <c r="A299" s="82"/>
      <c r="B299" s="82"/>
      <c r="C299" s="82"/>
      <c r="D299" s="82"/>
      <c r="E299" s="82" t="s">
        <v>635</v>
      </c>
      <c r="F299" s="268"/>
      <c r="G299" s="2" t="s">
        <v>105</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6.082792343682665</v>
      </c>
      <c r="AS299" s="7">
        <f t="shared" si="12"/>
        <v>6.1911570453121776</v>
      </c>
      <c r="AT299" s="7">
        <f t="shared" si="12"/>
        <v>6.1562097126089474</v>
      </c>
      <c r="AU299" s="7">
        <f t="shared" si="12"/>
        <v>6.3385783211419717</v>
      </c>
      <c r="AV299" s="7">
        <f t="shared" si="12"/>
        <v>6.2708713874935231</v>
      </c>
    </row>
    <row r="300" spans="1:48" ht="15.75">
      <c r="A300" s="82"/>
      <c r="B300" s="82"/>
      <c r="C300" s="82"/>
      <c r="D300" s="82"/>
      <c r="E300" s="82" t="s">
        <v>636</v>
      </c>
      <c r="F300" s="268"/>
      <c r="G300" s="2" t="s">
        <v>105</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73.97093538679799</v>
      </c>
      <c r="AS300" s="7">
        <f t="shared" si="12"/>
        <v>74.716938611707548</v>
      </c>
      <c r="AT300" s="7">
        <f t="shared" si="12"/>
        <v>73.673927471976484</v>
      </c>
      <c r="AU300" s="7">
        <f t="shared" si="12"/>
        <v>75.057372198888316</v>
      </c>
      <c r="AV300" s="7">
        <f t="shared" si="12"/>
        <v>74.28571225328507</v>
      </c>
    </row>
    <row r="301" spans="1:48" ht="15.75">
      <c r="A301" s="82"/>
      <c r="B301" s="82"/>
      <c r="C301" s="82"/>
      <c r="D301" s="82"/>
      <c r="E301" s="82"/>
      <c r="F301" s="268"/>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7"/>
      <c r="AR301" s="7"/>
      <c r="AS301" s="7"/>
      <c r="AT301" s="7"/>
      <c r="AU301" s="7"/>
      <c r="AV301" s="7"/>
    </row>
    <row r="302" spans="1:48" ht="15">
      <c r="A302" s="82"/>
      <c r="B302" s="82"/>
      <c r="C302" s="82"/>
      <c r="D302" s="82"/>
      <c r="E302" s="259" t="s">
        <v>637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251"/>
      <c r="AS302" s="251"/>
      <c r="AT302" s="251"/>
      <c r="AU302" s="251"/>
      <c r="AV302" s="251"/>
    </row>
    <row r="303" spans="1:48" ht="15.75">
      <c r="A303" s="82"/>
      <c r="B303" s="82"/>
      <c r="C303" s="82"/>
      <c r="D303" s="82"/>
      <c r="E303" s="82" t="s">
        <v>630</v>
      </c>
      <c r="F303" s="268"/>
      <c r="G303" s="2" t="s">
        <v>105</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7">
        <f t="shared" ref="AR303:AV309" si="13">AR31</f>
        <v>16.82</v>
      </c>
      <c r="AS303" s="7">
        <f t="shared" si="13"/>
        <v>18.329999999999998</v>
      </c>
      <c r="AT303" s="7">
        <f t="shared" si="13"/>
        <v>11.69</v>
      </c>
      <c r="AU303" s="7">
        <f t="shared" si="13"/>
        <v>13.81</v>
      </c>
      <c r="AV303" s="7">
        <f t="shared" si="13"/>
        <v>12.08</v>
      </c>
    </row>
    <row r="304" spans="1:48" ht="15.75">
      <c r="A304" s="82"/>
      <c r="B304" s="82"/>
      <c r="C304" s="82"/>
      <c r="D304" s="82"/>
      <c r="E304" s="82" t="s">
        <v>631</v>
      </c>
      <c r="F304" s="268"/>
      <c r="G304" s="2" t="s">
        <v>105</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si="13"/>
        <v>32.630000000000003</v>
      </c>
      <c r="AS304" s="7">
        <f t="shared" si="13"/>
        <v>34.89</v>
      </c>
      <c r="AT304" s="7">
        <f t="shared" si="13"/>
        <v>36.58</v>
      </c>
      <c r="AU304" s="7">
        <f t="shared" si="13"/>
        <v>39.92</v>
      </c>
      <c r="AV304" s="7">
        <f t="shared" si="13"/>
        <v>40.36</v>
      </c>
    </row>
    <row r="305" spans="1:48" ht="15.75">
      <c r="A305" s="82"/>
      <c r="B305" s="82"/>
      <c r="C305" s="82"/>
      <c r="D305" s="82"/>
      <c r="E305" s="82" t="s">
        <v>632</v>
      </c>
      <c r="F305" s="268"/>
      <c r="G305" s="2" t="s">
        <v>105</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18.66</v>
      </c>
      <c r="AS305" s="7">
        <f t="shared" si="13"/>
        <v>20.69</v>
      </c>
      <c r="AT305" s="7">
        <f t="shared" si="13"/>
        <v>19.399999999999999</v>
      </c>
      <c r="AU305" s="7">
        <f t="shared" si="13"/>
        <v>21.5</v>
      </c>
      <c r="AV305" s="7">
        <f t="shared" si="13"/>
        <v>21.18</v>
      </c>
    </row>
    <row r="306" spans="1:48" ht="15.75">
      <c r="A306" s="82"/>
      <c r="B306" s="82"/>
      <c r="C306" s="82"/>
      <c r="D306" s="82"/>
      <c r="E306" s="82" t="s">
        <v>633</v>
      </c>
      <c r="F306" s="268"/>
      <c r="G306" s="2" t="s">
        <v>105</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23.68</v>
      </c>
      <c r="AS306" s="7">
        <f t="shared" si="13"/>
        <v>23.9</v>
      </c>
      <c r="AT306" s="7">
        <f t="shared" si="13"/>
        <v>23.91</v>
      </c>
      <c r="AU306" s="7">
        <f t="shared" si="13"/>
        <v>24.67</v>
      </c>
      <c r="AV306" s="7">
        <f t="shared" si="13"/>
        <v>24.25</v>
      </c>
    </row>
    <row r="307" spans="1:48" ht="15.75">
      <c r="A307" s="82"/>
      <c r="B307" s="82"/>
      <c r="C307" s="82"/>
      <c r="D307" s="82"/>
      <c r="E307" s="82" t="s">
        <v>634</v>
      </c>
      <c r="F307" s="268"/>
      <c r="G307" s="2" t="s">
        <v>105</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3.87</v>
      </c>
      <c r="AS307" s="7">
        <f t="shared" si="13"/>
        <v>3.59</v>
      </c>
      <c r="AT307" s="7">
        <f t="shared" si="13"/>
        <v>3.58</v>
      </c>
      <c r="AU307" s="7">
        <f t="shared" si="13"/>
        <v>3.87</v>
      </c>
      <c r="AV307" s="7">
        <f t="shared" si="13"/>
        <v>3.59</v>
      </c>
    </row>
    <row r="308" spans="1:48" ht="15.75">
      <c r="A308" s="82"/>
      <c r="B308" s="82"/>
      <c r="C308" s="82"/>
      <c r="D308" s="82"/>
      <c r="E308" s="82" t="s">
        <v>635</v>
      </c>
      <c r="F308" s="268"/>
      <c r="G308" s="2" t="s">
        <v>105</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6.38</v>
      </c>
      <c r="AS308" s="7">
        <f t="shared" si="13"/>
        <v>6.43</v>
      </c>
      <c r="AT308" s="7">
        <f t="shared" si="13"/>
        <v>6.32</v>
      </c>
      <c r="AU308" s="7">
        <f t="shared" si="13"/>
        <v>6.46</v>
      </c>
      <c r="AV308" s="7">
        <f t="shared" si="13"/>
        <v>6.34</v>
      </c>
    </row>
    <row r="309" spans="1:48" ht="15.75">
      <c r="A309" s="82"/>
      <c r="B309" s="82"/>
      <c r="C309" s="82"/>
      <c r="D309" s="82"/>
      <c r="E309" s="82" t="s">
        <v>636</v>
      </c>
      <c r="F309" s="268"/>
      <c r="G309" s="2" t="s">
        <v>105</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74.099999999999994</v>
      </c>
      <c r="AS309" s="7">
        <f t="shared" si="13"/>
        <v>74.42</v>
      </c>
      <c r="AT309" s="7">
        <f t="shared" si="13"/>
        <v>72.94</v>
      </c>
      <c r="AU309" s="7">
        <f t="shared" si="13"/>
        <v>74.12</v>
      </c>
      <c r="AV309" s="7">
        <f t="shared" si="13"/>
        <v>72.540000000000006</v>
      </c>
    </row>
    <row r="310" spans="1:48" ht="15.75">
      <c r="A310" s="82"/>
      <c r="B310" s="82"/>
      <c r="C310" s="82"/>
      <c r="D310" s="82"/>
      <c r="E310" s="82"/>
      <c r="F310" s="268"/>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c r="AS310" s="7"/>
      <c r="AT310" s="7"/>
      <c r="AU310" s="7"/>
      <c r="AV310" s="7"/>
    </row>
    <row r="311" spans="1:48" ht="15">
      <c r="A311" s="82"/>
      <c r="B311" s="82"/>
      <c r="C311" s="82"/>
      <c r="D311" s="82"/>
      <c r="E311" s="259" t="s">
        <v>638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251"/>
      <c r="AS311" s="251"/>
      <c r="AT311" s="251"/>
      <c r="AU311" s="251"/>
      <c r="AV311" s="251"/>
    </row>
    <row r="312" spans="1:48" ht="15.75">
      <c r="A312" s="82"/>
      <c r="B312" s="82"/>
      <c r="C312" s="82"/>
      <c r="D312" s="82"/>
      <c r="E312" s="82" t="s">
        <v>630</v>
      </c>
      <c r="F312" s="268"/>
      <c r="G312" s="2" t="s">
        <v>105</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7" cm="1">
        <f t="array" ref="AR312">SUMPRODUCT(--($AM$384:$AM$431=1),AR$331:AR$378,$AO$384:$AO$431)</f>
        <v>-0.6769781661121127</v>
      </c>
      <c r="AS312" s="7" cm="1">
        <f t="array" ref="AS312">SUMPRODUCT(--($AM$384:$AM$431=1),AS$331:AS$378,$AO$384:$AO$431)</f>
        <v>-0.54403533023630757</v>
      </c>
      <c r="AT312" s="7" cm="1">
        <f t="array" ref="AT312">SUMPRODUCT(--($AM$384:$AM$431=1),AT$331:AT$378,$AO$384:$AO$431)</f>
        <v>-0.37308072665052505</v>
      </c>
      <c r="AU312" s="7" cm="1">
        <f t="array" ref="AU312">SUMPRODUCT(--($AM$384:$AM$431=1),AU$331:AU$378,$AO$384:$AO$431)</f>
        <v>-0.27657371447993723</v>
      </c>
      <c r="AV312" s="7" cm="1">
        <f t="array" ref="AV312">SUMPRODUCT(--($AM$384:$AM$431=1),AV$331:AV$378,$AO$384:$AO$431)</f>
        <v>-0.15746082015646923</v>
      </c>
    </row>
    <row r="313" spans="1:48" ht="15.75">
      <c r="A313" s="82"/>
      <c r="B313" s="82"/>
      <c r="C313" s="82"/>
      <c r="D313" s="82"/>
      <c r="E313" s="82" t="s">
        <v>631</v>
      </c>
      <c r="F313" s="268"/>
      <c r="G313" s="2" t="s">
        <v>105</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SUMPRODUCT(--($AM$384:$AM$431=1),AR$331:AR$378,$AP$384:$AP$431)</f>
        <v>24.837222203495262</v>
      </c>
      <c r="AS313" s="7" cm="1">
        <f t="array" ref="AS313">SUMPRODUCT(--($AM$384:$AM$431=1),AS$331:AS$378,$AP$384:$AP$431)</f>
        <v>26.116717073317727</v>
      </c>
      <c r="AT313" s="7" cm="1">
        <f t="array" ref="AT313">SUMPRODUCT(--($AM$384:$AM$431=1),AT$331:AT$378,$AP$384:$AP$431)</f>
        <v>25.717622907746833</v>
      </c>
      <c r="AU313" s="7" cm="1">
        <f t="array" ref="AU313">SUMPRODUCT(--($AM$384:$AM$431=1),AU$331:AU$378,$AP$384:$AP$431)</f>
        <v>27.562813403850061</v>
      </c>
      <c r="AV313" s="7" cm="1">
        <f t="array" ref="AV313">SUMPRODUCT(--($AM$384:$AM$431=1),AV$331:AV$378,$AP$384:$AP$431)</f>
        <v>30.209943280809611</v>
      </c>
    </row>
    <row r="314" spans="1:48" ht="15.75">
      <c r="A314" s="82"/>
      <c r="B314" s="82"/>
      <c r="C314" s="82"/>
      <c r="D314" s="82"/>
      <c r="E314" s="82" t="s">
        <v>632</v>
      </c>
      <c r="F314" s="268"/>
      <c r="G314" s="2" t="s">
        <v>105</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SUMPRODUCT(--($AM$384:$AM$431=1),AR$331:AR$378,$AQ$384:$AQ$431)</f>
        <v>2.124541901435745</v>
      </c>
      <c r="AS314" s="7" cm="1">
        <f t="array" ref="AS314">SUMPRODUCT(--($AM$384:$AM$431=1),AS$331:AS$378,$AQ$384:$AQ$431)</f>
        <v>5.2367339361422616</v>
      </c>
      <c r="AT314" s="7" cm="1">
        <f t="array" ref="AT314">SUMPRODUCT(--($AM$384:$AM$431=1),AT$331:AT$378,$AQ$384:$AQ$431)</f>
        <v>3.6658767210733179</v>
      </c>
      <c r="AU314" s="7" cm="1">
        <f t="array" ref="AU314">SUMPRODUCT(--($AM$384:$AM$431=1),AU$331:AU$378,$AQ$384:$AQ$431)</f>
        <v>1.7846434535828279</v>
      </c>
      <c r="AV314" s="7" cm="1">
        <f t="array" ref="AV314">SUMPRODUCT(--($AM$384:$AM$431=1),AV$331:AV$378,$AQ$384:$AQ$431)</f>
        <v>1.9698137996344132</v>
      </c>
    </row>
    <row r="315" spans="1:48" ht="15.75">
      <c r="A315" s="82"/>
      <c r="B315" s="82"/>
      <c r="C315" s="82"/>
      <c r="D315" s="82"/>
      <c r="E315" s="82" t="s">
        <v>633</v>
      </c>
      <c r="F315" s="268"/>
      <c r="G315" s="2" t="s">
        <v>105</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SUMPRODUCT(--($AM$384:$AM$431=1),AR$331:AR$378,$AR$384:$AR$431)</f>
        <v>-1.1207884089311082</v>
      </c>
      <c r="AS315" s="7" cm="1">
        <f t="array" ref="AS315">SUMPRODUCT(--($AM$384:$AM$431=1),AS$331:AS$378,$AR$384:$AR$431)</f>
        <v>-0.90069151813218473</v>
      </c>
      <c r="AT315" s="7" cm="1">
        <f t="array" ref="AT315">SUMPRODUCT(--($AM$384:$AM$431=1),AT$331:AT$378,$AR$384:$AR$431)</f>
        <v>-0.61766327919688879</v>
      </c>
      <c r="AU315" s="7" cm="1">
        <f t="array" ref="AU315">SUMPRODUCT(--($AM$384:$AM$431=1),AU$331:AU$378,$AR$384:$AR$431)</f>
        <v>-0.45788864238318766</v>
      </c>
      <c r="AV315" s="7" cm="1">
        <f t="array" ref="AV315">SUMPRODUCT(--($AM$384:$AM$431=1),AV$331:AV$378,$AR$384:$AR$431)</f>
        <v>-0.26068826282195051</v>
      </c>
    </row>
    <row r="316" spans="1:48" ht="15.75">
      <c r="A316" s="82"/>
      <c r="B316" s="82"/>
      <c r="C316" s="82"/>
      <c r="D316" s="82"/>
      <c r="E316" s="82" t="s">
        <v>634</v>
      </c>
      <c r="F316" s="268"/>
      <c r="G316" s="2" t="s">
        <v>105</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SUMPRODUCT(--($AM$384:$AM$431=1),AR$331:AR$378,$AS$384:$AS$431)</f>
        <v>-0.17219986350988706</v>
      </c>
      <c r="AS316" s="7" cm="1">
        <f t="array" ref="AS316">SUMPRODUCT(--($AM$384:$AM$431=1),AS$331:AS$378,$AS$384:$AS$431)</f>
        <v>-0.13838379773644563</v>
      </c>
      <c r="AT316" s="7" cm="1">
        <f t="array" ref="AT316">SUMPRODUCT(--($AM$384:$AM$431=1),AT$331:AT$378,$AS$384:$AS$431)</f>
        <v>-9.4898851134809753E-2</v>
      </c>
      <c r="AU316" s="7" cm="1">
        <f t="array" ref="AU316">SUMPRODUCT(--($AM$384:$AM$431=1),AU$331:AU$378,$AS$384:$AS$431)</f>
        <v>-7.0350800465816557E-2</v>
      </c>
      <c r="AV316" s="7" cm="1">
        <f t="array" ref="AV316">SUMPRODUCT(--($AM$384:$AM$431=1),AV$331:AV$378,$AS$384:$AS$431)</f>
        <v>-4.0052594155021048E-2</v>
      </c>
    </row>
    <row r="317" spans="1:48" ht="15.75">
      <c r="A317" s="82"/>
      <c r="B317" s="82"/>
      <c r="C317" s="82"/>
      <c r="D317" s="82"/>
      <c r="E317" s="82" t="s">
        <v>635</v>
      </c>
      <c r="F317" s="268"/>
      <c r="G317" s="2" t="s">
        <v>105</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SUMPRODUCT(--($AM$384:$AM$431=1),AR$331:AR$378,$AT$384:$AT$431)</f>
        <v>-0.29720765631733481</v>
      </c>
      <c r="AS317" s="7" cm="1">
        <f t="array" ref="AS317">SUMPRODUCT(--($AM$384:$AM$431=1),AS$331:AS$378,$AT$384:$AT$431)</f>
        <v>-0.23884295468782207</v>
      </c>
      <c r="AT317" s="7" cm="1">
        <f t="array" ref="AT317">SUMPRODUCT(--($AM$384:$AM$431=1),AT$331:AT$378,$AT$384:$AT$431)</f>
        <v>-0.16379028739105272</v>
      </c>
      <c r="AU317" s="7" cm="1">
        <f t="array" ref="AU317">SUMPRODUCT(--($AM$384:$AM$431=1),AU$331:AU$378,$AT$384:$AT$431)</f>
        <v>-0.12142167885802825</v>
      </c>
      <c r="AV317" s="7" cm="1">
        <f t="array" ref="AV317">SUMPRODUCT(--($AM$384:$AM$431=1),AV$331:AV$378,$AT$384:$AT$431)</f>
        <v>-6.9128612506476866E-2</v>
      </c>
    </row>
    <row r="318" spans="1:48" ht="15.75">
      <c r="A318" s="82"/>
      <c r="B318" s="82"/>
      <c r="C318" s="82"/>
      <c r="D318" s="82"/>
      <c r="E318" s="82" t="s">
        <v>636</v>
      </c>
      <c r="F318" s="268"/>
      <c r="G318" s="2" t="s">
        <v>105</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SUMPRODUCT(--($AM$384:$AM$431=1),AR$331:AR$378,$AU$384:$AU$431)</f>
        <v>-1.5905068982774377</v>
      </c>
      <c r="AS318" s="7" cm="1">
        <f t="array" ref="AS318">SUMPRODUCT(--($AM$384:$AM$431=1),AS$331:AS$378,$AU$384:$AU$431)</f>
        <v>-0.9639369236884372</v>
      </c>
      <c r="AT318" s="7" cm="1">
        <f t="array" ref="AT318">SUMPRODUCT(--($AM$384:$AM$431=1),AT$331:AT$378,$AU$384:$AU$431)</f>
        <v>-1.5678299349946854</v>
      </c>
      <c r="AU318" s="7" cm="1">
        <f t="array" ref="AU318">SUMPRODUCT(--($AM$384:$AM$431=1),AU$331:AU$378,$AU$384:$AU$431)</f>
        <v>-1.1828505029610397</v>
      </c>
      <c r="AV318" s="7" cm="1">
        <f t="array" ref="AV318">SUMPRODUCT(--($AM$384:$AM$431=1),AV$331:AV$378,$AU$384:$AU$431)</f>
        <v>-0.58647580635421026</v>
      </c>
    </row>
    <row r="319" spans="1:48" ht="15.75">
      <c r="A319" s="82"/>
      <c r="B319" s="82"/>
      <c r="C319" s="82"/>
      <c r="D319" s="82"/>
      <c r="E319" s="82"/>
      <c r="F319" s="268"/>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 r="AS319" s="7"/>
      <c r="AT319" s="7"/>
      <c r="AU319" s="7"/>
      <c r="AV319" s="7"/>
    </row>
    <row r="320" spans="1:48" ht="15">
      <c r="A320" s="82"/>
      <c r="B320" s="82"/>
      <c r="C320" s="82"/>
      <c r="D320" s="82"/>
      <c r="E320" s="259" t="s">
        <v>639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251"/>
      <c r="AS320" s="251"/>
      <c r="AT320" s="251"/>
      <c r="AU320" s="251"/>
      <c r="AV320" s="251"/>
    </row>
    <row r="321" spans="1:48" ht="15.75">
      <c r="A321" s="82"/>
      <c r="B321" s="82"/>
      <c r="C321" s="82"/>
      <c r="D321" s="82"/>
      <c r="E321" s="82" t="s">
        <v>630</v>
      </c>
      <c r="F321" s="268"/>
      <c r="G321" s="2" t="s">
        <v>105</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7" cm="1">
        <f t="array" ref="AR321">SUMPRODUCT(--($AM$384:$AM$431=2),AR$331:AR$378,$AO$384:$AO$431)</f>
        <v>11.109508885725045</v>
      </c>
      <c r="AS321" s="7" cm="1">
        <f t="array" ref="AS321">SUMPRODUCT(--($AM$384:$AM$431=2),AS$331:AS$378,$AO$384:$AO$431)</f>
        <v>11.362149074725234</v>
      </c>
      <c r="AT321" s="7" cm="1">
        <f t="array" ref="AT321">SUMPRODUCT(--($AM$384:$AM$431=2),AT$331:AT$378,$AO$384:$AO$431)</f>
        <v>14.868853789553159</v>
      </c>
      <c r="AU321" s="7" cm="1">
        <f t="array" ref="AU321">SUMPRODUCT(--($AM$384:$AM$431=2),AU$331:AU$378,$AO$384:$AO$431)</f>
        <v>16.378078089363097</v>
      </c>
      <c r="AV321" s="7" cm="1">
        <f t="array" ref="AV321">SUMPRODUCT(--($AM$384:$AM$431=2),AV$331:AV$378,$AO$384:$AO$431)</f>
        <v>17.248389827127642</v>
      </c>
    </row>
    <row r="322" spans="1:48" ht="15.75">
      <c r="A322" s="82"/>
      <c r="B322" s="82"/>
      <c r="C322" s="82"/>
      <c r="D322" s="82"/>
      <c r="E322" s="82" t="s">
        <v>631</v>
      </c>
      <c r="F322" s="268"/>
      <c r="G322" s="2" t="s">
        <v>105</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SUMPRODUCT(--($AM$384:$AM$431=2),AR$331:AR$378,$AP$384:$AP$431)</f>
        <v>3.0681071497348982</v>
      </c>
      <c r="AS322" s="7" cm="1">
        <f t="array" ref="AS322">SUMPRODUCT(--($AM$384:$AM$431=2),AS$331:AS$378,$AP$384:$AP$431)</f>
        <v>6.4995191196677577</v>
      </c>
      <c r="AT322" s="7" cm="1">
        <f t="array" ref="AT322">SUMPRODUCT(--($AM$384:$AM$431=2),AT$331:AT$378,$AP$384:$AP$431)</f>
        <v>8.4248160609864655</v>
      </c>
      <c r="AU322" s="7" cm="1">
        <f t="array" ref="AU322">SUMPRODUCT(--($AM$384:$AM$431=2),AU$331:AU$378,$AP$384:$AP$431)</f>
        <v>-3.4018277184195977E-2</v>
      </c>
      <c r="AV322" s="7" cm="1">
        <f t="array" ref="AV322">SUMPRODUCT(--($AM$384:$AM$431=2),AV$331:AV$378,$AP$384:$AP$431)</f>
        <v>5.3226245026731345E-2</v>
      </c>
    </row>
    <row r="323" spans="1:48" ht="15.75">
      <c r="A323" s="82"/>
      <c r="B323" s="82"/>
      <c r="C323" s="82"/>
      <c r="D323" s="82"/>
      <c r="E323" s="82" t="s">
        <v>632</v>
      </c>
      <c r="F323" s="268"/>
      <c r="G323" s="2" t="s">
        <v>105</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SUMPRODUCT(--($AM$384:$AM$431=2),AR$331:AR$378,$AQ$384:$AQ$431)</f>
        <v>1.3567828843754117</v>
      </c>
      <c r="AS323" s="7" cm="1">
        <f t="array" ref="AS323">SUMPRODUCT(--($AM$384:$AM$431=2),AS$331:AS$378,$AQ$384:$AQ$431)</f>
        <v>5.8228996376647384</v>
      </c>
      <c r="AT323" s="7" cm="1">
        <f t="array" ref="AT323">SUMPRODUCT(--($AM$384:$AM$431=2),AT$331:AT$378,$AQ$384:$AQ$431)</f>
        <v>3.6844292058871524</v>
      </c>
      <c r="AU323" s="7" cm="1">
        <f t="array" ref="AU323">SUMPRODUCT(--($AM$384:$AM$431=2),AU$331:AU$378,$AQ$384:$AQ$431)</f>
        <v>1.2534731346989161</v>
      </c>
      <c r="AV323" s="7" cm="1">
        <f t="array" ref="AV323">SUMPRODUCT(--($AM$384:$AM$431=2),AV$331:AV$378,$AQ$384:$AQ$431)</f>
        <v>1.0120070437258475</v>
      </c>
    </row>
    <row r="324" spans="1:48" ht="15.75">
      <c r="A324" s="82"/>
      <c r="B324" s="82"/>
      <c r="C324" s="82"/>
      <c r="D324" s="82"/>
      <c r="E324" s="82" t="s">
        <v>633</v>
      </c>
      <c r="F324" s="268"/>
      <c r="G324" s="2" t="s">
        <v>105</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SUMPRODUCT(--($AM$384:$AM$431=2),AR$331:AR$378,$AR$384:$AR$431)</f>
        <v>7.3691932467225369E-3</v>
      </c>
      <c r="AS324" s="7" cm="1">
        <f t="array" ref="AS324">SUMPRODUCT(--($AM$384:$AM$431=2),AS$331:AS$378,$AR$384:$AR$431)</f>
        <v>0.11527752235129568</v>
      </c>
      <c r="AT324" s="7" cm="1">
        <f t="array" ref="AT324">SUMPRODUCT(--($AM$384:$AM$431=2),AT$331:AT$378,$AR$384:$AR$431)</f>
        <v>1.2534244697641355</v>
      </c>
      <c r="AU324" s="7" cm="1">
        <f t="array" ref="AU324">SUMPRODUCT(--($AM$384:$AM$431=2),AU$331:AU$378,$AR$384:$AR$431)</f>
        <v>12.246446609108023</v>
      </c>
      <c r="AV324" s="7" cm="1">
        <f t="array" ref="AV324">SUMPRODUCT(--($AM$384:$AM$431=2),AV$331:AV$378,$AR$384:$AR$431)</f>
        <v>12.243548653127828</v>
      </c>
    </row>
    <row r="325" spans="1:48" ht="15.75">
      <c r="A325" s="82"/>
      <c r="B325" s="82"/>
      <c r="C325" s="82"/>
      <c r="D325" s="82"/>
      <c r="E325" s="82" t="s">
        <v>634</v>
      </c>
      <c r="F325" s="268"/>
      <c r="G325" s="2" t="s">
        <v>105</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5.75">
      <c r="A326" s="82"/>
      <c r="B326" s="82"/>
      <c r="C326" s="82"/>
      <c r="D326" s="82"/>
      <c r="E326" s="82" t="s">
        <v>635</v>
      </c>
      <c r="F326" s="268"/>
      <c r="G326" s="2" t="s">
        <v>105</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5.75">
      <c r="A327" s="82"/>
      <c r="B327" s="82"/>
      <c r="C327" s="82"/>
      <c r="D327" s="82"/>
      <c r="E327" s="82" t="s">
        <v>636</v>
      </c>
      <c r="F327" s="268"/>
      <c r="G327" s="2" t="s">
        <v>105</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SUMPRODUCT(--($AM$384:$AM$431=2),AR$331:AR$378,$AU$384:$AU$431)</f>
        <v>1.4614422850754316</v>
      </c>
      <c r="AS327" s="7" cm="1">
        <f t="array" ref="AS327">SUMPRODUCT(--($AM$384:$AM$431=2),AS$331:AS$378,$AU$384:$AU$431)</f>
        <v>1.2608755353959884</v>
      </c>
      <c r="AT327" s="7" cm="1">
        <f t="array" ref="AT327">SUMPRODUCT(--($AM$384:$AM$431=2),AT$331:AT$378,$AU$384:$AU$431)</f>
        <v>2.3017574069711797</v>
      </c>
      <c r="AU327" s="7" cm="1">
        <f t="array" ref="AU327">SUMPRODUCT(--($AM$384:$AM$431=2),AU$331:AU$378,$AU$384:$AU$431)</f>
        <v>2.1202227018493569</v>
      </c>
      <c r="AV327" s="7" cm="1">
        <f t="array" ref="AV327">SUMPRODUCT(--($AM$384:$AM$431=2),AV$331:AV$378,$AU$384:$AU$431)</f>
        <v>2.3321880596392819</v>
      </c>
    </row>
    <row r="328" spans="1:48" ht="15.75">
      <c r="A328" s="82"/>
      <c r="B328" s="82"/>
      <c r="C328" s="82"/>
      <c r="D328" s="82"/>
      <c r="E328" s="82"/>
      <c r="F328" s="268"/>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1"/>
      <c r="AQ328" s="147"/>
      <c r="AR328" s="7"/>
      <c r="AS328" s="7"/>
      <c r="AT328" s="7"/>
      <c r="AU328" s="7"/>
      <c r="AV328" s="7"/>
    </row>
    <row r="329" spans="1:48" ht="15">
      <c r="A329" s="2"/>
      <c r="B329" s="2"/>
      <c r="C329" s="28" t="s">
        <v>640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7"/>
      <c r="AR330" s="82"/>
      <c r="AS330" s="82"/>
      <c r="AT330" s="82"/>
      <c r="AU330" s="82"/>
      <c r="AV330" s="82"/>
    </row>
    <row r="331" spans="1:48" ht="15">
      <c r="A331" s="82"/>
      <c r="B331" s="82"/>
      <c r="C331" s="82"/>
      <c r="D331" s="82"/>
      <c r="E331" s="82" t="str">
        <f>SelectedInputs!E24</f>
        <v>RPEs (bucket 1 allowances)</v>
      </c>
      <c r="F331" s="82"/>
      <c r="G331" s="2" t="s">
        <v>105</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2">
        <f t="shared" ref="AN331:AN378" si="14">AM384</f>
        <v>1</v>
      </c>
      <c r="AO331" s="523">
        <f t="shared" ref="AO331:AO378" si="15">SUM(AO384:AU384)</f>
        <v>0.99999999999999978</v>
      </c>
      <c r="AP331" s="352">
        <f t="shared" ref="AP331:AP378" si="16">SUM(AR331:AV331)</f>
        <v>-29.481447661866998</v>
      </c>
      <c r="AQ331" s="147"/>
      <c r="AR331" s="8">
        <f>SelectedInputs!AR24</f>
        <v>-9.8407442315106533</v>
      </c>
      <c r="AS331" s="8">
        <f>SelectedInputs!AS24</f>
        <v>-7.9082499344215504</v>
      </c>
      <c r="AT331" s="8">
        <f>SelectedInputs!AT24</f>
        <v>-5.423205935516016</v>
      </c>
      <c r="AU331" s="8">
        <f>SelectedInputs!AU24</f>
        <v>-4.0203529767977537</v>
      </c>
      <c r="AV331" s="8">
        <f>SelectedInputs!AV24</f>
        <v>-2.2888945836210275</v>
      </c>
    </row>
    <row r="332" spans="1:48" ht="15">
      <c r="A332" s="82"/>
      <c r="B332" s="82"/>
      <c r="C332" s="82"/>
      <c r="D332" s="82"/>
      <c r="E332" s="82" t="str">
        <f>SelectedInputs!E25</f>
        <v>RPEs (bucket 2 allowances)</v>
      </c>
      <c r="F332" s="82"/>
      <c r="G332" s="2" t="s">
        <v>105</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si="14"/>
        <v>2</v>
      </c>
      <c r="AO332" s="523">
        <f t="shared" si="15"/>
        <v>1</v>
      </c>
      <c r="AP332" s="352">
        <f t="shared" si="16"/>
        <v>-1.6425840605618962</v>
      </c>
      <c r="AQ332" s="147"/>
      <c r="AR332" s="8">
        <f>SelectedInputs!AR25</f>
        <v>-0.29393937238201606</v>
      </c>
      <c r="AS332" s="8">
        <f>SelectedInputs!AS25</f>
        <v>-0.35712358977667091</v>
      </c>
      <c r="AT332" s="8">
        <f>SelectedInputs!AT25</f>
        <v>-0.51570916591322491</v>
      </c>
      <c r="AU332" s="8">
        <f>SelectedInputs!AU25</f>
        <v>-0.28792265074664686</v>
      </c>
      <c r="AV332" s="8">
        <f>SelectedInputs!AV25</f>
        <v>-0.18788928174333749</v>
      </c>
    </row>
    <row r="333" spans="1:48" ht="15">
      <c r="A333" s="82"/>
      <c r="B333" s="82"/>
      <c r="C333" s="82"/>
      <c r="D333" s="82"/>
      <c r="E333" s="82" t="str">
        <f>SelectedInputs!E26</f>
        <v>Physical Security Re-opener</v>
      </c>
      <c r="F333" s="82"/>
      <c r="G333" s="2" t="s">
        <v>105</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0</v>
      </c>
      <c r="AQ333" s="147"/>
      <c r="AR333" s="8">
        <f>SelectedInputs!AR26</f>
        <v>0</v>
      </c>
      <c r="AS333" s="8">
        <f>SelectedInputs!AS26</f>
        <v>0</v>
      </c>
      <c r="AT333" s="8">
        <f>SelectedInputs!AT26</f>
        <v>0</v>
      </c>
      <c r="AU333" s="8">
        <f>SelectedInputs!AU26</f>
        <v>0</v>
      </c>
      <c r="AV333" s="8">
        <f>SelectedInputs!AV26</f>
        <v>0</v>
      </c>
    </row>
    <row r="334" spans="1:48" ht="15">
      <c r="A334" s="82"/>
      <c r="B334" s="82"/>
      <c r="C334" s="82"/>
      <c r="D334" s="82"/>
      <c r="E334" s="82" t="str">
        <f>SelectedInputs!E27</f>
        <v>Specified Street Works Costs Re-opener</v>
      </c>
      <c r="F334" s="82"/>
      <c r="G334" s="2" t="s">
        <v>105</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0</v>
      </c>
      <c r="AQ334" s="147"/>
      <c r="AR334" s="8">
        <f>SelectedInputs!AR27</f>
        <v>0</v>
      </c>
      <c r="AS334" s="8">
        <f>SelectedInputs!AS27</f>
        <v>0</v>
      </c>
      <c r="AT334" s="8">
        <f>SelectedInputs!AT27</f>
        <v>0</v>
      </c>
      <c r="AU334" s="8">
        <f>SelectedInputs!AU27</f>
        <v>0</v>
      </c>
      <c r="AV334" s="8">
        <f>SelectedInputs!AV27</f>
        <v>0</v>
      </c>
    </row>
    <row r="335" spans="1:48" ht="15">
      <c r="A335" s="82"/>
      <c r="B335" s="82"/>
      <c r="C335" s="82"/>
      <c r="D335" s="82"/>
      <c r="E335" s="82" t="str">
        <f>SelectedInputs!E28</f>
        <v>Rail Electrification Costs Re-opener</v>
      </c>
      <c r="F335" s="82"/>
      <c r="G335" s="2" t="s">
        <v>105</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SelectedInputs!AR28</f>
        <v>0</v>
      </c>
      <c r="AS335" s="8">
        <f>SelectedInputs!AS28</f>
        <v>0</v>
      </c>
      <c r="AT335" s="8">
        <f>SelectedInputs!AT28</f>
        <v>0</v>
      </c>
      <c r="AU335" s="8">
        <f>SelectedInputs!AU28</f>
        <v>0</v>
      </c>
      <c r="AV335" s="8">
        <f>SelectedInputs!AV28</f>
        <v>0</v>
      </c>
    </row>
    <row r="336" spans="1:48" ht="15">
      <c r="A336" s="82"/>
      <c r="B336" s="82"/>
      <c r="C336" s="82"/>
      <c r="D336" s="82"/>
      <c r="E336" s="82" t="str">
        <f>SelectedInputs!E29</f>
        <v>Net Zero Re-opener</v>
      </c>
      <c r="F336" s="82"/>
      <c r="G336" s="2" t="s">
        <v>105</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SelectedInputs!AR29</f>
        <v>0</v>
      </c>
      <c r="AS336" s="8">
        <f>SelectedInputs!AS29</f>
        <v>0</v>
      </c>
      <c r="AT336" s="8">
        <f>SelectedInputs!AT29</f>
        <v>0</v>
      </c>
      <c r="AU336" s="8">
        <f>SelectedInputs!AU29</f>
        <v>0</v>
      </c>
      <c r="AV336" s="8">
        <f>SelectedInputs!AV29</f>
        <v>0</v>
      </c>
    </row>
    <row r="337" spans="1:48" ht="15">
      <c r="A337" s="82"/>
      <c r="B337" s="82"/>
      <c r="C337" s="82"/>
      <c r="D337" s="82"/>
      <c r="E337" s="82" t="str">
        <f>SelectedInputs!E30</f>
        <v>Coordinated Adjustment Mechanism Re-opener</v>
      </c>
      <c r="F337" s="82"/>
      <c r="G337" s="2" t="s">
        <v>105</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SelectedInputs!AR30</f>
        <v>0</v>
      </c>
      <c r="AS337" s="8">
        <f>SelectedInputs!AS30</f>
        <v>0</v>
      </c>
      <c r="AT337" s="8">
        <f>SelectedInputs!AT30</f>
        <v>0</v>
      </c>
      <c r="AU337" s="8">
        <f>SelectedInputs!AU30</f>
        <v>0</v>
      </c>
      <c r="AV337" s="8">
        <f>SelectedInputs!AV30</f>
        <v>0</v>
      </c>
    </row>
    <row r="338" spans="1:48" ht="15">
      <c r="A338" s="82"/>
      <c r="B338" s="82"/>
      <c r="C338" s="82"/>
      <c r="D338" s="82"/>
      <c r="E338" s="82" t="str">
        <f>SelectedInputs!E31</f>
        <v>Electricity System Restoration Re-opener</v>
      </c>
      <c r="F338" s="82"/>
      <c r="G338" s="2" t="s">
        <v>105</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0</v>
      </c>
      <c r="AQ338" s="147"/>
      <c r="AR338" s="8">
        <f>SelectedInputs!AR31</f>
        <v>0</v>
      </c>
      <c r="AS338" s="8">
        <f>SelectedInputs!AS31</f>
        <v>0</v>
      </c>
      <c r="AT338" s="8">
        <f>SelectedInputs!AT31</f>
        <v>0</v>
      </c>
      <c r="AU338" s="8">
        <f>SelectedInputs!AU31</f>
        <v>0</v>
      </c>
      <c r="AV338" s="8">
        <f>SelectedInputs!AV31</f>
        <v>0</v>
      </c>
    </row>
    <row r="339" spans="1:48" ht="15">
      <c r="A339" s="82"/>
      <c r="B339" s="82"/>
      <c r="C339" s="82"/>
      <c r="D339" s="82"/>
      <c r="E339" s="82" t="str">
        <f>SelectedInputs!E32</f>
        <v>Environmental Re-opener</v>
      </c>
      <c r="F339" s="82"/>
      <c r="G339" s="2" t="s">
        <v>105</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SelectedInputs!AR32</f>
        <v>0</v>
      </c>
      <c r="AS339" s="8">
        <f>SelectedInputs!AS32</f>
        <v>0</v>
      </c>
      <c r="AT339" s="8">
        <f>SelectedInputs!AT32</f>
        <v>0</v>
      </c>
      <c r="AU339" s="8">
        <f>SelectedInputs!AU32</f>
        <v>0</v>
      </c>
      <c r="AV339" s="8">
        <f>SelectedInputs!AV32</f>
        <v>0</v>
      </c>
    </row>
    <row r="340" spans="1:48" ht="15">
      <c r="A340" s="82"/>
      <c r="B340" s="82"/>
      <c r="C340" s="82"/>
      <c r="D340" s="82"/>
      <c r="E340" s="82" t="str">
        <f>SelectedInputs!E33</f>
        <v>Network Asset Risk Metric Expenditure</v>
      </c>
      <c r="F340" s="82"/>
      <c r="G340" s="2" t="s">
        <v>105</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1</v>
      </c>
      <c r="AO340" s="523">
        <f t="shared" si="15"/>
        <v>1</v>
      </c>
      <c r="AP340" s="352">
        <f t="shared" si="16"/>
        <v>143.59</v>
      </c>
      <c r="AQ340" s="147"/>
      <c r="AR340" s="8">
        <f>SelectedInputs!AR33</f>
        <v>27.89</v>
      </c>
      <c r="AS340" s="8">
        <f>SelectedInputs!AS33</f>
        <v>28.57</v>
      </c>
      <c r="AT340" s="8">
        <f>SelectedInputs!AT33</f>
        <v>27.4</v>
      </c>
      <c r="AU340" s="8">
        <f>SelectedInputs!AU33</f>
        <v>28.81</v>
      </c>
      <c r="AV340" s="8">
        <f>SelectedInputs!AV33</f>
        <v>30.92</v>
      </c>
    </row>
    <row r="341" spans="1:48" ht="15">
      <c r="A341" s="82"/>
      <c r="B341" s="82"/>
      <c r="C341" s="82"/>
      <c r="D341" s="82"/>
      <c r="E341" s="82" t="str">
        <f>SelectedInputs!E34</f>
        <v>Load Related Expenditure: Secondary Reinforcement</v>
      </c>
      <c r="F341" s="82"/>
      <c r="G341" s="2" t="s">
        <v>105</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2</v>
      </c>
      <c r="AO341" s="523">
        <f t="shared" si="15"/>
        <v>1</v>
      </c>
      <c r="AP341" s="352">
        <f t="shared" si="16"/>
        <v>35.449999999999989</v>
      </c>
      <c r="AQ341" s="147"/>
      <c r="AR341" s="8">
        <f>SelectedInputs!AR34</f>
        <v>1.2121595297734984</v>
      </c>
      <c r="AS341" s="8">
        <f>SelectedInputs!AS34</f>
        <v>2.7911507905607693</v>
      </c>
      <c r="AT341" s="8">
        <f>SelectedInputs!AT34</f>
        <v>7.0462792863212274</v>
      </c>
      <c r="AU341" s="8">
        <f>SelectedInputs!AU34</f>
        <v>11.217891812057836</v>
      </c>
      <c r="AV341" s="8">
        <f>SelectedInputs!AV34</f>
        <v>13.182518581286661</v>
      </c>
    </row>
    <row r="342" spans="1:48" ht="15">
      <c r="A342" s="82"/>
      <c r="B342" s="82"/>
      <c r="C342" s="82"/>
      <c r="D342" s="82"/>
      <c r="E342" s="82" t="str">
        <f>SelectedInputs!E35</f>
        <v>Load Related Expenditure: Low Voltage Services</v>
      </c>
      <c r="F342" s="82"/>
      <c r="G342" s="2" t="s">
        <v>105</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18.589999999999996</v>
      </c>
      <c r="AQ342" s="147"/>
      <c r="AR342" s="8">
        <f>SelectedInputs!AR35</f>
        <v>3.9415714762141003</v>
      </c>
      <c r="AS342" s="8">
        <f>SelectedInputs!AS35</f>
        <v>2.3284926302841589</v>
      </c>
      <c r="AT342" s="8">
        <f>SelectedInputs!AT35</f>
        <v>4.0081559556872808</v>
      </c>
      <c r="AU342" s="8">
        <f>SelectedInputs!AU35</f>
        <v>4.097142802125477</v>
      </c>
      <c r="AV342" s="8">
        <f>SelectedInputs!AV35</f>
        <v>4.2146371356889807</v>
      </c>
    </row>
    <row r="343" spans="1:48" ht="15">
      <c r="A343" s="82"/>
      <c r="B343" s="82"/>
      <c r="C343" s="82"/>
      <c r="D343" s="82"/>
      <c r="E343" s="82" t="str">
        <f>SelectedInputs!E36</f>
        <v>Load Related Expenditure Re-opener</v>
      </c>
      <c r="F343" s="82"/>
      <c r="G343" s="2" t="s">
        <v>105</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0</v>
      </c>
      <c r="AQ343" s="147"/>
      <c r="AR343" s="8">
        <f>SelectedInputs!AR36</f>
        <v>0</v>
      </c>
      <c r="AS343" s="8">
        <f>SelectedInputs!AS36</f>
        <v>0</v>
      </c>
      <c r="AT343" s="8">
        <f>SelectedInputs!AT36</f>
        <v>0</v>
      </c>
      <c r="AU343" s="8">
        <f>SelectedInputs!AU36</f>
        <v>0</v>
      </c>
      <c r="AV343" s="8">
        <f>SelectedInputs!AV36</f>
        <v>0</v>
      </c>
    </row>
    <row r="344" spans="1:48" ht="15">
      <c r="A344" s="82"/>
      <c r="B344" s="82"/>
      <c r="C344" s="82"/>
      <c r="D344" s="82"/>
      <c r="E344" s="82" t="str">
        <f>SelectedInputs!E37</f>
        <v>Digitalisation Re-opener</v>
      </c>
      <c r="F344" s="82"/>
      <c r="G344" s="2" t="s">
        <v>105</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2"/>
      <c r="AM344" s="362"/>
      <c r="AN344" s="522">
        <f t="shared" si="14"/>
        <v>2</v>
      </c>
      <c r="AO344" s="523">
        <f t="shared" si="15"/>
        <v>1</v>
      </c>
      <c r="AP344" s="352">
        <f t="shared" si="16"/>
        <v>0</v>
      </c>
      <c r="AQ344" s="147"/>
      <c r="AR344" s="8">
        <f>SelectedInputs!AR37</f>
        <v>0</v>
      </c>
      <c r="AS344" s="8">
        <f>SelectedInputs!AS37</f>
        <v>0</v>
      </c>
      <c r="AT344" s="8">
        <f>SelectedInputs!AT37</f>
        <v>0</v>
      </c>
      <c r="AU344" s="8">
        <f>SelectedInputs!AU37</f>
        <v>0</v>
      </c>
      <c r="AV344" s="8">
        <f>SelectedInputs!AV37</f>
        <v>0</v>
      </c>
    </row>
    <row r="345" spans="1:48" ht="15">
      <c r="A345" s="82"/>
      <c r="B345" s="82"/>
      <c r="C345" s="82"/>
      <c r="D345" s="82"/>
      <c r="E345" s="82" t="str">
        <f>SelectedInputs!E38</f>
        <v>PCB Interventions</v>
      </c>
      <c r="F345" s="82"/>
      <c r="G345" s="2" t="s">
        <v>105</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14.211780000000001</v>
      </c>
      <c r="AQ345" s="147"/>
      <c r="AR345" s="8">
        <f>SelectedInputs!AR38</f>
        <v>1.0870200000000001</v>
      </c>
      <c r="AS345" s="8">
        <f>SelectedInputs!AS38</f>
        <v>4.7184720000000002</v>
      </c>
      <c r="AT345" s="8">
        <f>SelectedInputs!AT38</f>
        <v>8.406288</v>
      </c>
      <c r="AU345" s="8">
        <f>SelectedInputs!AU38</f>
        <v>0</v>
      </c>
      <c r="AV345" s="8">
        <f>SelectedInputs!AV38</f>
        <v>0</v>
      </c>
    </row>
    <row r="346" spans="1:48" ht="15">
      <c r="A346" s="82"/>
      <c r="B346" s="82"/>
      <c r="C346" s="82"/>
      <c r="D346" s="82"/>
      <c r="E346" s="82" t="str">
        <f>SelectedInputs!E39</f>
        <v>Visual Amenity Projects</v>
      </c>
      <c r="F346" s="82"/>
      <c r="G346" s="2" t="s">
        <v>105</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1</v>
      </c>
      <c r="AO346" s="523">
        <f t="shared" si="15"/>
        <v>1</v>
      </c>
      <c r="AP346" s="352">
        <f t="shared" si="16"/>
        <v>5.4300000000000006</v>
      </c>
      <c r="AQ346" s="147"/>
      <c r="AR346" s="8">
        <f>SelectedInputs!AR39</f>
        <v>0.12277012864963041</v>
      </c>
      <c r="AS346" s="8">
        <f>SelectedInputs!AS39</f>
        <v>0.80272635385754232</v>
      </c>
      <c r="AT346" s="8">
        <f>SelectedInputs!AT39</f>
        <v>1.5015011724976099</v>
      </c>
      <c r="AU346" s="8">
        <f>SelectedInputs!AU39</f>
        <v>1.5015011724976091</v>
      </c>
      <c r="AV346" s="8">
        <f>SelectedInputs!AV39</f>
        <v>1.5015011724976084</v>
      </c>
    </row>
    <row r="347" spans="1:48" ht="15">
      <c r="A347" s="82"/>
      <c r="B347" s="82"/>
      <c r="C347" s="82"/>
      <c r="D347" s="82"/>
      <c r="E347" s="82" t="str">
        <f>SelectedInputs!E40</f>
        <v>Cyber Resilience OT baseline</v>
      </c>
      <c r="F347" s="82"/>
      <c r="G347" s="2" t="s">
        <v>105</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11.634495198639993</v>
      </c>
      <c r="AQ347" s="147"/>
      <c r="AR347" s="8">
        <f>SelectedInputs!AR40</f>
        <v>3.0251288143409791</v>
      </c>
      <c r="AS347" s="8">
        <f>SelectedInputs!AS40</f>
        <v>5.2147940662465242</v>
      </c>
      <c r="AT347" s="8">
        <f>SelectedInputs!AT40</f>
        <v>2.4856981026147724</v>
      </c>
      <c r="AU347" s="8">
        <f>SelectedInputs!AU40</f>
        <v>0.4544371077188587</v>
      </c>
      <c r="AV347" s="8">
        <f>SelectedInputs!AV40</f>
        <v>0.4544371077188587</v>
      </c>
    </row>
    <row r="348" spans="1:48" ht="15">
      <c r="A348" s="82"/>
      <c r="B348" s="82"/>
      <c r="C348" s="82"/>
      <c r="D348" s="82"/>
      <c r="E348" s="82" t="str">
        <f>SelectedInputs!E41</f>
        <v>Cyber Resilience OT Re-opener</v>
      </c>
      <c r="F348" s="82"/>
      <c r="G348" s="2" t="s">
        <v>105</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2">
        <f t="shared" si="14"/>
        <v>2</v>
      </c>
      <c r="AO348" s="523">
        <f t="shared" si="15"/>
        <v>1</v>
      </c>
      <c r="AP348" s="352">
        <f t="shared" si="16"/>
        <v>13.129591906352065</v>
      </c>
      <c r="AQ348" s="147"/>
      <c r="AR348" s="8">
        <f>SelectedInputs!AR41</f>
        <v>1.3567828843754117</v>
      </c>
      <c r="AS348" s="8">
        <f>SelectedInputs!AS41</f>
        <v>5.8228996376647384</v>
      </c>
      <c r="AT348" s="8">
        <f>SelectedInputs!AT41</f>
        <v>3.6844292058871524</v>
      </c>
      <c r="AU348" s="8">
        <f>SelectedInputs!AU41</f>
        <v>1.2534731346989161</v>
      </c>
      <c r="AV348" s="8">
        <f>SelectedInputs!AV41</f>
        <v>1.0120070437258475</v>
      </c>
    </row>
    <row r="349" spans="1:48" ht="15">
      <c r="A349" s="82"/>
      <c r="B349" s="82"/>
      <c r="C349" s="82"/>
      <c r="D349" s="82"/>
      <c r="E349" s="82" t="str">
        <f>SelectedInputs!E42</f>
        <v>Cyber Resilience IT Re-opener</v>
      </c>
      <c r="F349" s="82"/>
      <c r="G349" s="2" t="s">
        <v>105</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3.6401659889312397</v>
      </c>
      <c r="AQ349" s="147"/>
      <c r="AR349" s="8">
        <f>SelectedInputs!AR42</f>
        <v>0.90483933642877112</v>
      </c>
      <c r="AS349" s="8">
        <f>SelectedInputs!AS42</f>
        <v>0.7079540459447361</v>
      </c>
      <c r="AT349" s="8">
        <f>SelectedInputs!AT42</f>
        <v>1.1078784008342608</v>
      </c>
      <c r="AU349" s="8">
        <f>SelectedInputs!AU42</f>
        <v>0.46619896351755913</v>
      </c>
      <c r="AV349" s="8">
        <f>SelectedInputs!AV42</f>
        <v>0.45329524220591244</v>
      </c>
    </row>
    <row r="350" spans="1:48" ht="15">
      <c r="A350" s="82"/>
      <c r="B350" s="82"/>
      <c r="C350" s="82"/>
      <c r="D350" s="82"/>
      <c r="E350" s="82" t="str">
        <f>SelectedInputs!E43</f>
        <v>Off-gas Grid Mechanistic Price Control Deliverable</v>
      </c>
      <c r="F350" s="82"/>
      <c r="G350" s="2" t="s">
        <v>105</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1</v>
      </c>
      <c r="AO350" s="523">
        <f t="shared" si="15"/>
        <v>1</v>
      </c>
      <c r="AP350" s="352">
        <f t="shared" si="16"/>
        <v>0</v>
      </c>
      <c r="AQ350" s="147"/>
      <c r="AR350" s="8">
        <f>SelectedInputs!AR43</f>
        <v>0</v>
      </c>
      <c r="AS350" s="8">
        <f>SelectedInputs!AS43</f>
        <v>0</v>
      </c>
      <c r="AT350" s="8">
        <f>SelectedInputs!AT43</f>
        <v>0</v>
      </c>
      <c r="AU350" s="8">
        <f>SelectedInputs!AU43</f>
        <v>0</v>
      </c>
      <c r="AV350" s="8">
        <f>SelectedInputs!AV43</f>
        <v>0</v>
      </c>
    </row>
    <row r="351" spans="1:48" ht="15">
      <c r="A351" s="82"/>
      <c r="B351" s="82"/>
      <c r="C351" s="82"/>
      <c r="D351" s="82"/>
      <c r="E351" s="82" t="str">
        <f>SelectedInputs!E44</f>
        <v>Shetland Link Contribution (SSEH only)</v>
      </c>
      <c r="F351" s="82"/>
      <c r="G351" s="2" t="s">
        <v>105</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2</v>
      </c>
      <c r="AO351" s="523">
        <f t="shared" si="15"/>
        <v>1</v>
      </c>
      <c r="AP351" s="352">
        <f t="shared" si="16"/>
        <v>0</v>
      </c>
      <c r="AQ351" s="147"/>
      <c r="AR351" s="8">
        <f>SelectedInputs!AR44</f>
        <v>0</v>
      </c>
      <c r="AS351" s="8">
        <f>SelectedInputs!AS44</f>
        <v>0</v>
      </c>
      <c r="AT351" s="8">
        <f>SelectedInputs!AT44</f>
        <v>0</v>
      </c>
      <c r="AU351" s="8">
        <f>SelectedInputs!AU44</f>
        <v>0</v>
      </c>
      <c r="AV351" s="8">
        <f>SelectedInputs!AV44</f>
        <v>0</v>
      </c>
    </row>
    <row r="352" spans="1:48" ht="15">
      <c r="A352" s="82"/>
      <c r="B352" s="82"/>
      <c r="C352" s="82"/>
      <c r="D352" s="82"/>
      <c r="E352" s="82" t="str">
        <f>SelectedInputs!E45</f>
        <v>West Coast of Cumbria Re-opener (ENWL only)</v>
      </c>
      <c r="F352" s="82"/>
      <c r="G352" s="2" t="s">
        <v>105</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SelectedInputs!AR45</f>
        <v>0</v>
      </c>
      <c r="AS352" s="8">
        <f>SelectedInputs!AS45</f>
        <v>0</v>
      </c>
      <c r="AT352" s="8">
        <f>SelectedInputs!AT45</f>
        <v>0</v>
      </c>
      <c r="AU352" s="8">
        <f>SelectedInputs!AU45</f>
        <v>0</v>
      </c>
      <c r="AV352" s="8">
        <f>SelectedInputs!AV45</f>
        <v>0</v>
      </c>
    </row>
    <row r="353" spans="1:48" ht="15">
      <c r="A353" s="82"/>
      <c r="B353" s="82"/>
      <c r="C353" s="82"/>
      <c r="D353" s="82"/>
      <c r="E353" s="82" t="str">
        <f>SelectedInputs!E46</f>
        <v>Shetland Enduring Solution Re-opener (SSEH only)</v>
      </c>
      <c r="F353" s="82"/>
      <c r="G353" s="2" t="s">
        <v>105</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SelectedInputs!AR46</f>
        <v>0</v>
      </c>
      <c r="AS353" s="8">
        <f>SelectedInputs!AS46</f>
        <v>0</v>
      </c>
      <c r="AT353" s="8">
        <f>SelectedInputs!AT46</f>
        <v>0</v>
      </c>
      <c r="AU353" s="8">
        <f>SelectedInputs!AU46</f>
        <v>0</v>
      </c>
      <c r="AV353" s="8">
        <f>SelectedInputs!AV46</f>
        <v>0</v>
      </c>
    </row>
    <row r="354" spans="1:48" ht="15">
      <c r="A354" s="82"/>
      <c r="B354" s="82"/>
      <c r="C354" s="82"/>
      <c r="D354" s="82"/>
      <c r="E354" s="82" t="str">
        <f>SelectedInputs!E47</f>
        <v>Shetland Extension Fixed Energy Costs Re-opener (SSEH only)</v>
      </c>
      <c r="F354" s="82"/>
      <c r="G354" s="2" t="s">
        <v>105</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SelectedInputs!AR47</f>
        <v>0</v>
      </c>
      <c r="AS354" s="8">
        <f>SelectedInputs!AS47</f>
        <v>0</v>
      </c>
      <c r="AT354" s="8">
        <f>SelectedInputs!AT47</f>
        <v>0</v>
      </c>
      <c r="AU354" s="8">
        <f>SelectedInputs!AU47</f>
        <v>0</v>
      </c>
      <c r="AV354" s="8">
        <f>SelectedInputs!AV47</f>
        <v>0</v>
      </c>
    </row>
    <row r="355" spans="1:48" ht="15">
      <c r="A355" s="82"/>
      <c r="B355" s="82"/>
      <c r="C355" s="82"/>
      <c r="D355" s="82"/>
      <c r="E355" s="82" t="str">
        <f>SelectedInputs!E48</f>
        <v>Hebrides and Orkney Re-opener (SSEH only)</v>
      </c>
      <c r="F355" s="82"/>
      <c r="G355" s="2" t="s">
        <v>105</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SelectedInputs!AR48</f>
        <v>0</v>
      </c>
      <c r="AS355" s="8">
        <f>SelectedInputs!AS48</f>
        <v>0</v>
      </c>
      <c r="AT355" s="8">
        <f>SelectedInputs!AT48</f>
        <v>0</v>
      </c>
      <c r="AU355" s="8">
        <f>SelectedInputs!AU48</f>
        <v>0</v>
      </c>
      <c r="AV355" s="8">
        <f>SelectedInputs!AV48</f>
        <v>0</v>
      </c>
    </row>
    <row r="356" spans="1:48" ht="15">
      <c r="A356" s="82"/>
      <c r="B356" s="82"/>
      <c r="C356" s="82"/>
      <c r="D356" s="82"/>
      <c r="E356" s="82" t="str">
        <f>SelectedInputs!E49</f>
        <v>Smart Street Mechanistic Price Control Deliverable (ENWL only)</v>
      </c>
      <c r="F356" s="82"/>
      <c r="G356" s="2" t="s">
        <v>105</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1</v>
      </c>
      <c r="AO356" s="523">
        <f t="shared" si="15"/>
        <v>1</v>
      </c>
      <c r="AP356" s="352">
        <f t="shared" si="16"/>
        <v>0</v>
      </c>
      <c r="AQ356" s="147"/>
      <c r="AR356" s="8">
        <f>SelectedInputs!AR49</f>
        <v>0</v>
      </c>
      <c r="AS356" s="8">
        <f>SelectedInputs!AS49</f>
        <v>0</v>
      </c>
      <c r="AT356" s="8">
        <f>SelectedInputs!AT49</f>
        <v>0</v>
      </c>
      <c r="AU356" s="8">
        <f>SelectedInputs!AU49</f>
        <v>0</v>
      </c>
      <c r="AV356" s="8">
        <f>SelectedInputs!AV49</f>
        <v>0</v>
      </c>
    </row>
    <row r="357" spans="1:48" ht="15">
      <c r="A357" s="82"/>
      <c r="B357" s="82"/>
      <c r="C357" s="82"/>
      <c r="D357" s="82"/>
      <c r="E357" s="82" t="str">
        <f>SelectedInputs!E50</f>
        <v>Worst Served Customers</v>
      </c>
      <c r="F357" s="82"/>
      <c r="G357" s="2" t="s">
        <v>105</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0.86999999999999977</v>
      </c>
      <c r="AQ357" s="147"/>
      <c r="AR357" s="8">
        <f>SelectedInputs!AR50</f>
        <v>2.9058668770545453E-2</v>
      </c>
      <c r="AS357" s="8">
        <f>SelectedInputs!AS50</f>
        <v>6.495915034856907E-2</v>
      </c>
      <c r="AT357" s="8">
        <f>SelectedInputs!AT50</f>
        <v>0.25866072696029513</v>
      </c>
      <c r="AU357" s="8">
        <f>SelectedInputs!AU50</f>
        <v>0.25866072696029513</v>
      </c>
      <c r="AV357" s="8">
        <f>SelectedInputs!AV50</f>
        <v>0.25866072696029507</v>
      </c>
    </row>
    <row r="358" spans="1:48" ht="15">
      <c r="A358" s="82"/>
      <c r="B358" s="82"/>
      <c r="C358" s="82"/>
      <c r="D358" s="82"/>
      <c r="E358" s="82" t="str">
        <f>SelectedInputs!E51</f>
        <v>EV Optioneering Projects</v>
      </c>
      <c r="F358" s="82"/>
      <c r="G358" s="2" t="s">
        <v>105</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0</v>
      </c>
      <c r="AQ358" s="147"/>
      <c r="AR358" s="8">
        <f>SelectedInputs!AR51</f>
        <v>0</v>
      </c>
      <c r="AS358" s="8">
        <f>SelectedInputs!AS51</f>
        <v>0</v>
      </c>
      <c r="AT358" s="8">
        <f>SelectedInputs!AT51</f>
        <v>0</v>
      </c>
      <c r="AU358" s="8">
        <f>SelectedInputs!AU51</f>
        <v>0</v>
      </c>
      <c r="AV358" s="8">
        <f>SelectedInputs!AV51</f>
        <v>0</v>
      </c>
    </row>
    <row r="359" spans="1:48" ht="15">
      <c r="A359" s="82"/>
      <c r="B359" s="82"/>
      <c r="C359" s="82"/>
      <c r="D359" s="82"/>
      <c r="E359" s="82" t="str">
        <f>SelectedInputs!E52</f>
        <v>Cyber Resilience IT baseline</v>
      </c>
      <c r="F359" s="82"/>
      <c r="G359" s="2" t="s">
        <v>105</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4.4991551121758828</v>
      </c>
      <c r="AQ359" s="147"/>
      <c r="AR359" s="8">
        <f>SelectedInputs!AR52</f>
        <v>1.8778697315326225</v>
      </c>
      <c r="AS359" s="8">
        <f>SelectedInputs!AS52</f>
        <v>1.8233308489477031</v>
      </c>
      <c r="AT359" s="8">
        <f>SelectedInputs!AT52</f>
        <v>0.34358248289552884</v>
      </c>
      <c r="AU359" s="8">
        <f>SelectedInputs!AU52</f>
        <v>0.23412548790587023</v>
      </c>
      <c r="AV359" s="8">
        <f>SelectedInputs!AV52</f>
        <v>0.2202465608941582</v>
      </c>
    </row>
    <row r="360" spans="1:48" ht="15">
      <c r="A360" s="82"/>
      <c r="B360" s="82"/>
      <c r="C360" s="82"/>
      <c r="D360" s="82"/>
      <c r="E360" s="82" t="str">
        <f>SelectedInputs!E53</f>
        <v>Wayleaves and Diversions Re-opener</v>
      </c>
      <c r="F360" s="82"/>
      <c r="G360" s="2" t="s">
        <v>105</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2</v>
      </c>
      <c r="AO360" s="523">
        <f t="shared" si="15"/>
        <v>1</v>
      </c>
      <c r="AP360" s="352">
        <f t="shared" si="16"/>
        <v>4.1418986424039606</v>
      </c>
      <c r="AQ360" s="147"/>
      <c r="AR360" s="8">
        <f>SelectedInputs!AR53</f>
        <v>2.0422929042753846</v>
      </c>
      <c r="AS360" s="8">
        <f>SelectedInputs!AS53</f>
        <v>1.8554094570414685</v>
      </c>
      <c r="AT360" s="8">
        <f>SelectedInputs!AT53</f>
        <v>0.1259120033531298</v>
      </c>
      <c r="AU360" s="8">
        <f>SelectedInputs!AU53</f>
        <v>2.5934640811908771E-2</v>
      </c>
      <c r="AV360" s="8">
        <f>SelectedInputs!AV53</f>
        <v>9.2349636922068434E-2</v>
      </c>
    </row>
    <row r="361" spans="1:48" ht="15">
      <c r="A361" s="82"/>
      <c r="B361" s="82"/>
      <c r="C361" s="82"/>
      <c r="D361" s="82"/>
      <c r="E361" s="82" t="str">
        <f>SelectedInputs!E54</f>
        <v>Indirects Scaler</v>
      </c>
      <c r="F361" s="82"/>
      <c r="G361" s="2" t="s">
        <v>105</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5.8363199999999988</v>
      </c>
      <c r="AQ361" s="147"/>
      <c r="AR361" s="8">
        <f>SelectedInputs!AR54</f>
        <v>0.5566029486466606</v>
      </c>
      <c r="AS361" s="8">
        <f>SelectedInputs!AS54</f>
        <v>0.5529214894512523</v>
      </c>
      <c r="AT361" s="8">
        <f>SelectedInputs!AT54</f>
        <v>1.1938790061369189</v>
      </c>
      <c r="AU361" s="8">
        <f>SelectedInputs!AU54</f>
        <v>1.6540237383317977</v>
      </c>
      <c r="AV361" s="8">
        <f>SelectedInputs!AV54</f>
        <v>1.8788928174333694</v>
      </c>
    </row>
    <row r="362" spans="1:48" ht="15">
      <c r="A362" s="82"/>
      <c r="B362" s="82"/>
      <c r="C362" s="82"/>
      <c r="D362" s="82"/>
      <c r="E362" s="82" t="str">
        <f>SelectedInputs!E55</f>
        <v>LineSIGHT Mechanistic Price Control Deliverable (ENWL only)</v>
      </c>
      <c r="F362" s="82"/>
      <c r="G362" s="2" t="s">
        <v>105</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1</v>
      </c>
      <c r="AO362" s="523">
        <f t="shared" si="15"/>
        <v>1</v>
      </c>
      <c r="AP362" s="352">
        <f t="shared" si="16"/>
        <v>0</v>
      </c>
      <c r="AQ362" s="147"/>
      <c r="AR362" s="8">
        <f>SelectedInputs!AR55</f>
        <v>0</v>
      </c>
      <c r="AS362" s="8">
        <f>SelectedInputs!AS55</f>
        <v>0</v>
      </c>
      <c r="AT362" s="8">
        <f>SelectedInputs!AT55</f>
        <v>0</v>
      </c>
      <c r="AU362" s="8">
        <f>SelectedInputs!AU55</f>
        <v>0</v>
      </c>
      <c r="AV362" s="8">
        <f>SelectedInputs!AV55</f>
        <v>0</v>
      </c>
    </row>
    <row r="363" spans="1:48" ht="15">
      <c r="A363" s="82"/>
      <c r="B363" s="82"/>
      <c r="C363" s="82"/>
      <c r="D363" s="82"/>
      <c r="E363" s="82" t="str">
        <f>SelectedInputs!E56</f>
        <v>New Depot (EMID, SWALES, SWEST and WMID only)</v>
      </c>
      <c r="F363" s="82"/>
      <c r="G363" s="2" t="s">
        <v>105</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0</v>
      </c>
      <c r="AQ363" s="147"/>
      <c r="AR363" s="8">
        <f>SelectedInputs!AR56</f>
        <v>0</v>
      </c>
      <c r="AS363" s="8">
        <f>SelectedInputs!AS56</f>
        <v>0</v>
      </c>
      <c r="AT363" s="8">
        <f>SelectedInputs!AT56</f>
        <v>0</v>
      </c>
      <c r="AU363" s="8">
        <f>SelectedInputs!AU56</f>
        <v>0</v>
      </c>
      <c r="AV363" s="8">
        <f>SelectedInputs!AV56</f>
        <v>0</v>
      </c>
    </row>
    <row r="364" spans="1:48" ht="15">
      <c r="A364" s="82"/>
      <c r="B364" s="82"/>
      <c r="C364" s="82"/>
      <c r="D364" s="82"/>
      <c r="E364" s="82" t="str">
        <f>SelectedInputs!E57</f>
        <v>New Control Room (SSES and SSEH only)</v>
      </c>
      <c r="F364" s="82"/>
      <c r="G364" s="2" t="s">
        <v>105</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SelectedInputs!AR57</f>
        <v>0</v>
      </c>
      <c r="AS364" s="8">
        <f>SelectedInputs!AS57</f>
        <v>0</v>
      </c>
      <c r="AT364" s="8">
        <f>SelectedInputs!AT57</f>
        <v>0</v>
      </c>
      <c r="AU364" s="8">
        <f>SelectedInputs!AU57</f>
        <v>0</v>
      </c>
      <c r="AV364" s="8">
        <f>SelectedInputs!AV57</f>
        <v>0</v>
      </c>
    </row>
    <row r="365" spans="1:48" ht="15">
      <c r="A365" s="82"/>
      <c r="B365" s="82"/>
      <c r="C365" s="82"/>
      <c r="D365" s="82"/>
      <c r="E365" s="82" t="str">
        <f>SelectedInputs!E58</f>
        <v>Storm Arwen Re-opener</v>
      </c>
      <c r="F365" s="82"/>
      <c r="G365" s="2" t="s">
        <v>105</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2</v>
      </c>
      <c r="AO365" s="523">
        <f t="shared" si="15"/>
        <v>1</v>
      </c>
      <c r="AP365" s="352">
        <f t="shared" si="16"/>
        <v>25.866066447598005</v>
      </c>
      <c r="AQ365" s="147"/>
      <c r="AR365" s="8">
        <f>SelectedInputs!AR58</f>
        <v>7.3691932467225369E-3</v>
      </c>
      <c r="AS365" s="8">
        <f>SelectedInputs!AS58</f>
        <v>0.11527752235129568</v>
      </c>
      <c r="AT365" s="8">
        <f>SelectedInputs!AT58</f>
        <v>1.2534244697641355</v>
      </c>
      <c r="AU365" s="8">
        <f>SelectedInputs!AU58</f>
        <v>12.246446609108023</v>
      </c>
      <c r="AV365" s="8">
        <f>SelectedInputs!AV58</f>
        <v>12.243548653127828</v>
      </c>
    </row>
    <row r="366" spans="1:48" ht="15">
      <c r="A366" s="82"/>
      <c r="B366" s="82"/>
      <c r="C366" s="82"/>
      <c r="D366" s="82"/>
      <c r="E366" s="82" t="str">
        <f>SelectedInputs!E59</f>
        <v>High Value Projects Re-opener</v>
      </c>
      <c r="F366" s="82"/>
      <c r="G366" s="2" t="s">
        <v>105</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0</v>
      </c>
      <c r="AQ366" s="147"/>
      <c r="AR366" s="8">
        <f>SelectedInputs!AR59</f>
        <v>0</v>
      </c>
      <c r="AS366" s="8">
        <f>SelectedInputs!AS59</f>
        <v>0</v>
      </c>
      <c r="AT366" s="8">
        <f>SelectedInputs!AT59</f>
        <v>0</v>
      </c>
      <c r="AU366" s="8">
        <f>SelectedInputs!AU59</f>
        <v>0</v>
      </c>
      <c r="AV366" s="8">
        <f>SelectedInputs!AV59</f>
        <v>0</v>
      </c>
    </row>
    <row r="367" spans="1:48" ht="15">
      <c r="A367" s="82"/>
      <c r="B367" s="82"/>
      <c r="C367" s="82"/>
      <c r="D367" s="82"/>
      <c r="E367" s="82" t="str">
        <f>SelectedInputs!E60</f>
        <v>Strategic Investment</v>
      </c>
      <c r="F367" s="82"/>
      <c r="G367" s="2" t="s">
        <v>105</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SelectedInputs!AR60</f>
        <v>0</v>
      </c>
      <c r="AS367" s="8">
        <f>SelectedInputs!AS60</f>
        <v>0</v>
      </c>
      <c r="AT367" s="8">
        <f>SelectedInputs!AT60</f>
        <v>0</v>
      </c>
      <c r="AU367" s="8">
        <f>SelectedInputs!AU60</f>
        <v>0</v>
      </c>
      <c r="AV367" s="8">
        <f>SelectedInputs!AV60</f>
        <v>0</v>
      </c>
    </row>
    <row r="368" spans="1:48" ht="15">
      <c r="A368" s="82"/>
      <c r="B368" s="82"/>
      <c r="C368" s="82"/>
      <c r="D368" s="82"/>
      <c r="E368" s="82" t="str">
        <f>SelectedInputs!E61</f>
        <v>Carry-over Green Recovery Scheme</v>
      </c>
      <c r="F368" s="82"/>
      <c r="G368" s="2" t="s">
        <v>105</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18.227535382883779</v>
      </c>
      <c r="AQ368" s="147"/>
      <c r="AR368" s="8">
        <f>SelectedInputs!AR61</f>
        <v>6.1885114975789772</v>
      </c>
      <c r="AS368" s="8">
        <f>SelectedInputs!AS61</f>
        <v>6.5252669062832664</v>
      </c>
      <c r="AT368" s="8">
        <f>SelectedInputs!AT61</f>
        <v>4.2227437710912117</v>
      </c>
      <c r="AU368" s="8">
        <f>SelectedInputs!AU61</f>
        <v>1.2910132079303269</v>
      </c>
      <c r="AV368" s="8">
        <f>SelectedInputs!AV61</f>
        <v>0</v>
      </c>
    </row>
    <row r="369" spans="1:48" ht="15">
      <c r="A369" s="82"/>
      <c r="B369" s="82"/>
      <c r="C369" s="82"/>
      <c r="D369" s="82"/>
      <c r="E369" s="82" t="str">
        <f>SelectedInputs!E62</f>
        <v>1-in-20 Severe Weather Event</v>
      </c>
      <c r="F369" s="82"/>
      <c r="G369" s="2" t="s">
        <v>105</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SelectedInputs!AR62</f>
        <v>0</v>
      </c>
      <c r="AS369" s="8">
        <f>SelectedInputs!AS62</f>
        <v>0</v>
      </c>
      <c r="AT369" s="8">
        <f>SelectedInputs!AT62</f>
        <v>0</v>
      </c>
      <c r="AU369" s="8">
        <f>SelectedInputs!AU62</f>
        <v>0</v>
      </c>
      <c r="AV369" s="8">
        <f>SelectedInputs!AV62</f>
        <v>0</v>
      </c>
    </row>
    <row r="370" spans="1:48" ht="15">
      <c r="A370" s="82"/>
      <c r="B370" s="82"/>
      <c r="C370" s="82"/>
      <c r="D370" s="82"/>
      <c r="E370" s="82" t="str">
        <f>SelectedInputs!E63</f>
        <v>Net to Gross Load Related Expenditure</v>
      </c>
      <c r="F370" s="82"/>
      <c r="G370" s="2" t="s">
        <v>105</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SelectedInputs!AR63</f>
        <v>0</v>
      </c>
      <c r="AS370" s="8">
        <f>SelectedInputs!AS63</f>
        <v>0</v>
      </c>
      <c r="AT370" s="8">
        <f>SelectedInputs!AT63</f>
        <v>0</v>
      </c>
      <c r="AU370" s="8">
        <f>SelectedInputs!AU63</f>
        <v>0</v>
      </c>
      <c r="AV370" s="8">
        <f>SelectedInputs!AV63</f>
        <v>0</v>
      </c>
    </row>
    <row r="371" spans="1:48" ht="15">
      <c r="A371" s="82"/>
      <c r="B371" s="82"/>
      <c r="C371" s="82"/>
      <c r="D371" s="82"/>
      <c r="E371" s="82">
        <f>SelectedInputs!E64</f>
        <v>0</v>
      </c>
      <c r="F371" s="82"/>
      <c r="G371" s="2" t="s">
        <v>105</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0</v>
      </c>
      <c r="AO371" s="523">
        <f t="shared" si="15"/>
        <v>0</v>
      </c>
      <c r="AP371" s="352">
        <f t="shared" si="16"/>
        <v>0</v>
      </c>
      <c r="AQ371" s="147"/>
      <c r="AR371" s="8">
        <f>SelectedInputs!AR64</f>
        <v>0</v>
      </c>
      <c r="AS371" s="8">
        <f>SelectedInputs!AS64</f>
        <v>0</v>
      </c>
      <c r="AT371" s="8">
        <f>SelectedInputs!AT64</f>
        <v>0</v>
      </c>
      <c r="AU371" s="8">
        <f>SelectedInputs!AU64</f>
        <v>0</v>
      </c>
      <c r="AV371" s="8">
        <f>SelectedInputs!AV64</f>
        <v>0</v>
      </c>
    </row>
    <row r="372" spans="1:48" ht="15">
      <c r="A372" s="82"/>
      <c r="B372" s="82"/>
      <c r="C372" s="82"/>
      <c r="D372" s="82"/>
      <c r="E372" s="82">
        <f>SelectedInputs!E65</f>
        <v>0</v>
      </c>
      <c r="F372" s="82"/>
      <c r="G372" s="2" t="s">
        <v>105</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SelectedInputs!AR65</f>
        <v>0</v>
      </c>
      <c r="AS372" s="8">
        <f>SelectedInputs!AS65</f>
        <v>0</v>
      </c>
      <c r="AT372" s="8">
        <f>SelectedInputs!AT65</f>
        <v>0</v>
      </c>
      <c r="AU372" s="8">
        <f>SelectedInputs!AU65</f>
        <v>0</v>
      </c>
      <c r="AV372" s="8">
        <f>SelectedInputs!AV65</f>
        <v>0</v>
      </c>
    </row>
    <row r="373" spans="1:48" ht="15">
      <c r="A373" s="82"/>
      <c r="B373" s="82"/>
      <c r="C373" s="82"/>
      <c r="D373" s="82"/>
      <c r="E373" s="82">
        <f>SelectedInputs!E66</f>
        <v>0</v>
      </c>
      <c r="F373" s="82"/>
      <c r="G373" s="2" t="s">
        <v>105</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SelectedInputs!AR66</f>
        <v>0</v>
      </c>
      <c r="AS373" s="8">
        <f>SelectedInputs!AS66</f>
        <v>0</v>
      </c>
      <c r="AT373" s="8">
        <f>SelectedInputs!AT66</f>
        <v>0</v>
      </c>
      <c r="AU373" s="8">
        <f>SelectedInputs!AU66</f>
        <v>0</v>
      </c>
      <c r="AV373" s="8">
        <f>SelectedInputs!AV66</f>
        <v>0</v>
      </c>
    </row>
    <row r="374" spans="1:48" ht="15">
      <c r="A374" s="82"/>
      <c r="B374" s="82"/>
      <c r="C374" s="82"/>
      <c r="D374" s="82"/>
      <c r="E374" s="82">
        <f>SelectedInputs!E67</f>
        <v>0</v>
      </c>
      <c r="F374" s="82"/>
      <c r="G374" s="2" t="s">
        <v>105</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SelectedInputs!AR67</f>
        <v>0</v>
      </c>
      <c r="AS374" s="8">
        <f>SelectedInputs!AS67</f>
        <v>0</v>
      </c>
      <c r="AT374" s="8">
        <f>SelectedInputs!AT67</f>
        <v>0</v>
      </c>
      <c r="AU374" s="8">
        <f>SelectedInputs!AU67</f>
        <v>0</v>
      </c>
      <c r="AV374" s="8">
        <f>SelectedInputs!AV67</f>
        <v>0</v>
      </c>
    </row>
    <row r="375" spans="1:48" ht="15">
      <c r="A375" s="82"/>
      <c r="B375" s="82"/>
      <c r="C375" s="82"/>
      <c r="D375" s="82"/>
      <c r="E375" s="82">
        <f>SelectedInputs!E68</f>
        <v>0</v>
      </c>
      <c r="F375" s="82"/>
      <c r="G375" s="2" t="s">
        <v>105</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SelectedInputs!AR68</f>
        <v>0</v>
      </c>
      <c r="AS375" s="8">
        <f>SelectedInputs!AS68</f>
        <v>0</v>
      </c>
      <c r="AT375" s="8">
        <f>SelectedInputs!AT68</f>
        <v>0</v>
      </c>
      <c r="AU375" s="8">
        <f>SelectedInputs!AU68</f>
        <v>0</v>
      </c>
      <c r="AV375" s="8">
        <f>SelectedInputs!AV68</f>
        <v>0</v>
      </c>
    </row>
    <row r="376" spans="1:48" ht="15">
      <c r="A376" s="82"/>
      <c r="B376" s="82"/>
      <c r="C376" s="82"/>
      <c r="D376" s="82"/>
      <c r="E376" s="82">
        <f>SelectedInputs!E69</f>
        <v>0</v>
      </c>
      <c r="F376" s="82"/>
      <c r="G376" s="2" t="s">
        <v>105</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SelectedInputs!AR69</f>
        <v>0</v>
      </c>
      <c r="AS376" s="8">
        <f>SelectedInputs!AS69</f>
        <v>0</v>
      </c>
      <c r="AT376" s="8">
        <f>SelectedInputs!AT69</f>
        <v>0</v>
      </c>
      <c r="AU376" s="8">
        <f>SelectedInputs!AU69</f>
        <v>0</v>
      </c>
      <c r="AV376" s="8">
        <f>SelectedInputs!AV69</f>
        <v>0</v>
      </c>
    </row>
    <row r="377" spans="1:48" ht="15">
      <c r="A377" s="82"/>
      <c r="B377" s="82"/>
      <c r="C377" s="82"/>
      <c r="D377" s="82"/>
      <c r="E377" s="82">
        <f>SelectedInputs!E70</f>
        <v>0</v>
      </c>
      <c r="F377" s="82"/>
      <c r="G377" s="2" t="s">
        <v>105</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SelectedInputs!AR70</f>
        <v>0</v>
      </c>
      <c r="AS377" s="8">
        <f>SelectedInputs!AS70</f>
        <v>0</v>
      </c>
      <c r="AT377" s="8">
        <f>SelectedInputs!AT70</f>
        <v>0</v>
      </c>
      <c r="AU377" s="8">
        <f>SelectedInputs!AU70</f>
        <v>0</v>
      </c>
      <c r="AV377" s="8">
        <f>SelectedInputs!AV70</f>
        <v>0</v>
      </c>
    </row>
    <row r="378" spans="1:48" ht="15">
      <c r="A378" s="82"/>
      <c r="B378" s="82"/>
      <c r="C378" s="82"/>
      <c r="D378" s="82"/>
      <c r="E378" s="82">
        <f>SelectedInputs!E71</f>
        <v>0</v>
      </c>
      <c r="F378" s="82"/>
      <c r="G378" s="2" t="s">
        <v>105</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SelectedInputs!AR71</f>
        <v>0</v>
      </c>
      <c r="AS378" s="8">
        <f>SelectedInputs!AS71</f>
        <v>0</v>
      </c>
      <c r="AT378" s="8">
        <f>SelectedInputs!AT71</f>
        <v>0</v>
      </c>
      <c r="AU378" s="8">
        <f>SelectedInputs!AU71</f>
        <v>0</v>
      </c>
      <c r="AV378" s="8">
        <f>SelectedInputs!AV71</f>
        <v>0</v>
      </c>
    </row>
    <row r="379" spans="1:48" ht="15">
      <c r="A379" s="82"/>
      <c r="B379" s="82"/>
      <c r="C379" s="82"/>
      <c r="D379" s="82"/>
      <c r="E379" s="82" t="s">
        <v>641</v>
      </c>
      <c r="F379" s="82"/>
      <c r="G379" s="2" t="s">
        <v>105</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7"/>
      <c r="AR379" s="431">
        <f>SUM(AR331:AR378)</f>
        <v>40.107293509940639</v>
      </c>
      <c r="AS379" s="431">
        <f>SUM(AS331:AS378)</f>
        <v>53.628281374783818</v>
      </c>
      <c r="AT379" s="431">
        <f>SUM(AT331:AT378)</f>
        <v>57.09951748261426</v>
      </c>
      <c r="AU379" s="431">
        <f>SUM(AU331:AU378)</f>
        <v>59.202573776120069</v>
      </c>
      <c r="AV379" s="431">
        <f>SUM(AV331:AV378)</f>
        <v>63.955310813097228</v>
      </c>
    </row>
    <row r="380" spans="1:48" ht="15.75">
      <c r="A380" s="82"/>
      <c r="B380" s="82"/>
      <c r="C380" s="82"/>
      <c r="D380" s="82"/>
      <c r="E380" s="182" t="s">
        <v>21</v>
      </c>
      <c r="F380" s="268"/>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5"/>
      <c r="AK380" s="335"/>
      <c r="AL380" s="335"/>
      <c r="AM380" s="335"/>
      <c r="AN380" s="335"/>
      <c r="AO380" s="335"/>
      <c r="AP380" s="335">
        <f>IF(SUMPRODUCT(AO331:AO378,AP331:AP378)=SUM(AP331:AP378),0,1)</f>
        <v>0</v>
      </c>
      <c r="AQ380" s="336"/>
      <c r="AR380" s="335"/>
      <c r="AS380" s="335"/>
      <c r="AT380" s="335"/>
      <c r="AU380" s="335"/>
      <c r="AV380" s="335"/>
    </row>
    <row r="381" spans="1:48" ht="15">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69"/>
      <c r="AR381" s="83"/>
      <c r="AS381" s="83"/>
      <c r="AT381" s="83"/>
      <c r="AU381" s="83"/>
      <c r="AV381" s="83"/>
    </row>
    <row r="382" spans="1:48" ht="15">
      <c r="A382" s="82"/>
      <c r="B382" s="82"/>
      <c r="C382" s="194"/>
      <c r="D382" s="28" t="s">
        <v>642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0">
      <c r="A383" s="82"/>
      <c r="B383" s="82"/>
      <c r="C383" s="82"/>
      <c r="D383" s="82"/>
      <c r="E383" s="82"/>
      <c r="F383" s="268"/>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5" t="s">
        <v>643</v>
      </c>
      <c r="AK383" s="205"/>
      <c r="AL383" s="205" t="s">
        <v>644</v>
      </c>
      <c r="AM383" s="205" t="s">
        <v>645</v>
      </c>
      <c r="AO383" s="205" t="s">
        <v>630</v>
      </c>
      <c r="AP383" s="205" t="s">
        <v>631</v>
      </c>
      <c r="AQ383" s="205" t="s">
        <v>632</v>
      </c>
      <c r="AR383" s="205" t="s">
        <v>633</v>
      </c>
      <c r="AS383" s="205" t="s">
        <v>634</v>
      </c>
      <c r="AT383" s="205" t="s">
        <v>635</v>
      </c>
      <c r="AU383" s="205" t="s">
        <v>636</v>
      </c>
    </row>
    <row r="384" spans="1:48" ht="15.75">
      <c r="A384" s="82"/>
      <c r="B384" s="82"/>
      <c r="C384" s="82"/>
      <c r="D384" s="82"/>
      <c r="E384" s="82" t="str">
        <f t="shared" ref="E384:E431" si="17">E331</f>
        <v>RPEs (bucket 1 allowances)</v>
      </c>
      <c r="F384" s="268"/>
      <c r="G384" s="82" t="s">
        <v>209</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3" t="str">
        <f>SelectedInputs!AJ74</f>
        <v>Other</v>
      </c>
      <c r="AK384" s="353"/>
      <c r="AL384" s="353">
        <f>SelectedInputs!AL74</f>
        <v>0</v>
      </c>
      <c r="AM384" s="353">
        <f>SelectedInputs!AM74</f>
        <v>1</v>
      </c>
      <c r="AN384" s="515"/>
      <c r="AO384" s="287">
        <f>SelectedInputs!AO74</f>
        <v>6.8793391047029556E-2</v>
      </c>
      <c r="AP384" s="287">
        <f>SelectedInputs!AP74</f>
        <v>0.31021818316642769</v>
      </c>
      <c r="AQ384" s="287">
        <f>SelectedInputs!AQ74</f>
        <v>0.10694472750907517</v>
      </c>
      <c r="AR384" s="287">
        <f>SelectedInputs!AR74</f>
        <v>0.11389264699536407</v>
      </c>
      <c r="AS384" s="287">
        <f>SelectedInputs!AS74</f>
        <v>1.7498662647738854E-2</v>
      </c>
      <c r="AT384" s="287">
        <f>SelectedInputs!AT74</f>
        <v>3.0201745856340625E-2</v>
      </c>
      <c r="AU384" s="287">
        <f>SelectedInputs!AU74</f>
        <v>0.35245064277802385</v>
      </c>
      <c r="AV384" s="521"/>
    </row>
    <row r="385" spans="1:48" ht="15.75">
      <c r="A385" s="82"/>
      <c r="B385" s="82"/>
      <c r="C385" s="82"/>
      <c r="D385" s="82"/>
      <c r="E385" s="82" t="str">
        <f t="shared" si="17"/>
        <v>RPEs (bucket 2 allowances)</v>
      </c>
      <c r="F385" s="268"/>
      <c r="G385" s="82" t="s">
        <v>209</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SelectedInputs!AJ75</f>
        <v>Other</v>
      </c>
      <c r="AK385" s="353"/>
      <c r="AL385" s="353">
        <f>SelectedInputs!AL75</f>
        <v>0</v>
      </c>
      <c r="AM385" s="353">
        <f>SelectedInputs!AM75</f>
        <v>2</v>
      </c>
      <c r="AN385" s="515"/>
      <c r="AO385" s="287">
        <f>SelectedInputs!AO75</f>
        <v>0.79177422185912216</v>
      </c>
      <c r="AP385" s="287">
        <f>SelectedInputs!AP75</f>
        <v>0.20822577814087787</v>
      </c>
      <c r="AQ385" s="287">
        <f>SelectedInputs!AQ75</f>
        <v>0</v>
      </c>
      <c r="AR385" s="287">
        <f>SelectedInputs!AR75</f>
        <v>0</v>
      </c>
      <c r="AS385" s="287">
        <f>SelectedInputs!AS75</f>
        <v>0</v>
      </c>
      <c r="AT385" s="287">
        <f>SelectedInputs!AT75</f>
        <v>0</v>
      </c>
      <c r="AU385" s="287">
        <f>SelectedInputs!AU75</f>
        <v>0</v>
      </c>
      <c r="AV385" s="521"/>
    </row>
    <row r="386" spans="1:48" ht="15.75">
      <c r="A386" s="82"/>
      <c r="B386" s="82"/>
      <c r="C386" s="82"/>
      <c r="D386" s="82"/>
      <c r="E386" s="82" t="str">
        <f t="shared" si="17"/>
        <v>Physical Security Re-opener</v>
      </c>
      <c r="F386" s="268"/>
      <c r="G386" s="82" t="s">
        <v>209</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SelectedInputs!AJ76</f>
        <v>Re-opener</v>
      </c>
      <c r="AK386" s="353"/>
      <c r="AL386" s="353" t="str">
        <f>SelectedInputs!AL76</f>
        <v>RPEs Don't Apply</v>
      </c>
      <c r="AM386" s="353">
        <f>SelectedInputs!AM76</f>
        <v>2</v>
      </c>
      <c r="AN386" s="515"/>
      <c r="AO386" s="287">
        <f>SelectedInputs!AO76</f>
        <v>0</v>
      </c>
      <c r="AP386" s="287">
        <f>SelectedInputs!AP76</f>
        <v>1</v>
      </c>
      <c r="AQ386" s="287">
        <f>SelectedInputs!AQ76</f>
        <v>0</v>
      </c>
      <c r="AR386" s="287">
        <f>SelectedInputs!AR76</f>
        <v>0</v>
      </c>
      <c r="AS386" s="287">
        <f>SelectedInputs!AS76</f>
        <v>0</v>
      </c>
      <c r="AT386" s="287">
        <f>SelectedInputs!AT76</f>
        <v>0</v>
      </c>
      <c r="AU386" s="287">
        <f>SelectedInputs!AU76</f>
        <v>0</v>
      </c>
      <c r="AV386" s="521"/>
    </row>
    <row r="387" spans="1:48" ht="15.75">
      <c r="A387" s="82"/>
      <c r="B387" s="82"/>
      <c r="C387" s="82"/>
      <c r="D387" s="82"/>
      <c r="E387" s="82" t="str">
        <f t="shared" si="17"/>
        <v>Specified Street Works Costs Re-opener</v>
      </c>
      <c r="F387" s="268"/>
      <c r="G387" s="82" t="s">
        <v>209</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SelectedInputs!AJ77</f>
        <v>Re-opener</v>
      </c>
      <c r="AK387" s="353"/>
      <c r="AL387" s="353" t="str">
        <f>SelectedInputs!AL77</f>
        <v>RPEs Don't Apply</v>
      </c>
      <c r="AM387" s="353">
        <f>SelectedInputs!AM77</f>
        <v>2</v>
      </c>
      <c r="AN387" s="515"/>
      <c r="AO387" s="287">
        <f>SelectedInputs!AO77</f>
        <v>0</v>
      </c>
      <c r="AP387" s="287">
        <f>SelectedInputs!AP77</f>
        <v>0</v>
      </c>
      <c r="AQ387" s="287">
        <f>SelectedInputs!AQ77</f>
        <v>0</v>
      </c>
      <c r="AR387" s="287">
        <f>SelectedInputs!AR77</f>
        <v>0</v>
      </c>
      <c r="AS387" s="287">
        <f>SelectedInputs!AS77</f>
        <v>0</v>
      </c>
      <c r="AT387" s="287">
        <f>SelectedInputs!AT77</f>
        <v>0</v>
      </c>
      <c r="AU387" s="287">
        <f>SelectedInputs!AU77</f>
        <v>1</v>
      </c>
      <c r="AV387" s="521"/>
    </row>
    <row r="388" spans="1:48" ht="15.75">
      <c r="A388" s="82"/>
      <c r="B388" s="82"/>
      <c r="C388" s="82"/>
      <c r="D388" s="82"/>
      <c r="E388" s="82" t="str">
        <f t="shared" si="17"/>
        <v>Rail Electrification Costs Re-opener</v>
      </c>
      <c r="F388" s="268"/>
      <c r="G388" s="82" t="s">
        <v>209</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SelectedInputs!AJ78</f>
        <v>Re-opener</v>
      </c>
      <c r="AK388" s="353"/>
      <c r="AL388" s="353" t="str">
        <f>SelectedInputs!AL78</f>
        <v>RPEs Don't Apply</v>
      </c>
      <c r="AM388" s="353">
        <f>SelectedInputs!AM78</f>
        <v>2</v>
      </c>
      <c r="AN388" s="515"/>
      <c r="AO388" s="287">
        <f>SelectedInputs!AO78</f>
        <v>0</v>
      </c>
      <c r="AP388" s="287">
        <f>SelectedInputs!AP78</f>
        <v>1</v>
      </c>
      <c r="AQ388" s="287">
        <f>SelectedInputs!AQ78</f>
        <v>0</v>
      </c>
      <c r="AR388" s="287">
        <f>SelectedInputs!AR78</f>
        <v>0</v>
      </c>
      <c r="AS388" s="287">
        <f>SelectedInputs!AS78</f>
        <v>0</v>
      </c>
      <c r="AT388" s="287">
        <f>SelectedInputs!AT78</f>
        <v>0</v>
      </c>
      <c r="AU388" s="287">
        <f>SelectedInputs!AU78</f>
        <v>0</v>
      </c>
      <c r="AV388" s="521"/>
    </row>
    <row r="389" spans="1:48" ht="15.75">
      <c r="A389" s="82"/>
      <c r="B389" s="82"/>
      <c r="C389" s="82"/>
      <c r="D389" s="82"/>
      <c r="E389" s="82" t="str">
        <f t="shared" si="17"/>
        <v>Net Zero Re-opener</v>
      </c>
      <c r="F389" s="268"/>
      <c r="G389" s="82" t="s">
        <v>209</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SelectedInputs!AJ79</f>
        <v>Re-opener</v>
      </c>
      <c r="AK389" s="353"/>
      <c r="AL389" s="353" t="str">
        <f>SelectedInputs!AL79</f>
        <v>RPEs Don't Apply</v>
      </c>
      <c r="AM389" s="353">
        <f>SelectedInputs!AM79</f>
        <v>2</v>
      </c>
      <c r="AN389" s="515"/>
      <c r="AO389" s="287">
        <f>SelectedInputs!AO79</f>
        <v>1</v>
      </c>
      <c r="AP389" s="287">
        <f>SelectedInputs!AP79</f>
        <v>0</v>
      </c>
      <c r="AQ389" s="287">
        <f>SelectedInputs!AQ79</f>
        <v>0</v>
      </c>
      <c r="AR389" s="287">
        <f>SelectedInputs!AR79</f>
        <v>0</v>
      </c>
      <c r="AS389" s="287">
        <f>SelectedInputs!AS79</f>
        <v>0</v>
      </c>
      <c r="AT389" s="287">
        <f>SelectedInputs!AT79</f>
        <v>0</v>
      </c>
      <c r="AU389" s="287">
        <f>SelectedInputs!AU79</f>
        <v>0</v>
      </c>
      <c r="AV389" s="521"/>
    </row>
    <row r="390" spans="1:48" ht="15.75">
      <c r="A390" s="82"/>
      <c r="B390" s="82"/>
      <c r="C390" s="82"/>
      <c r="D390" s="82"/>
      <c r="E390" s="82" t="str">
        <f t="shared" si="17"/>
        <v>Coordinated Adjustment Mechanism Re-opener</v>
      </c>
      <c r="F390" s="268"/>
      <c r="G390" s="82" t="s">
        <v>209</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SelectedInputs!AJ80</f>
        <v>Re-opener</v>
      </c>
      <c r="AK390" s="353"/>
      <c r="AL390" s="353" t="str">
        <f>SelectedInputs!AL80</f>
        <v>RPEs Don't Apply</v>
      </c>
      <c r="AM390" s="353">
        <f>SelectedInputs!AM80</f>
        <v>2</v>
      </c>
      <c r="AN390" s="515"/>
      <c r="AO390" s="287">
        <f>SelectedInputs!AO80</f>
        <v>0</v>
      </c>
      <c r="AP390" s="287">
        <f>SelectedInputs!AP80</f>
        <v>0</v>
      </c>
      <c r="AQ390" s="287">
        <f>SelectedInputs!AQ80</f>
        <v>1</v>
      </c>
      <c r="AR390" s="287">
        <f>SelectedInputs!AR80</f>
        <v>0</v>
      </c>
      <c r="AS390" s="287">
        <f>SelectedInputs!AS80</f>
        <v>0</v>
      </c>
      <c r="AT390" s="287">
        <f>SelectedInputs!AT80</f>
        <v>0</v>
      </c>
      <c r="AU390" s="287">
        <f>SelectedInputs!AU80</f>
        <v>0</v>
      </c>
      <c r="AV390" s="521"/>
    </row>
    <row r="391" spans="1:48" ht="15.75">
      <c r="A391" s="82"/>
      <c r="B391" s="82"/>
      <c r="C391" s="82"/>
      <c r="D391" s="82"/>
      <c r="E391" s="82" t="str">
        <f t="shared" si="17"/>
        <v>Electricity System Restoration Re-opener</v>
      </c>
      <c r="F391" s="268"/>
      <c r="G391" s="82" t="s">
        <v>209</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SelectedInputs!AJ81</f>
        <v>Re-opener</v>
      </c>
      <c r="AK391" s="353"/>
      <c r="AL391" s="353" t="str">
        <f>SelectedInputs!AL81</f>
        <v>RPEs Don't Apply</v>
      </c>
      <c r="AM391" s="353">
        <f>SelectedInputs!AM81</f>
        <v>2</v>
      </c>
      <c r="AN391" s="515"/>
      <c r="AO391" s="287">
        <f>SelectedInputs!AO81</f>
        <v>0</v>
      </c>
      <c r="AP391" s="287">
        <f>SelectedInputs!AP81</f>
        <v>1</v>
      </c>
      <c r="AQ391" s="287">
        <f>SelectedInputs!AQ81</f>
        <v>0</v>
      </c>
      <c r="AR391" s="287">
        <f>SelectedInputs!AR81</f>
        <v>0</v>
      </c>
      <c r="AS391" s="287">
        <f>SelectedInputs!AS81</f>
        <v>0</v>
      </c>
      <c r="AT391" s="287">
        <f>SelectedInputs!AT81</f>
        <v>0</v>
      </c>
      <c r="AU391" s="287">
        <f>SelectedInputs!AU81</f>
        <v>0</v>
      </c>
      <c r="AV391" s="521"/>
    </row>
    <row r="392" spans="1:48" ht="15.75">
      <c r="A392" s="82"/>
      <c r="B392" s="82"/>
      <c r="C392" s="82"/>
      <c r="D392" s="82"/>
      <c r="E392" s="82" t="str">
        <f t="shared" si="17"/>
        <v>Environmental Re-opener</v>
      </c>
      <c r="F392" s="268"/>
      <c r="G392" s="82" t="s">
        <v>209</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SelectedInputs!AJ82</f>
        <v>Re-opener</v>
      </c>
      <c r="AK392" s="353"/>
      <c r="AL392" s="353" t="str">
        <f>SelectedInputs!AL82</f>
        <v>RPEs Don't Apply</v>
      </c>
      <c r="AM392" s="353">
        <f>SelectedInputs!AM82</f>
        <v>2</v>
      </c>
      <c r="AN392" s="515"/>
      <c r="AO392" s="287">
        <f>SelectedInputs!AO82</f>
        <v>0</v>
      </c>
      <c r="AP392" s="287">
        <f>SelectedInputs!AP82</f>
        <v>1</v>
      </c>
      <c r="AQ392" s="287">
        <f>SelectedInputs!AQ82</f>
        <v>0</v>
      </c>
      <c r="AR392" s="287">
        <f>SelectedInputs!AR82</f>
        <v>0</v>
      </c>
      <c r="AS392" s="287">
        <f>SelectedInputs!AS82</f>
        <v>0</v>
      </c>
      <c r="AT392" s="287">
        <f>SelectedInputs!AT82</f>
        <v>0</v>
      </c>
      <c r="AU392" s="287">
        <f>SelectedInputs!AU82</f>
        <v>0</v>
      </c>
      <c r="AV392" s="521"/>
    </row>
    <row r="393" spans="1:48" ht="15.75">
      <c r="A393" s="82"/>
      <c r="B393" s="82"/>
      <c r="C393" s="82"/>
      <c r="D393" s="82"/>
      <c r="E393" s="82" t="str">
        <f t="shared" si="17"/>
        <v>Network Asset Risk Metric Expenditure</v>
      </c>
      <c r="F393" s="268"/>
      <c r="G393" s="82" t="s">
        <v>209</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SelectedInputs!AJ83</f>
        <v>PCD</v>
      </c>
      <c r="AK393" s="353"/>
      <c r="AL393" s="353" t="str">
        <f>SelectedInputs!AL83</f>
        <v>RPEs Apply</v>
      </c>
      <c r="AM393" s="353">
        <f>SelectedInputs!AM83</f>
        <v>1</v>
      </c>
      <c r="AN393" s="515"/>
      <c r="AO393" s="287">
        <f>SelectedInputs!AO83</f>
        <v>0</v>
      </c>
      <c r="AP393" s="287">
        <f>SelectedInputs!AP83</f>
        <v>1</v>
      </c>
      <c r="AQ393" s="287">
        <f>SelectedInputs!AQ83</f>
        <v>0</v>
      </c>
      <c r="AR393" s="287">
        <f>SelectedInputs!AR83</f>
        <v>0</v>
      </c>
      <c r="AS393" s="287">
        <f>SelectedInputs!AS83</f>
        <v>0</v>
      </c>
      <c r="AT393" s="287">
        <f>SelectedInputs!AT83</f>
        <v>0</v>
      </c>
      <c r="AU393" s="287">
        <f>SelectedInputs!AU83</f>
        <v>0</v>
      </c>
      <c r="AV393" s="521"/>
    </row>
    <row r="394" spans="1:48" ht="15.75">
      <c r="A394" s="82"/>
      <c r="B394" s="82"/>
      <c r="C394" s="82"/>
      <c r="D394" s="82"/>
      <c r="E394" s="82" t="str">
        <f t="shared" si="17"/>
        <v>Load Related Expenditure: Secondary Reinforcement</v>
      </c>
      <c r="F394" s="268"/>
      <c r="G394" s="82" t="s">
        <v>209</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SelectedInputs!AJ84</f>
        <v>Volume driver</v>
      </c>
      <c r="AK394" s="353"/>
      <c r="AL394" s="353" t="str">
        <f>SelectedInputs!AL84</f>
        <v>RPEs Apply</v>
      </c>
      <c r="AM394" s="353">
        <f>SelectedInputs!AM84</f>
        <v>2</v>
      </c>
      <c r="AN394" s="515"/>
      <c r="AO394" s="287">
        <f>SelectedInputs!AO84</f>
        <v>1</v>
      </c>
      <c r="AP394" s="287">
        <f>SelectedInputs!AP84</f>
        <v>0</v>
      </c>
      <c r="AQ394" s="287">
        <f>SelectedInputs!AQ84</f>
        <v>0</v>
      </c>
      <c r="AR394" s="287">
        <f>SelectedInputs!AR84</f>
        <v>0</v>
      </c>
      <c r="AS394" s="287">
        <f>SelectedInputs!AS84</f>
        <v>0</v>
      </c>
      <c r="AT394" s="287">
        <f>SelectedInputs!AT84</f>
        <v>0</v>
      </c>
      <c r="AU394" s="287">
        <f>SelectedInputs!AU84</f>
        <v>0</v>
      </c>
      <c r="AV394" s="521"/>
    </row>
    <row r="395" spans="1:48" ht="15.75">
      <c r="A395" s="82"/>
      <c r="B395" s="82"/>
      <c r="C395" s="82"/>
      <c r="D395" s="82"/>
      <c r="E395" s="82" t="str">
        <f t="shared" si="17"/>
        <v>Load Related Expenditure: Low Voltage Services</v>
      </c>
      <c r="F395" s="268"/>
      <c r="G395" s="82" t="s">
        <v>209</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SelectedInputs!AJ85</f>
        <v>Volume driver</v>
      </c>
      <c r="AK395" s="353"/>
      <c r="AL395" s="353" t="str">
        <f>SelectedInputs!AL85</f>
        <v>RPEs Apply</v>
      </c>
      <c r="AM395" s="353">
        <f>SelectedInputs!AM85</f>
        <v>2</v>
      </c>
      <c r="AN395" s="515"/>
      <c r="AO395" s="287">
        <f>SelectedInputs!AO85</f>
        <v>1</v>
      </c>
      <c r="AP395" s="287">
        <f>SelectedInputs!AP85</f>
        <v>0</v>
      </c>
      <c r="AQ395" s="287">
        <f>SelectedInputs!AQ85</f>
        <v>0</v>
      </c>
      <c r="AR395" s="287">
        <f>SelectedInputs!AR85</f>
        <v>0</v>
      </c>
      <c r="AS395" s="287">
        <f>SelectedInputs!AS85</f>
        <v>0</v>
      </c>
      <c r="AT395" s="287">
        <f>SelectedInputs!AT85</f>
        <v>0</v>
      </c>
      <c r="AU395" s="287">
        <f>SelectedInputs!AU85</f>
        <v>0</v>
      </c>
      <c r="AV395" s="521"/>
    </row>
    <row r="396" spans="1:48" ht="15.75">
      <c r="A396" s="82"/>
      <c r="B396" s="82"/>
      <c r="C396" s="82"/>
      <c r="D396" s="82"/>
      <c r="E396" s="82" t="str">
        <f t="shared" si="17"/>
        <v>Load Related Expenditure Re-opener</v>
      </c>
      <c r="F396" s="268"/>
      <c r="G396" s="82" t="s">
        <v>209</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SelectedInputs!AJ86</f>
        <v>Re-opener</v>
      </c>
      <c r="AK396" s="353"/>
      <c r="AL396" s="353" t="str">
        <f>SelectedInputs!AL86</f>
        <v>RPEs Don't Apply</v>
      </c>
      <c r="AM396" s="353">
        <f>SelectedInputs!AM86</f>
        <v>2</v>
      </c>
      <c r="AN396" s="515"/>
      <c r="AO396" s="287">
        <f>SelectedInputs!AO86</f>
        <v>1</v>
      </c>
      <c r="AP396" s="287">
        <f>SelectedInputs!AP86</f>
        <v>0</v>
      </c>
      <c r="AQ396" s="287">
        <f>SelectedInputs!AQ86</f>
        <v>0</v>
      </c>
      <c r="AR396" s="287">
        <f>SelectedInputs!AR86</f>
        <v>0</v>
      </c>
      <c r="AS396" s="287">
        <f>SelectedInputs!AS86</f>
        <v>0</v>
      </c>
      <c r="AT396" s="287">
        <f>SelectedInputs!AT86</f>
        <v>0</v>
      </c>
      <c r="AU396" s="287">
        <f>SelectedInputs!AU86</f>
        <v>0</v>
      </c>
      <c r="AV396" s="521"/>
    </row>
    <row r="397" spans="1:48" ht="15.75">
      <c r="A397" s="82"/>
      <c r="B397" s="82"/>
      <c r="C397" s="82"/>
      <c r="D397" s="82"/>
      <c r="E397" s="82" t="str">
        <f t="shared" si="17"/>
        <v>Digitalisation Re-opener</v>
      </c>
      <c r="F397" s="268"/>
      <c r="G397" s="82" t="s">
        <v>209</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SelectedInputs!AJ87</f>
        <v>Re-opener</v>
      </c>
      <c r="AK397" s="353"/>
      <c r="AL397" s="353" t="str">
        <f>SelectedInputs!AL87</f>
        <v>RPEs Don't Apply</v>
      </c>
      <c r="AM397" s="353">
        <f>SelectedInputs!AM87</f>
        <v>2</v>
      </c>
      <c r="AN397" s="515"/>
      <c r="AO397" s="287">
        <f>SelectedInputs!AO87</f>
        <v>0</v>
      </c>
      <c r="AP397" s="287">
        <f>SelectedInputs!AP87</f>
        <v>0</v>
      </c>
      <c r="AQ397" s="287">
        <f>SelectedInputs!AQ87</f>
        <v>0.5</v>
      </c>
      <c r="AR397" s="287">
        <f>SelectedInputs!AR87</f>
        <v>0</v>
      </c>
      <c r="AS397" s="287">
        <f>SelectedInputs!AS87</f>
        <v>0</v>
      </c>
      <c r="AT397" s="287">
        <f>SelectedInputs!AT87</f>
        <v>0</v>
      </c>
      <c r="AU397" s="287">
        <f>SelectedInputs!AU87</f>
        <v>0.5</v>
      </c>
      <c r="AV397" s="521"/>
    </row>
    <row r="398" spans="1:48" ht="15.75">
      <c r="A398" s="82"/>
      <c r="B398" s="82"/>
      <c r="C398" s="82"/>
      <c r="D398" s="82"/>
      <c r="E398" s="82" t="str">
        <f t="shared" si="17"/>
        <v>PCB Interventions</v>
      </c>
      <c r="F398" s="268"/>
      <c r="G398" s="82" t="s">
        <v>209</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SelectedInputs!AJ88</f>
        <v>Volume driver</v>
      </c>
      <c r="AK398" s="353"/>
      <c r="AL398" s="353" t="str">
        <f>SelectedInputs!AL88</f>
        <v>RPEs Apply</v>
      </c>
      <c r="AM398" s="353">
        <f>SelectedInputs!AM88</f>
        <v>2</v>
      </c>
      <c r="AN398" s="515"/>
      <c r="AO398" s="287">
        <f>SelectedInputs!AO88</f>
        <v>0</v>
      </c>
      <c r="AP398" s="287">
        <f>SelectedInputs!AP88</f>
        <v>1</v>
      </c>
      <c r="AQ398" s="287">
        <f>SelectedInputs!AQ88</f>
        <v>0</v>
      </c>
      <c r="AR398" s="287">
        <f>SelectedInputs!AR88</f>
        <v>0</v>
      </c>
      <c r="AS398" s="287">
        <f>SelectedInputs!AS88</f>
        <v>0</v>
      </c>
      <c r="AT398" s="287">
        <f>SelectedInputs!AT88</f>
        <v>0</v>
      </c>
      <c r="AU398" s="287">
        <f>SelectedInputs!AU88</f>
        <v>0</v>
      </c>
      <c r="AV398" s="521"/>
    </row>
    <row r="399" spans="1:48" ht="15.75">
      <c r="A399" s="82"/>
      <c r="B399" s="82"/>
      <c r="C399" s="82"/>
      <c r="D399" s="82"/>
      <c r="E399" s="82" t="str">
        <f t="shared" si="17"/>
        <v>Visual Amenity Projects</v>
      </c>
      <c r="F399" s="268"/>
      <c r="G399" s="82" t="s">
        <v>209</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SelectedInputs!AJ89</f>
        <v>UIOLI</v>
      </c>
      <c r="AK399" s="353"/>
      <c r="AL399" s="353" t="str">
        <f>SelectedInputs!AL89</f>
        <v>RPEs Don't Apply</v>
      </c>
      <c r="AM399" s="353">
        <f>SelectedInputs!AM89</f>
        <v>1</v>
      </c>
      <c r="AN399" s="515"/>
      <c r="AO399" s="287">
        <f>SelectedInputs!AO89</f>
        <v>0</v>
      </c>
      <c r="AP399" s="287">
        <f>SelectedInputs!AP89</f>
        <v>0</v>
      </c>
      <c r="AQ399" s="287">
        <f>SelectedInputs!AQ89</f>
        <v>1</v>
      </c>
      <c r="AR399" s="287">
        <f>SelectedInputs!AR89</f>
        <v>0</v>
      </c>
      <c r="AS399" s="287">
        <f>SelectedInputs!AS89</f>
        <v>0</v>
      </c>
      <c r="AT399" s="287">
        <f>SelectedInputs!AT89</f>
        <v>0</v>
      </c>
      <c r="AU399" s="287">
        <f>SelectedInputs!AU89</f>
        <v>0</v>
      </c>
      <c r="AV399" s="521"/>
    </row>
    <row r="400" spans="1:48" ht="15.75">
      <c r="A400" s="82"/>
      <c r="B400" s="82"/>
      <c r="C400" s="82"/>
      <c r="D400" s="82"/>
      <c r="E400" s="82" t="str">
        <f t="shared" si="17"/>
        <v>Cyber Resilience OT baseline</v>
      </c>
      <c r="F400" s="268"/>
      <c r="G400" s="82" t="s">
        <v>209</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SelectedInputs!AJ90</f>
        <v>PCD</v>
      </c>
      <c r="AK400" s="353"/>
      <c r="AL400" s="353" t="str">
        <f>SelectedInputs!AL90</f>
        <v>RPEs Apply</v>
      </c>
      <c r="AM400" s="353">
        <f>SelectedInputs!AM90</f>
        <v>1</v>
      </c>
      <c r="AN400" s="515"/>
      <c r="AO400" s="287">
        <f>SelectedInputs!AO90</f>
        <v>0</v>
      </c>
      <c r="AP400" s="287">
        <f>SelectedInputs!AP90</f>
        <v>0</v>
      </c>
      <c r="AQ400" s="287">
        <f>SelectedInputs!AQ90</f>
        <v>1</v>
      </c>
      <c r="AR400" s="287">
        <f>SelectedInputs!AR90</f>
        <v>0</v>
      </c>
      <c r="AS400" s="287">
        <f>SelectedInputs!AS90</f>
        <v>0</v>
      </c>
      <c r="AT400" s="287">
        <f>SelectedInputs!AT90</f>
        <v>0</v>
      </c>
      <c r="AU400" s="287">
        <f>SelectedInputs!AU90</f>
        <v>0</v>
      </c>
      <c r="AV400" s="521"/>
    </row>
    <row r="401" spans="1:48" ht="15.75">
      <c r="A401" s="82"/>
      <c r="B401" s="82"/>
      <c r="C401" s="82"/>
      <c r="D401" s="82"/>
      <c r="E401" s="82" t="str">
        <f t="shared" si="17"/>
        <v>Cyber Resilience OT Re-opener</v>
      </c>
      <c r="F401" s="268"/>
      <c r="G401" s="82" t="s">
        <v>209</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SelectedInputs!AJ91</f>
        <v>Re-opener</v>
      </c>
      <c r="AK401" s="353"/>
      <c r="AL401" s="353" t="str">
        <f>SelectedInputs!AL91</f>
        <v>RPEs Don't Apply</v>
      </c>
      <c r="AM401" s="353">
        <f>SelectedInputs!AM91</f>
        <v>2</v>
      </c>
      <c r="AN401" s="515"/>
      <c r="AO401" s="287">
        <f>SelectedInputs!AO91</f>
        <v>0</v>
      </c>
      <c r="AP401" s="287">
        <f>SelectedInputs!AP91</f>
        <v>0</v>
      </c>
      <c r="AQ401" s="287">
        <f>SelectedInputs!AQ91</f>
        <v>1</v>
      </c>
      <c r="AR401" s="287">
        <f>SelectedInputs!AR91</f>
        <v>0</v>
      </c>
      <c r="AS401" s="287">
        <f>SelectedInputs!AS91</f>
        <v>0</v>
      </c>
      <c r="AT401" s="287">
        <f>SelectedInputs!AT91</f>
        <v>0</v>
      </c>
      <c r="AU401" s="287">
        <f>SelectedInputs!AU91</f>
        <v>0</v>
      </c>
      <c r="AV401" s="521"/>
    </row>
    <row r="402" spans="1:48" ht="15.75">
      <c r="A402" s="82"/>
      <c r="B402" s="82"/>
      <c r="C402" s="82"/>
      <c r="D402" s="82"/>
      <c r="E402" s="82" t="str">
        <f t="shared" si="17"/>
        <v>Cyber Resilience IT Re-opener</v>
      </c>
      <c r="F402" s="268"/>
      <c r="G402" s="82" t="s">
        <v>209</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SelectedInputs!AJ92</f>
        <v>Re-opener</v>
      </c>
      <c r="AK402" s="353"/>
      <c r="AL402" s="353" t="str">
        <f>SelectedInputs!AL92</f>
        <v>RPEs Don't Apply</v>
      </c>
      <c r="AM402" s="353">
        <f>SelectedInputs!AM92</f>
        <v>2</v>
      </c>
      <c r="AN402" s="515"/>
      <c r="AO402" s="287">
        <f>SelectedInputs!AO92</f>
        <v>0</v>
      </c>
      <c r="AP402" s="287">
        <f>SelectedInputs!AP92</f>
        <v>0</v>
      </c>
      <c r="AQ402" s="287">
        <f>SelectedInputs!AQ92</f>
        <v>0</v>
      </c>
      <c r="AR402" s="287">
        <f>SelectedInputs!AR92</f>
        <v>0</v>
      </c>
      <c r="AS402" s="287">
        <f>SelectedInputs!AS92</f>
        <v>0</v>
      </c>
      <c r="AT402" s="287">
        <f>SelectedInputs!AT92</f>
        <v>0</v>
      </c>
      <c r="AU402" s="287">
        <f>SelectedInputs!AU92</f>
        <v>1</v>
      </c>
      <c r="AV402" s="521"/>
    </row>
    <row r="403" spans="1:48" ht="15.75">
      <c r="A403" s="82"/>
      <c r="B403" s="82"/>
      <c r="C403" s="82"/>
      <c r="D403" s="82"/>
      <c r="E403" s="82" t="str">
        <f t="shared" si="17"/>
        <v>Off-gas Grid Mechanistic Price Control Deliverable</v>
      </c>
      <c r="F403" s="268"/>
      <c r="G403" s="82" t="s">
        <v>209</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SelectedInputs!AJ93</f>
        <v>PCD</v>
      </c>
      <c r="AK403" s="353"/>
      <c r="AL403" s="353" t="str">
        <f>SelectedInputs!AL93</f>
        <v>RPEs Apply</v>
      </c>
      <c r="AM403" s="353">
        <f>SelectedInputs!AM93</f>
        <v>1</v>
      </c>
      <c r="AN403" s="515"/>
      <c r="AO403" s="287">
        <f>SelectedInputs!AO93</f>
        <v>1</v>
      </c>
      <c r="AP403" s="287">
        <f>SelectedInputs!AP93</f>
        <v>0</v>
      </c>
      <c r="AQ403" s="287">
        <f>SelectedInputs!AQ93</f>
        <v>0</v>
      </c>
      <c r="AR403" s="287">
        <f>SelectedInputs!AR93</f>
        <v>0</v>
      </c>
      <c r="AS403" s="287">
        <f>SelectedInputs!AS93</f>
        <v>0</v>
      </c>
      <c r="AT403" s="287">
        <f>SelectedInputs!AT93</f>
        <v>0</v>
      </c>
      <c r="AU403" s="287">
        <f>SelectedInputs!AU93</f>
        <v>0</v>
      </c>
      <c r="AV403" s="521"/>
    </row>
    <row r="404" spans="1:48" ht="15.75">
      <c r="A404" s="82"/>
      <c r="B404" s="82"/>
      <c r="C404" s="82"/>
      <c r="D404" s="82"/>
      <c r="E404" s="82" t="str">
        <f t="shared" si="17"/>
        <v>Shetland Link Contribution (SSEH only)</v>
      </c>
      <c r="F404" s="268"/>
      <c r="G404" s="82" t="s">
        <v>209</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SelectedInputs!AJ94</f>
        <v>Other</v>
      </c>
      <c r="AK404" s="353"/>
      <c r="AL404" s="353" t="str">
        <f>SelectedInputs!AL94</f>
        <v>RPEs Don't Apply</v>
      </c>
      <c r="AM404" s="353">
        <f>SelectedInputs!AM94</f>
        <v>2</v>
      </c>
      <c r="AN404" s="515"/>
      <c r="AO404" s="287">
        <f>SelectedInputs!AO94</f>
        <v>0</v>
      </c>
      <c r="AP404" s="287">
        <f>SelectedInputs!AP94</f>
        <v>0</v>
      </c>
      <c r="AQ404" s="287">
        <f>SelectedInputs!AQ94</f>
        <v>0.9</v>
      </c>
      <c r="AR404" s="287">
        <f>SelectedInputs!AR94</f>
        <v>0</v>
      </c>
      <c r="AS404" s="287">
        <f>SelectedInputs!AS94</f>
        <v>0</v>
      </c>
      <c r="AT404" s="287">
        <f>SelectedInputs!AT94</f>
        <v>0</v>
      </c>
      <c r="AU404" s="287">
        <f>SelectedInputs!AU94</f>
        <v>0.1</v>
      </c>
      <c r="AV404" s="521"/>
    </row>
    <row r="405" spans="1:48" ht="15.75">
      <c r="A405" s="82"/>
      <c r="B405" s="82"/>
      <c r="C405" s="82"/>
      <c r="D405" s="82"/>
      <c r="E405" s="82" t="str">
        <f t="shared" si="17"/>
        <v>West Coast of Cumbria Re-opener (ENWL only)</v>
      </c>
      <c r="F405" s="268"/>
      <c r="G405" s="82" t="s">
        <v>209</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SelectedInputs!AJ95</f>
        <v>Re-opener</v>
      </c>
      <c r="AK405" s="353"/>
      <c r="AL405" s="353" t="str">
        <f>SelectedInputs!AL95</f>
        <v>RPEs Don't Apply</v>
      </c>
      <c r="AM405" s="353">
        <f>SelectedInputs!AM95</f>
        <v>2</v>
      </c>
      <c r="AN405" s="515"/>
      <c r="AO405" s="287">
        <f>SelectedInputs!AO95</f>
        <v>0</v>
      </c>
      <c r="AP405" s="287">
        <f>SelectedInputs!AP95</f>
        <v>0</v>
      </c>
      <c r="AQ405" s="287">
        <f>SelectedInputs!AQ95</f>
        <v>1</v>
      </c>
      <c r="AR405" s="287">
        <f>SelectedInputs!AR95</f>
        <v>0</v>
      </c>
      <c r="AS405" s="287">
        <f>SelectedInputs!AS95</f>
        <v>0</v>
      </c>
      <c r="AT405" s="287">
        <f>SelectedInputs!AT95</f>
        <v>0</v>
      </c>
      <c r="AU405" s="287">
        <f>SelectedInputs!AU95</f>
        <v>0</v>
      </c>
      <c r="AV405" s="521"/>
    </row>
    <row r="406" spans="1:48" ht="15.75">
      <c r="A406" s="82"/>
      <c r="B406" s="82"/>
      <c r="C406" s="82"/>
      <c r="D406" s="82"/>
      <c r="E406" s="82" t="str">
        <f t="shared" si="17"/>
        <v>Shetland Enduring Solution Re-opener (SSEH only)</v>
      </c>
      <c r="F406" s="268"/>
      <c r="G406" s="82" t="s">
        <v>209</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SelectedInputs!AJ96</f>
        <v>Re-opener</v>
      </c>
      <c r="AK406" s="353"/>
      <c r="AL406" s="353" t="str">
        <f>SelectedInputs!AL96</f>
        <v>RPEs Don't Apply</v>
      </c>
      <c r="AM406" s="353">
        <f>SelectedInputs!AM96</f>
        <v>2</v>
      </c>
      <c r="AN406" s="515"/>
      <c r="AO406" s="287">
        <f>SelectedInputs!AO96</f>
        <v>0</v>
      </c>
      <c r="AP406" s="287">
        <f>SelectedInputs!AP96</f>
        <v>0</v>
      </c>
      <c r="AQ406" s="287">
        <f>SelectedInputs!AQ96</f>
        <v>0</v>
      </c>
      <c r="AR406" s="287">
        <f>SelectedInputs!AR96</f>
        <v>0</v>
      </c>
      <c r="AS406" s="287">
        <f>SelectedInputs!AS96</f>
        <v>0</v>
      </c>
      <c r="AT406" s="287">
        <f>SelectedInputs!AT96</f>
        <v>0</v>
      </c>
      <c r="AU406" s="287">
        <f>SelectedInputs!AU96</f>
        <v>1</v>
      </c>
      <c r="AV406" s="521"/>
    </row>
    <row r="407" spans="1:48" ht="15.75">
      <c r="A407" s="82"/>
      <c r="B407" s="82"/>
      <c r="C407" s="82"/>
      <c r="D407" s="82"/>
      <c r="E407" s="82" t="str">
        <f t="shared" si="17"/>
        <v>Shetland Extension Fixed Energy Costs Re-opener (SSEH only)</v>
      </c>
      <c r="F407" s="268"/>
      <c r="G407" s="82" t="s">
        <v>209</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SelectedInputs!AJ97</f>
        <v>Re-opener</v>
      </c>
      <c r="AK407" s="353"/>
      <c r="AL407" s="353" t="str">
        <f>SelectedInputs!AL97</f>
        <v>RPEs Don't Apply</v>
      </c>
      <c r="AM407" s="353">
        <f>SelectedInputs!AM97</f>
        <v>2</v>
      </c>
      <c r="AN407" s="515"/>
      <c r="AO407" s="287">
        <f>SelectedInputs!AO97</f>
        <v>0</v>
      </c>
      <c r="AP407" s="287">
        <f>SelectedInputs!AP97</f>
        <v>1</v>
      </c>
      <c r="AQ407" s="287">
        <f>SelectedInputs!AQ97</f>
        <v>0</v>
      </c>
      <c r="AR407" s="287">
        <f>SelectedInputs!AR97</f>
        <v>0</v>
      </c>
      <c r="AS407" s="287">
        <f>SelectedInputs!AS97</f>
        <v>0</v>
      </c>
      <c r="AT407" s="287">
        <f>SelectedInputs!AT97</f>
        <v>0</v>
      </c>
      <c r="AU407" s="287">
        <f>SelectedInputs!AU97</f>
        <v>0</v>
      </c>
      <c r="AV407" s="521"/>
    </row>
    <row r="408" spans="1:48" ht="15.75">
      <c r="A408" s="82"/>
      <c r="B408" s="82"/>
      <c r="C408" s="82"/>
      <c r="D408" s="82"/>
      <c r="E408" s="82" t="str">
        <f t="shared" si="17"/>
        <v>Hebrides and Orkney Re-opener (SSEH only)</v>
      </c>
      <c r="F408" s="268"/>
      <c r="G408" s="82" t="s">
        <v>209</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SelectedInputs!AJ98</f>
        <v>Re-opener</v>
      </c>
      <c r="AK408" s="353"/>
      <c r="AL408" s="353" t="str">
        <f>SelectedInputs!AL98</f>
        <v>RPEs Don't Apply</v>
      </c>
      <c r="AM408" s="353">
        <f>SelectedInputs!AM98</f>
        <v>2</v>
      </c>
      <c r="AN408" s="515"/>
      <c r="AO408" s="287">
        <f>SelectedInputs!AO98</f>
        <v>0</v>
      </c>
      <c r="AP408" s="287">
        <f>SelectedInputs!AP98</f>
        <v>1</v>
      </c>
      <c r="AQ408" s="287">
        <f>SelectedInputs!AQ98</f>
        <v>0</v>
      </c>
      <c r="AR408" s="287">
        <f>SelectedInputs!AR98</f>
        <v>0</v>
      </c>
      <c r="AS408" s="287">
        <f>SelectedInputs!AS98</f>
        <v>0</v>
      </c>
      <c r="AT408" s="287">
        <f>SelectedInputs!AT98</f>
        <v>0</v>
      </c>
      <c r="AU408" s="287">
        <f>SelectedInputs!AU98</f>
        <v>0</v>
      </c>
      <c r="AV408" s="521"/>
    </row>
    <row r="409" spans="1:48" ht="15.75">
      <c r="A409" s="82"/>
      <c r="B409" s="82"/>
      <c r="C409" s="82"/>
      <c r="D409" s="82"/>
      <c r="E409" s="82" t="str">
        <f t="shared" si="17"/>
        <v>Smart Street Mechanistic Price Control Deliverable (ENWL only)</v>
      </c>
      <c r="F409" s="268"/>
      <c r="G409" s="82" t="s">
        <v>209</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SelectedInputs!AJ99</f>
        <v>PCD</v>
      </c>
      <c r="AK409" s="353"/>
      <c r="AL409" s="353" t="str">
        <f>SelectedInputs!AL99</f>
        <v>RPEs Apply</v>
      </c>
      <c r="AM409" s="353">
        <f>SelectedInputs!AM99</f>
        <v>1</v>
      </c>
      <c r="AN409" s="515"/>
      <c r="AO409" s="287">
        <f>SelectedInputs!AO99</f>
        <v>1</v>
      </c>
      <c r="AP409" s="287">
        <f>SelectedInputs!AP99</f>
        <v>0</v>
      </c>
      <c r="AQ409" s="287">
        <f>SelectedInputs!AQ99</f>
        <v>0</v>
      </c>
      <c r="AR409" s="287">
        <f>SelectedInputs!AR99</f>
        <v>0</v>
      </c>
      <c r="AS409" s="287">
        <f>SelectedInputs!AS99</f>
        <v>0</v>
      </c>
      <c r="AT409" s="287">
        <f>SelectedInputs!AT99</f>
        <v>0</v>
      </c>
      <c r="AU409" s="287">
        <f>SelectedInputs!AU99</f>
        <v>0</v>
      </c>
      <c r="AV409" s="521"/>
    </row>
    <row r="410" spans="1:48" ht="15.75">
      <c r="A410" s="82"/>
      <c r="B410" s="82"/>
      <c r="C410" s="82"/>
      <c r="D410" s="82"/>
      <c r="E410" s="82" t="str">
        <f t="shared" si="17"/>
        <v>Worst Served Customers</v>
      </c>
      <c r="F410" s="268"/>
      <c r="G410" s="82" t="s">
        <v>209</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SelectedInputs!AJ100</f>
        <v>UIOLI</v>
      </c>
      <c r="AK410" s="353"/>
      <c r="AL410" s="353" t="str">
        <f>SelectedInputs!AL100</f>
        <v>RPEs Don't Apply</v>
      </c>
      <c r="AM410" s="353">
        <f>SelectedInputs!AM100</f>
        <v>1</v>
      </c>
      <c r="AN410" s="515"/>
      <c r="AO410" s="287">
        <f>SelectedInputs!AO100</f>
        <v>0</v>
      </c>
      <c r="AP410" s="287">
        <f>SelectedInputs!AP100</f>
        <v>0</v>
      </c>
      <c r="AQ410" s="287">
        <f>SelectedInputs!AQ100</f>
        <v>1</v>
      </c>
      <c r="AR410" s="287">
        <f>SelectedInputs!AR100</f>
        <v>0</v>
      </c>
      <c r="AS410" s="287">
        <f>SelectedInputs!AS100</f>
        <v>0</v>
      </c>
      <c r="AT410" s="287">
        <f>SelectedInputs!AT100</f>
        <v>0</v>
      </c>
      <c r="AU410" s="287">
        <f>SelectedInputs!AU100</f>
        <v>0</v>
      </c>
      <c r="AV410" s="521"/>
    </row>
    <row r="411" spans="1:48" ht="15.75">
      <c r="A411" s="82"/>
      <c r="B411" s="82"/>
      <c r="C411" s="82"/>
      <c r="D411" s="82"/>
      <c r="E411" s="82" t="str">
        <f t="shared" si="17"/>
        <v>EV Optioneering Projects</v>
      </c>
      <c r="F411" s="268"/>
      <c r="G411" s="82" t="s">
        <v>209</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SelectedInputs!AJ101</f>
        <v>UIOLI</v>
      </c>
      <c r="AK411" s="353"/>
      <c r="AL411" s="353" t="str">
        <f>SelectedInputs!AL101</f>
        <v>RPEs Don't Apply</v>
      </c>
      <c r="AM411" s="353">
        <f>SelectedInputs!AM101</f>
        <v>1</v>
      </c>
      <c r="AN411" s="515"/>
      <c r="AO411" s="287">
        <f>SelectedInputs!AO101</f>
        <v>0</v>
      </c>
      <c r="AP411" s="287">
        <f>SelectedInputs!AP101</f>
        <v>0</v>
      </c>
      <c r="AQ411" s="287">
        <f>SelectedInputs!AQ101</f>
        <v>0</v>
      </c>
      <c r="AR411" s="287">
        <f>SelectedInputs!AR101</f>
        <v>0</v>
      </c>
      <c r="AS411" s="287">
        <f>SelectedInputs!AS101</f>
        <v>0</v>
      </c>
      <c r="AT411" s="287">
        <f>SelectedInputs!AT101</f>
        <v>0</v>
      </c>
      <c r="AU411" s="287">
        <f>SelectedInputs!AU101</f>
        <v>1</v>
      </c>
      <c r="AV411" s="521"/>
    </row>
    <row r="412" spans="1:48" ht="15.75">
      <c r="A412" s="82"/>
      <c r="B412" s="82"/>
      <c r="C412" s="82"/>
      <c r="D412" s="82"/>
      <c r="E412" s="82" t="str">
        <f t="shared" si="17"/>
        <v>Cyber Resilience IT baseline</v>
      </c>
      <c r="F412" s="268"/>
      <c r="G412" s="82" t="s">
        <v>209</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SelectedInputs!AJ102</f>
        <v>PCD</v>
      </c>
      <c r="AK412" s="353"/>
      <c r="AL412" s="353" t="str">
        <f>SelectedInputs!AL102</f>
        <v>RPEs Apply</v>
      </c>
      <c r="AM412" s="353">
        <f>SelectedInputs!AM102</f>
        <v>1</v>
      </c>
      <c r="AN412" s="515"/>
      <c r="AO412" s="287">
        <f>SelectedInputs!AO102</f>
        <v>0</v>
      </c>
      <c r="AP412" s="287">
        <f>SelectedInputs!AP102</f>
        <v>0</v>
      </c>
      <c r="AQ412" s="287">
        <f>SelectedInputs!AQ102</f>
        <v>0</v>
      </c>
      <c r="AR412" s="287">
        <f>SelectedInputs!AR102</f>
        <v>0</v>
      </c>
      <c r="AS412" s="287">
        <f>SelectedInputs!AS102</f>
        <v>0</v>
      </c>
      <c r="AT412" s="287">
        <f>SelectedInputs!AT102</f>
        <v>0</v>
      </c>
      <c r="AU412" s="287">
        <f>SelectedInputs!AU102</f>
        <v>1</v>
      </c>
      <c r="AV412" s="521"/>
    </row>
    <row r="413" spans="1:48" ht="15.75">
      <c r="A413" s="82"/>
      <c r="B413" s="82"/>
      <c r="C413" s="82"/>
      <c r="D413" s="82"/>
      <c r="E413" s="82" t="str">
        <f t="shared" si="17"/>
        <v>Wayleaves and Diversions Re-opener</v>
      </c>
      <c r="F413" s="268"/>
      <c r="G413" s="82" t="s">
        <v>209</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SelectedInputs!AJ103</f>
        <v>Re-opener</v>
      </c>
      <c r="AK413" s="353"/>
      <c r="AL413" s="353" t="str">
        <f>SelectedInputs!AL103</f>
        <v>RPEs Don't Apply</v>
      </c>
      <c r="AM413" s="353">
        <f>SelectedInputs!AM103</f>
        <v>2</v>
      </c>
      <c r="AN413" s="515"/>
      <c r="AO413" s="287">
        <f>SelectedInputs!AO103</f>
        <v>0</v>
      </c>
      <c r="AP413" s="287">
        <f>SelectedInputs!AP103</f>
        <v>1</v>
      </c>
      <c r="AQ413" s="287">
        <f>SelectedInputs!AQ103</f>
        <v>0</v>
      </c>
      <c r="AR413" s="287">
        <f>SelectedInputs!AR103</f>
        <v>0</v>
      </c>
      <c r="AS413" s="287">
        <f>SelectedInputs!AS103</f>
        <v>0</v>
      </c>
      <c r="AT413" s="287">
        <f>SelectedInputs!AT103</f>
        <v>0</v>
      </c>
      <c r="AU413" s="287">
        <f>SelectedInputs!AU103</f>
        <v>0</v>
      </c>
      <c r="AV413" s="521"/>
    </row>
    <row r="414" spans="1:48" ht="15.75">
      <c r="A414" s="82"/>
      <c r="B414" s="82"/>
      <c r="C414" s="82"/>
      <c r="D414" s="82"/>
      <c r="E414" s="82" t="str">
        <f t="shared" si="17"/>
        <v>Indirects Scaler</v>
      </c>
      <c r="F414" s="268"/>
      <c r="G414" s="82" t="s">
        <v>209</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SelectedInputs!AJ104</f>
        <v>Other</v>
      </c>
      <c r="AK414" s="353"/>
      <c r="AL414" s="353" t="str">
        <f>SelectedInputs!AL104</f>
        <v>RPEs Don't Apply</v>
      </c>
      <c r="AM414" s="353">
        <f>SelectedInputs!AM104</f>
        <v>2</v>
      </c>
      <c r="AN414" s="515"/>
      <c r="AO414" s="287">
        <f>SelectedInputs!AO104</f>
        <v>0</v>
      </c>
      <c r="AP414" s="287">
        <f>SelectedInputs!AP104</f>
        <v>0</v>
      </c>
      <c r="AQ414" s="287">
        <f>SelectedInputs!AQ104</f>
        <v>0</v>
      </c>
      <c r="AR414" s="287">
        <f>SelectedInputs!AR104</f>
        <v>0</v>
      </c>
      <c r="AS414" s="287">
        <f>SelectedInputs!AS104</f>
        <v>0</v>
      </c>
      <c r="AT414" s="287">
        <f>SelectedInputs!AT104</f>
        <v>0</v>
      </c>
      <c r="AU414" s="287">
        <f>SelectedInputs!AU104</f>
        <v>1</v>
      </c>
      <c r="AV414" s="521"/>
    </row>
    <row r="415" spans="1:48" ht="15.75">
      <c r="A415" s="82"/>
      <c r="B415" s="82"/>
      <c r="C415" s="82"/>
      <c r="D415" s="82"/>
      <c r="E415" s="82" t="str">
        <f t="shared" si="17"/>
        <v>LineSIGHT Mechanistic Price Control Deliverable (ENWL only)</v>
      </c>
      <c r="F415" s="268"/>
      <c r="G415" s="82" t="s">
        <v>209</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SelectedInputs!AJ105</f>
        <v>PCD</v>
      </c>
      <c r="AK415" s="353"/>
      <c r="AL415" s="353" t="str">
        <f>SelectedInputs!AL105</f>
        <v>RPEs Apply</v>
      </c>
      <c r="AM415" s="353">
        <f>SelectedInputs!AM105</f>
        <v>1</v>
      </c>
      <c r="AN415" s="515"/>
      <c r="AO415" s="287">
        <f>SelectedInputs!AO105</f>
        <v>0</v>
      </c>
      <c r="AP415" s="287">
        <f>SelectedInputs!AP105</f>
        <v>1</v>
      </c>
      <c r="AQ415" s="287">
        <f>SelectedInputs!AQ105</f>
        <v>0</v>
      </c>
      <c r="AR415" s="287">
        <f>SelectedInputs!AR105</f>
        <v>0</v>
      </c>
      <c r="AS415" s="287">
        <f>SelectedInputs!AS105</f>
        <v>0</v>
      </c>
      <c r="AT415" s="287">
        <f>SelectedInputs!AT105</f>
        <v>0</v>
      </c>
      <c r="AU415" s="287">
        <f>SelectedInputs!AU105</f>
        <v>0</v>
      </c>
      <c r="AV415" s="521"/>
    </row>
    <row r="416" spans="1:48" ht="15.75">
      <c r="A416" s="82"/>
      <c r="B416" s="82"/>
      <c r="C416" s="82"/>
      <c r="D416" s="82"/>
      <c r="E416" s="82" t="str">
        <f t="shared" si="17"/>
        <v>New Depot (EMID, SWALES, SWEST and WMID only)</v>
      </c>
      <c r="F416" s="268"/>
      <c r="G416" s="82" t="s">
        <v>209</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SelectedInputs!AJ106</f>
        <v>PCD</v>
      </c>
      <c r="AK416" s="353"/>
      <c r="AL416" s="353" t="str">
        <f>SelectedInputs!AL106</f>
        <v>RPEs Apply</v>
      </c>
      <c r="AM416" s="353">
        <f>SelectedInputs!AM106</f>
        <v>1</v>
      </c>
      <c r="AN416" s="515"/>
      <c r="AO416" s="287">
        <f>SelectedInputs!AO106</f>
        <v>0</v>
      </c>
      <c r="AP416" s="287">
        <f>SelectedInputs!AP106</f>
        <v>0</v>
      </c>
      <c r="AQ416" s="287">
        <f>SelectedInputs!AQ106</f>
        <v>1</v>
      </c>
      <c r="AR416" s="287">
        <f>SelectedInputs!AR106</f>
        <v>0</v>
      </c>
      <c r="AS416" s="287">
        <f>SelectedInputs!AS106</f>
        <v>0</v>
      </c>
      <c r="AT416" s="287">
        <f>SelectedInputs!AT106</f>
        <v>0</v>
      </c>
      <c r="AU416" s="287">
        <f>SelectedInputs!AU106</f>
        <v>0</v>
      </c>
      <c r="AV416" s="521"/>
    </row>
    <row r="417" spans="1:48" ht="15.75">
      <c r="A417" s="82"/>
      <c r="B417" s="82"/>
      <c r="C417" s="82"/>
      <c r="D417" s="82"/>
      <c r="E417" s="82" t="str">
        <f t="shared" si="17"/>
        <v>New Control Room (SSES and SSEH only)</v>
      </c>
      <c r="F417" s="268"/>
      <c r="G417" s="82" t="s">
        <v>209</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SelectedInputs!AJ107</f>
        <v>PCD</v>
      </c>
      <c r="AK417" s="353"/>
      <c r="AL417" s="353" t="str">
        <f>SelectedInputs!AL107</f>
        <v>RPEs Apply</v>
      </c>
      <c r="AM417" s="353">
        <f>SelectedInputs!AM107</f>
        <v>1</v>
      </c>
      <c r="AN417" s="515"/>
      <c r="AO417" s="287">
        <f>SelectedInputs!AO107</f>
        <v>0</v>
      </c>
      <c r="AP417" s="287">
        <f>SelectedInputs!AP107</f>
        <v>1</v>
      </c>
      <c r="AQ417" s="287">
        <f>SelectedInputs!AQ107</f>
        <v>0</v>
      </c>
      <c r="AR417" s="287">
        <f>SelectedInputs!AR107</f>
        <v>0</v>
      </c>
      <c r="AS417" s="287">
        <f>SelectedInputs!AS107</f>
        <v>0</v>
      </c>
      <c r="AT417" s="287">
        <f>SelectedInputs!AT107</f>
        <v>0</v>
      </c>
      <c r="AU417" s="287">
        <f>SelectedInputs!AU107</f>
        <v>0</v>
      </c>
      <c r="AV417" s="521"/>
    </row>
    <row r="418" spans="1:48" ht="15.75">
      <c r="A418" s="82"/>
      <c r="B418" s="82"/>
      <c r="C418" s="82"/>
      <c r="D418" s="82"/>
      <c r="E418" s="82" t="str">
        <f t="shared" si="17"/>
        <v>Storm Arwen Re-opener</v>
      </c>
      <c r="F418" s="268"/>
      <c r="G418" s="82" t="s">
        <v>209</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SelectedInputs!AJ108</f>
        <v>Re-opener</v>
      </c>
      <c r="AK418" s="353"/>
      <c r="AL418" s="353" t="str">
        <f>SelectedInputs!AL108</f>
        <v>RPEs Don't Apply</v>
      </c>
      <c r="AM418" s="353">
        <f>SelectedInputs!AM108</f>
        <v>2</v>
      </c>
      <c r="AN418" s="515"/>
      <c r="AO418" s="287">
        <f>SelectedInputs!AO108</f>
        <v>0</v>
      </c>
      <c r="AP418" s="287">
        <f>SelectedInputs!AP108</f>
        <v>0</v>
      </c>
      <c r="AQ418" s="287">
        <f>SelectedInputs!AQ108</f>
        <v>0</v>
      </c>
      <c r="AR418" s="287">
        <f>SelectedInputs!AR108</f>
        <v>1</v>
      </c>
      <c r="AS418" s="287">
        <f>SelectedInputs!AS108</f>
        <v>0</v>
      </c>
      <c r="AT418" s="287">
        <f>SelectedInputs!AT108</f>
        <v>0</v>
      </c>
      <c r="AU418" s="287">
        <f>SelectedInputs!AU108</f>
        <v>0</v>
      </c>
      <c r="AV418" s="521"/>
    </row>
    <row r="419" spans="1:48" ht="15.75">
      <c r="A419" s="82"/>
      <c r="B419" s="82"/>
      <c r="C419" s="82"/>
      <c r="D419" s="82"/>
      <c r="E419" s="82" t="str">
        <f t="shared" si="17"/>
        <v>High Value Projects Re-opener</v>
      </c>
      <c r="F419" s="268"/>
      <c r="G419" s="82" t="s">
        <v>209</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SelectedInputs!AJ109</f>
        <v>Re-opener</v>
      </c>
      <c r="AK419" s="353"/>
      <c r="AL419" s="353" t="str">
        <f>SelectedInputs!AL109</f>
        <v>RPEs Don't Apply</v>
      </c>
      <c r="AM419" s="353">
        <f>SelectedInputs!AM109</f>
        <v>2</v>
      </c>
      <c r="AN419" s="515"/>
      <c r="AO419" s="287">
        <f>SelectedInputs!AO109</f>
        <v>0</v>
      </c>
      <c r="AP419" s="287">
        <f>SelectedInputs!AP109</f>
        <v>1</v>
      </c>
      <c r="AQ419" s="287">
        <f>SelectedInputs!AQ109</f>
        <v>0</v>
      </c>
      <c r="AR419" s="287">
        <f>SelectedInputs!AR109</f>
        <v>0</v>
      </c>
      <c r="AS419" s="287">
        <f>SelectedInputs!AS109</f>
        <v>0</v>
      </c>
      <c r="AT419" s="287">
        <f>SelectedInputs!AT109</f>
        <v>0</v>
      </c>
      <c r="AU419" s="287">
        <f>SelectedInputs!AU109</f>
        <v>0</v>
      </c>
      <c r="AV419" s="521"/>
    </row>
    <row r="420" spans="1:48" ht="15.75">
      <c r="A420" s="82"/>
      <c r="B420" s="82"/>
      <c r="C420" s="82"/>
      <c r="D420" s="82"/>
      <c r="E420" s="82" t="str">
        <f t="shared" si="17"/>
        <v>Strategic Investment</v>
      </c>
      <c r="F420" s="268"/>
      <c r="G420" s="82" t="s">
        <v>209</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SelectedInputs!AJ110</f>
        <v>Other</v>
      </c>
      <c r="AK420" s="353"/>
      <c r="AL420" s="353" t="str">
        <f>SelectedInputs!AL110</f>
        <v>RPEs Don't Apply</v>
      </c>
      <c r="AM420" s="353">
        <f>SelectedInputs!AM110</f>
        <v>2</v>
      </c>
      <c r="AN420" s="515"/>
      <c r="AO420" s="287">
        <f>SelectedInputs!AO110</f>
        <v>1</v>
      </c>
      <c r="AP420" s="287">
        <f>SelectedInputs!AP110</f>
        <v>0</v>
      </c>
      <c r="AQ420" s="287">
        <f>SelectedInputs!AQ110</f>
        <v>0</v>
      </c>
      <c r="AR420" s="287">
        <f>SelectedInputs!AR110</f>
        <v>0</v>
      </c>
      <c r="AS420" s="287">
        <f>SelectedInputs!AS110</f>
        <v>0</v>
      </c>
      <c r="AT420" s="287">
        <f>SelectedInputs!AT110</f>
        <v>0</v>
      </c>
      <c r="AU420" s="287">
        <f>SelectedInputs!AU110</f>
        <v>0</v>
      </c>
      <c r="AV420" s="521"/>
    </row>
    <row r="421" spans="1:48" ht="15.75">
      <c r="A421" s="82"/>
      <c r="B421" s="82"/>
      <c r="C421" s="82"/>
      <c r="D421" s="82"/>
      <c r="E421" s="82" t="str">
        <f t="shared" si="17"/>
        <v>Carry-over Green Recovery Scheme</v>
      </c>
      <c r="F421" s="268"/>
      <c r="G421" s="82" t="s">
        <v>209</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SelectedInputs!AJ111</f>
        <v>Other</v>
      </c>
      <c r="AK421" s="353"/>
      <c r="AL421" s="353" t="str">
        <f>SelectedInputs!AL111</f>
        <v>RPEs Don't Apply</v>
      </c>
      <c r="AM421" s="353">
        <f>SelectedInputs!AM111</f>
        <v>2</v>
      </c>
      <c r="AN421" s="515"/>
      <c r="AO421" s="287">
        <f>SelectedInputs!AO111</f>
        <v>1</v>
      </c>
      <c r="AP421" s="287">
        <f>SelectedInputs!AP111</f>
        <v>0</v>
      </c>
      <c r="AQ421" s="287">
        <f>SelectedInputs!AQ111</f>
        <v>0</v>
      </c>
      <c r="AR421" s="287">
        <f>SelectedInputs!AR111</f>
        <v>0</v>
      </c>
      <c r="AS421" s="287">
        <f>SelectedInputs!AS111</f>
        <v>0</v>
      </c>
      <c r="AT421" s="287">
        <f>SelectedInputs!AT111</f>
        <v>0</v>
      </c>
      <c r="AU421" s="287">
        <f>SelectedInputs!AU111</f>
        <v>0</v>
      </c>
      <c r="AV421" s="521"/>
    </row>
    <row r="422" spans="1:48" ht="15.75">
      <c r="A422" s="82"/>
      <c r="B422" s="82"/>
      <c r="C422" s="82"/>
      <c r="D422" s="82"/>
      <c r="E422" s="82" t="str">
        <f t="shared" si="17"/>
        <v>1-in-20 Severe Weather Event</v>
      </c>
      <c r="F422" s="268"/>
      <c r="G422" s="82" t="s">
        <v>209</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SelectedInputs!AJ112</f>
        <v>Other</v>
      </c>
      <c r="AK422" s="353"/>
      <c r="AL422" s="353" t="str">
        <f>SelectedInputs!AL112</f>
        <v>RPEs Don't Apply</v>
      </c>
      <c r="AM422" s="353">
        <f>SelectedInputs!AM112</f>
        <v>2</v>
      </c>
      <c r="AN422" s="515"/>
      <c r="AO422" s="287">
        <f>SelectedInputs!AO112</f>
        <v>0</v>
      </c>
      <c r="AP422" s="287">
        <f>SelectedInputs!AP112</f>
        <v>0</v>
      </c>
      <c r="AQ422" s="287">
        <f>SelectedInputs!AQ112</f>
        <v>0</v>
      </c>
      <c r="AR422" s="287">
        <f>SelectedInputs!AR112</f>
        <v>1</v>
      </c>
      <c r="AS422" s="287">
        <f>SelectedInputs!AS112</f>
        <v>0</v>
      </c>
      <c r="AT422" s="287">
        <f>SelectedInputs!AT112</f>
        <v>0</v>
      </c>
      <c r="AU422" s="287">
        <f>SelectedInputs!AU112</f>
        <v>0</v>
      </c>
      <c r="AV422" s="521"/>
    </row>
    <row r="423" spans="1:48" ht="15.75">
      <c r="A423" s="82"/>
      <c r="B423" s="82"/>
      <c r="C423" s="82"/>
      <c r="D423" s="82"/>
      <c r="E423" s="82" t="str">
        <f t="shared" si="17"/>
        <v>Net to Gross Load Related Expenditure</v>
      </c>
      <c r="F423" s="268"/>
      <c r="G423" s="82" t="s">
        <v>209</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SelectedInputs!AJ113</f>
        <v>Other</v>
      </c>
      <c r="AK423" s="353"/>
      <c r="AL423" s="353" t="str">
        <f>SelectedInputs!AL113</f>
        <v>RPEs Don't Apply</v>
      </c>
      <c r="AM423" s="353">
        <f>SelectedInputs!AM113</f>
        <v>2</v>
      </c>
      <c r="AN423" s="515"/>
      <c r="AO423" s="287">
        <f>SelectedInputs!AO113</f>
        <v>1</v>
      </c>
      <c r="AP423" s="287">
        <f>SelectedInputs!AP113</f>
        <v>0</v>
      </c>
      <c r="AQ423" s="287">
        <f>SelectedInputs!AQ113</f>
        <v>0</v>
      </c>
      <c r="AR423" s="287">
        <f>SelectedInputs!AR113</f>
        <v>0</v>
      </c>
      <c r="AS423" s="287">
        <f>SelectedInputs!AS113</f>
        <v>0</v>
      </c>
      <c r="AT423" s="287">
        <f>SelectedInputs!AT113</f>
        <v>0</v>
      </c>
      <c r="AU423" s="287">
        <f>SelectedInputs!AU113</f>
        <v>0</v>
      </c>
      <c r="AV423" s="521"/>
    </row>
    <row r="424" spans="1:48" ht="15.75">
      <c r="A424" s="82"/>
      <c r="B424" s="82"/>
      <c r="C424" s="82"/>
      <c r="D424" s="82"/>
      <c r="E424" s="82">
        <f t="shared" si="17"/>
        <v>0</v>
      </c>
      <c r="F424" s="268"/>
      <c r="G424" s="82" t="s">
        <v>209</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f>SelectedInputs!AJ114</f>
        <v>0</v>
      </c>
      <c r="AK424" s="353"/>
      <c r="AL424" s="353">
        <f>SelectedInputs!AL114</f>
        <v>0</v>
      </c>
      <c r="AM424" s="353">
        <f>SelectedInputs!AM114</f>
        <v>0</v>
      </c>
      <c r="AN424" s="515"/>
      <c r="AO424" s="287">
        <f>SelectedInputs!AO114</f>
        <v>0</v>
      </c>
      <c r="AP424" s="287">
        <f>SelectedInputs!AP114</f>
        <v>0</v>
      </c>
      <c r="AQ424" s="287">
        <f>SelectedInputs!AQ114</f>
        <v>0</v>
      </c>
      <c r="AR424" s="287">
        <f>SelectedInputs!AR114</f>
        <v>0</v>
      </c>
      <c r="AS424" s="287">
        <f>SelectedInputs!AS114</f>
        <v>0</v>
      </c>
      <c r="AT424" s="287">
        <f>SelectedInputs!AT114</f>
        <v>0</v>
      </c>
      <c r="AU424" s="287">
        <f>SelectedInputs!AU114</f>
        <v>0</v>
      </c>
      <c r="AV424" s="521"/>
    </row>
    <row r="425" spans="1:48" ht="15.75">
      <c r="A425" s="82"/>
      <c r="B425" s="82"/>
      <c r="C425" s="82"/>
      <c r="D425" s="82"/>
      <c r="E425" s="82">
        <f t="shared" si="17"/>
        <v>0</v>
      </c>
      <c r="F425" s="268"/>
      <c r="G425" s="82" t="s">
        <v>209</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SelectedInputs!AJ115</f>
        <v>0</v>
      </c>
      <c r="AK425" s="353"/>
      <c r="AL425" s="353">
        <f>SelectedInputs!AL115</f>
        <v>0</v>
      </c>
      <c r="AM425" s="353">
        <f>SelectedInputs!AM115</f>
        <v>0</v>
      </c>
      <c r="AN425" s="515"/>
      <c r="AO425" s="287">
        <f>SelectedInputs!AO115</f>
        <v>0</v>
      </c>
      <c r="AP425" s="287">
        <f>SelectedInputs!AP115</f>
        <v>0</v>
      </c>
      <c r="AQ425" s="287">
        <f>SelectedInputs!AQ115</f>
        <v>0</v>
      </c>
      <c r="AR425" s="287">
        <f>SelectedInputs!AR115</f>
        <v>0</v>
      </c>
      <c r="AS425" s="287">
        <f>SelectedInputs!AS115</f>
        <v>0</v>
      </c>
      <c r="AT425" s="287">
        <f>SelectedInputs!AT115</f>
        <v>0</v>
      </c>
      <c r="AU425" s="287">
        <f>SelectedInputs!AU115</f>
        <v>0</v>
      </c>
      <c r="AV425" s="521"/>
    </row>
    <row r="426" spans="1:48" ht="15.75">
      <c r="A426" s="82"/>
      <c r="B426" s="82"/>
      <c r="C426" s="82"/>
      <c r="D426" s="82"/>
      <c r="E426" s="82">
        <f t="shared" si="17"/>
        <v>0</v>
      </c>
      <c r="F426" s="268"/>
      <c r="G426" s="82" t="s">
        <v>209</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SelectedInputs!AJ116</f>
        <v>0</v>
      </c>
      <c r="AK426" s="353"/>
      <c r="AL426" s="353">
        <f>SelectedInputs!AL116</f>
        <v>0</v>
      </c>
      <c r="AM426" s="353">
        <f>SelectedInputs!AM116</f>
        <v>0</v>
      </c>
      <c r="AN426" s="515"/>
      <c r="AO426" s="287">
        <f>SelectedInputs!AO116</f>
        <v>0</v>
      </c>
      <c r="AP426" s="287">
        <f>SelectedInputs!AP116</f>
        <v>0</v>
      </c>
      <c r="AQ426" s="287">
        <f>SelectedInputs!AQ116</f>
        <v>0</v>
      </c>
      <c r="AR426" s="287">
        <f>SelectedInputs!AR116</f>
        <v>0</v>
      </c>
      <c r="AS426" s="287">
        <f>SelectedInputs!AS116</f>
        <v>0</v>
      </c>
      <c r="AT426" s="287">
        <f>SelectedInputs!AT116</f>
        <v>0</v>
      </c>
      <c r="AU426" s="287">
        <f>SelectedInputs!AU116</f>
        <v>0</v>
      </c>
      <c r="AV426" s="521"/>
    </row>
    <row r="427" spans="1:48" ht="15.75">
      <c r="A427" s="82"/>
      <c r="B427" s="82"/>
      <c r="C427" s="82"/>
      <c r="D427" s="82"/>
      <c r="E427" s="82">
        <f t="shared" si="17"/>
        <v>0</v>
      </c>
      <c r="F427" s="268"/>
      <c r="G427" s="82" t="s">
        <v>209</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SelectedInputs!AJ117</f>
        <v>0</v>
      </c>
      <c r="AK427" s="353"/>
      <c r="AL427" s="353">
        <f>SelectedInputs!AL117</f>
        <v>0</v>
      </c>
      <c r="AM427" s="353">
        <f>SelectedInputs!AM117</f>
        <v>0</v>
      </c>
      <c r="AN427" s="515"/>
      <c r="AO427" s="287">
        <f>SelectedInputs!AO117</f>
        <v>0</v>
      </c>
      <c r="AP427" s="287">
        <f>SelectedInputs!AP117</f>
        <v>0</v>
      </c>
      <c r="AQ427" s="287">
        <f>SelectedInputs!AQ117</f>
        <v>0</v>
      </c>
      <c r="AR427" s="287">
        <f>SelectedInputs!AR117</f>
        <v>0</v>
      </c>
      <c r="AS427" s="287">
        <f>SelectedInputs!AS117</f>
        <v>0</v>
      </c>
      <c r="AT427" s="287">
        <f>SelectedInputs!AT117</f>
        <v>0</v>
      </c>
      <c r="AU427" s="287">
        <f>SelectedInputs!AU117</f>
        <v>0</v>
      </c>
      <c r="AV427" s="521"/>
    </row>
    <row r="428" spans="1:48" ht="15.75">
      <c r="A428" s="82"/>
      <c r="B428" s="82"/>
      <c r="C428" s="82"/>
      <c r="D428" s="82"/>
      <c r="E428" s="82">
        <f t="shared" si="17"/>
        <v>0</v>
      </c>
      <c r="F428" s="268"/>
      <c r="G428" s="82" t="s">
        <v>209</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SelectedInputs!AJ118</f>
        <v>0</v>
      </c>
      <c r="AK428" s="353"/>
      <c r="AL428" s="353">
        <f>SelectedInputs!AL118</f>
        <v>0</v>
      </c>
      <c r="AM428" s="353">
        <f>SelectedInputs!AM118</f>
        <v>0</v>
      </c>
      <c r="AN428" s="515"/>
      <c r="AO428" s="287">
        <f>SelectedInputs!AO118</f>
        <v>0</v>
      </c>
      <c r="AP428" s="287">
        <f>SelectedInputs!AP118</f>
        <v>0</v>
      </c>
      <c r="AQ428" s="287">
        <f>SelectedInputs!AQ118</f>
        <v>0</v>
      </c>
      <c r="AR428" s="287">
        <f>SelectedInputs!AR118</f>
        <v>0</v>
      </c>
      <c r="AS428" s="287">
        <f>SelectedInputs!AS118</f>
        <v>0</v>
      </c>
      <c r="AT428" s="287">
        <f>SelectedInputs!AT118</f>
        <v>0</v>
      </c>
      <c r="AU428" s="287">
        <f>SelectedInputs!AU118</f>
        <v>0</v>
      </c>
      <c r="AV428" s="521"/>
    </row>
    <row r="429" spans="1:48" ht="15.75">
      <c r="A429" s="82"/>
      <c r="B429" s="82"/>
      <c r="C429" s="82"/>
      <c r="D429" s="82"/>
      <c r="E429" s="82">
        <f t="shared" si="17"/>
        <v>0</v>
      </c>
      <c r="F429" s="268"/>
      <c r="G429" s="82" t="s">
        <v>209</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SelectedInputs!AJ119</f>
        <v>0</v>
      </c>
      <c r="AK429" s="353"/>
      <c r="AL429" s="353">
        <f>SelectedInputs!AL119</f>
        <v>0</v>
      </c>
      <c r="AM429" s="353">
        <f>SelectedInputs!AM119</f>
        <v>0</v>
      </c>
      <c r="AN429" s="515"/>
      <c r="AO429" s="287">
        <f>SelectedInputs!AO119</f>
        <v>0</v>
      </c>
      <c r="AP429" s="287">
        <f>SelectedInputs!AP119</f>
        <v>0</v>
      </c>
      <c r="AQ429" s="287">
        <f>SelectedInputs!AQ119</f>
        <v>0</v>
      </c>
      <c r="AR429" s="287">
        <f>SelectedInputs!AR119</f>
        <v>0</v>
      </c>
      <c r="AS429" s="287">
        <f>SelectedInputs!AS119</f>
        <v>0</v>
      </c>
      <c r="AT429" s="287">
        <f>SelectedInputs!AT119</f>
        <v>0</v>
      </c>
      <c r="AU429" s="287">
        <f>SelectedInputs!AU119</f>
        <v>0</v>
      </c>
      <c r="AV429" s="521"/>
    </row>
    <row r="430" spans="1:48" ht="15.75">
      <c r="A430" s="82"/>
      <c r="B430" s="82"/>
      <c r="C430" s="82"/>
      <c r="D430" s="82"/>
      <c r="E430" s="82">
        <f t="shared" si="17"/>
        <v>0</v>
      </c>
      <c r="F430" s="268"/>
      <c r="G430" s="82" t="s">
        <v>209</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SelectedInputs!AJ120</f>
        <v>0</v>
      </c>
      <c r="AK430" s="353"/>
      <c r="AL430" s="353">
        <f>SelectedInputs!AL120</f>
        <v>0</v>
      </c>
      <c r="AM430" s="353">
        <f>SelectedInputs!AM120</f>
        <v>0</v>
      </c>
      <c r="AN430" s="515"/>
      <c r="AO430" s="287">
        <f>SelectedInputs!AO120</f>
        <v>0</v>
      </c>
      <c r="AP430" s="287">
        <f>SelectedInputs!AP120</f>
        <v>0</v>
      </c>
      <c r="AQ430" s="287">
        <f>SelectedInputs!AQ120</f>
        <v>0</v>
      </c>
      <c r="AR430" s="287">
        <f>SelectedInputs!AR120</f>
        <v>0</v>
      </c>
      <c r="AS430" s="287">
        <f>SelectedInputs!AS120</f>
        <v>0</v>
      </c>
      <c r="AT430" s="287">
        <f>SelectedInputs!AT120</f>
        <v>0</v>
      </c>
      <c r="AU430" s="287">
        <f>SelectedInputs!AU120</f>
        <v>0</v>
      </c>
      <c r="AV430" s="521"/>
    </row>
    <row r="431" spans="1:48" ht="15.75">
      <c r="A431" s="82"/>
      <c r="B431" s="82"/>
      <c r="C431" s="82"/>
      <c r="D431" s="82"/>
      <c r="E431" s="82">
        <f t="shared" si="17"/>
        <v>0</v>
      </c>
      <c r="F431" s="268"/>
      <c r="G431" s="82" t="s">
        <v>209</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SelectedInputs!AJ121</f>
        <v>0</v>
      </c>
      <c r="AK431" s="353"/>
      <c r="AL431" s="353">
        <f>SelectedInputs!AL121</f>
        <v>0</v>
      </c>
      <c r="AM431" s="353">
        <f>SelectedInputs!AM121</f>
        <v>0</v>
      </c>
      <c r="AN431" s="515"/>
      <c r="AO431" s="287">
        <f>SelectedInputs!AO121</f>
        <v>0</v>
      </c>
      <c r="AP431" s="287">
        <f>SelectedInputs!AP121</f>
        <v>0</v>
      </c>
      <c r="AQ431" s="287">
        <f>SelectedInputs!AQ121</f>
        <v>0</v>
      </c>
      <c r="AR431" s="287">
        <f>SelectedInputs!AR121</f>
        <v>0</v>
      </c>
      <c r="AS431" s="287">
        <f>SelectedInputs!AS121</f>
        <v>0</v>
      </c>
      <c r="AT431" s="287">
        <f>SelectedInputs!AT121</f>
        <v>0</v>
      </c>
      <c r="AU431" s="287">
        <f>SelectedInputs!AU121</f>
        <v>0</v>
      </c>
      <c r="AV431" s="521"/>
    </row>
    <row r="432" spans="1:48" ht="15.75">
      <c r="A432" s="82"/>
      <c r="B432" s="82"/>
      <c r="C432" s="82"/>
      <c r="D432" s="82"/>
      <c r="E432" s="82"/>
      <c r="F432" s="268"/>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6"/>
      <c r="AO432" s="82"/>
      <c r="AP432" s="82"/>
      <c r="AQ432" s="147"/>
      <c r="AR432" s="82"/>
      <c r="AS432" s="82"/>
      <c r="AT432" s="82"/>
      <c r="AU432" s="82"/>
      <c r="AV432" s="82"/>
    </row>
    <row r="433" spans="1:48" ht="15">
      <c r="A433" s="2"/>
      <c r="B433" s="2"/>
      <c r="C433" s="28" t="s">
        <v>646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5">
      <c r="A434" s="2"/>
      <c r="B434" s="2"/>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89"/>
      <c r="AR434" s="194"/>
      <c r="AS434" s="194"/>
      <c r="AT434" s="194"/>
      <c r="AU434" s="194"/>
      <c r="AV434" s="194"/>
    </row>
    <row r="435" spans="1:48" ht="15">
      <c r="A435" s="7"/>
      <c r="B435" s="7"/>
      <c r="C435" s="7"/>
      <c r="D435" s="82"/>
      <c r="E435" s="271" t="s">
        <v>647</v>
      </c>
      <c r="F435" s="271"/>
      <c r="G435" s="271" t="s">
        <v>209</v>
      </c>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99"/>
      <c r="AR435" s="492">
        <f>SelectedInputs!AR295</f>
        <v>0</v>
      </c>
      <c r="AS435" s="492">
        <f>SelectedInputs!AS295</f>
        <v>0</v>
      </c>
      <c r="AT435" s="492">
        <f>SelectedInputs!AT295</f>
        <v>0</v>
      </c>
      <c r="AU435" s="492">
        <f>SelectedInputs!AU295</f>
        <v>0</v>
      </c>
      <c r="AV435" s="492">
        <f>SelectedInputs!AV295</f>
        <v>0</v>
      </c>
    </row>
    <row r="436" spans="1:48" ht="15">
      <c r="A436" s="7"/>
      <c r="B436" s="7"/>
      <c r="C436" s="7"/>
      <c r="D436" s="82"/>
      <c r="E436" s="27" t="s">
        <v>648</v>
      </c>
      <c r="F436" s="27"/>
      <c r="G436" s="27" t="s">
        <v>209</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2"/>
      <c r="AR436" s="132">
        <f>SelectedInputs!AR296</f>
        <v>0</v>
      </c>
      <c r="AS436" s="132">
        <f>SelectedInputs!AS296</f>
        <v>0</v>
      </c>
      <c r="AT436" s="132">
        <f>SelectedInputs!AT296</f>
        <v>0</v>
      </c>
      <c r="AU436" s="132">
        <f>SelectedInputs!AU296</f>
        <v>0</v>
      </c>
      <c r="AV436" s="132">
        <f>SelectedInputs!AV296</f>
        <v>0</v>
      </c>
    </row>
    <row r="437" spans="1:48" ht="15">
      <c r="A437" s="7"/>
      <c r="B437" s="7"/>
      <c r="C437" s="7"/>
      <c r="D437" s="82"/>
      <c r="E437" s="27" t="s">
        <v>649</v>
      </c>
      <c r="F437" s="27"/>
      <c r="G437" s="27" t="s">
        <v>209</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0.89051094773157491</v>
      </c>
      <c r="AS437" s="132">
        <f>SelectedInputs!AS297</f>
        <v>0.89692531944568032</v>
      </c>
      <c r="AT437" s="132">
        <f>SelectedInputs!AT297</f>
        <v>0.86823665271887929</v>
      </c>
      <c r="AU437" s="132">
        <f>SelectedInputs!AU297</f>
        <v>0.83924483688325469</v>
      </c>
      <c r="AV437" s="132">
        <f>SelectedInputs!AV297</f>
        <v>0.84825113336575697</v>
      </c>
    </row>
    <row r="438" spans="1:48" ht="15">
      <c r="A438" s="7"/>
      <c r="B438" s="7"/>
      <c r="C438" s="7"/>
      <c r="D438" s="82"/>
      <c r="E438" s="27" t="s">
        <v>650</v>
      </c>
      <c r="F438" s="27"/>
      <c r="G438" s="27" t="s">
        <v>209</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0</v>
      </c>
      <c r="AS438" s="132">
        <f>SelectedInputs!AS298</f>
        <v>0</v>
      </c>
      <c r="AT438" s="132">
        <f>SelectedInputs!AT298</f>
        <v>0</v>
      </c>
      <c r="AU438" s="132">
        <f>SelectedInputs!AU298</f>
        <v>0</v>
      </c>
      <c r="AV438" s="132">
        <f>SelectedInputs!AV298</f>
        <v>0</v>
      </c>
    </row>
    <row r="439" spans="1:48" ht="15">
      <c r="A439" s="7"/>
      <c r="B439" s="7"/>
      <c r="C439" s="7"/>
      <c r="D439" s="82"/>
      <c r="E439" s="27" t="s">
        <v>651</v>
      </c>
      <c r="F439" s="27"/>
      <c r="G439" s="27" t="s">
        <v>209</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5">
      <c r="A440" s="7"/>
      <c r="B440" s="7"/>
      <c r="C440" s="7"/>
      <c r="D440" s="82"/>
      <c r="E440" s="27" t="s">
        <v>652</v>
      </c>
      <c r="F440" s="27"/>
      <c r="G440" s="27" t="s">
        <v>209</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5">
      <c r="A441" s="7"/>
      <c r="B441" s="7"/>
      <c r="C441" s="7"/>
      <c r="D441" s="82"/>
      <c r="E441" s="272" t="s">
        <v>653</v>
      </c>
      <c r="F441" s="272"/>
      <c r="G441" s="272" t="s">
        <v>209</v>
      </c>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300"/>
      <c r="AR441" s="493">
        <f>SelectedInputs!AR301</f>
        <v>5.9748259472538166E-2</v>
      </c>
      <c r="AS441" s="493">
        <f>SelectedInputs!AS301</f>
        <v>9.7325541813040248E-2</v>
      </c>
      <c r="AT441" s="493">
        <f>SelectedInputs!AT301</f>
        <v>8.5122279651948365E-2</v>
      </c>
      <c r="AU441" s="493">
        <f>SelectedInputs!AU301</f>
        <v>5.5752682505568259E-2</v>
      </c>
      <c r="AV441" s="493">
        <f>SelectedInputs!AV301</f>
        <v>4.4303235938766908E-2</v>
      </c>
    </row>
    <row r="442" spans="1:48" ht="15">
      <c r="A442" s="7"/>
      <c r="B442" s="7"/>
      <c r="C442" s="7"/>
      <c r="D442" s="82"/>
      <c r="E442" s="27" t="s">
        <v>654</v>
      </c>
      <c r="F442" s="27"/>
      <c r="G442" s="27" t="s">
        <v>209</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2"/>
      <c r="AR442" s="132">
        <f>SelectedInputs!AR302</f>
        <v>1</v>
      </c>
      <c r="AS442" s="132">
        <f>SelectedInputs!AS302</f>
        <v>0.98295837550141374</v>
      </c>
      <c r="AT442" s="132">
        <f>SelectedInputs!AT302</f>
        <v>0.99105012435303219</v>
      </c>
      <c r="AU442" s="132">
        <f>SelectedInputs!AU302</f>
        <v>0.99282565212892537</v>
      </c>
      <c r="AV442" s="132">
        <f>SelectedInputs!AV302</f>
        <v>0.99335991055999839</v>
      </c>
    </row>
    <row r="443" spans="1:48" ht="15">
      <c r="A443" s="7"/>
      <c r="B443" s="7"/>
      <c r="C443" s="7"/>
      <c r="D443" s="82"/>
      <c r="E443" s="27" t="s">
        <v>655</v>
      </c>
      <c r="F443" s="27"/>
      <c r="G443" s="27" t="s">
        <v>209</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0.16204768170376446</v>
      </c>
      <c r="AS443" s="132">
        <f>SelectedInputs!AS303</f>
        <v>0.13797080461446665</v>
      </c>
      <c r="AT443" s="132">
        <f>SelectedInputs!AT303</f>
        <v>0.15015574164998677</v>
      </c>
      <c r="AU443" s="132">
        <f>SelectedInputs!AU303</f>
        <v>2.9903455727379825E-2</v>
      </c>
      <c r="AV443" s="132">
        <f>SelectedInputs!AV303</f>
        <v>2.5318477041986972E-2</v>
      </c>
    </row>
    <row r="444" spans="1:48" ht="15">
      <c r="A444" s="7"/>
      <c r="B444" s="7"/>
      <c r="C444" s="7"/>
      <c r="D444" s="82"/>
      <c r="E444" s="27" t="s">
        <v>656</v>
      </c>
      <c r="F444" s="27"/>
      <c r="G444" s="27" t="s">
        <v>209</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2.2918863844234713E-3</v>
      </c>
      <c r="AS444" s="132">
        <f>SelectedInputs!AS304</f>
        <v>2.0325247128205564E-3</v>
      </c>
      <c r="AT444" s="132">
        <f>SelectedInputs!AT304</f>
        <v>7.9850938866207633E-3</v>
      </c>
      <c r="AU444" s="132">
        <f>SelectedInputs!AU304</f>
        <v>1.1210986213813204E-2</v>
      </c>
      <c r="AV444" s="132">
        <f>SelectedInputs!AV304</f>
        <v>1.543395069065096E-2</v>
      </c>
    </row>
    <row r="445" spans="1:48" ht="15">
      <c r="A445" s="7"/>
      <c r="B445" s="7"/>
      <c r="C445" s="7"/>
      <c r="D445" s="82"/>
      <c r="E445" s="27" t="s">
        <v>657</v>
      </c>
      <c r="F445" s="27"/>
      <c r="G445" s="27" t="s">
        <v>209</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0</v>
      </c>
      <c r="AS445" s="132">
        <f>SelectedInputs!AS305</f>
        <v>0</v>
      </c>
      <c r="AT445" s="132">
        <f>SelectedInputs!AT305</f>
        <v>0</v>
      </c>
      <c r="AU445" s="132">
        <f>SelectedInputs!AU305</f>
        <v>0</v>
      </c>
      <c r="AV445" s="132">
        <f>SelectedInputs!AV305</f>
        <v>0</v>
      </c>
    </row>
    <row r="446" spans="1:48" ht="15">
      <c r="A446" s="7"/>
      <c r="B446" s="7"/>
      <c r="C446" s="7"/>
      <c r="D446" s="82"/>
      <c r="E446" s="27" t="s">
        <v>658</v>
      </c>
      <c r="F446" s="27"/>
      <c r="G446" s="27" t="s">
        <v>209</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5">
      <c r="A447" s="7"/>
      <c r="B447" s="7"/>
      <c r="C447" s="7"/>
      <c r="D447" s="82"/>
      <c r="E447" s="27" t="s">
        <v>659</v>
      </c>
      <c r="F447" s="27"/>
      <c r="G447" s="27" t="s">
        <v>209</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5">
      <c r="A448" s="7"/>
      <c r="B448" s="7"/>
      <c r="C448" s="7"/>
      <c r="D448" s="82"/>
      <c r="E448" s="27" t="s">
        <v>660</v>
      </c>
      <c r="F448" s="27"/>
      <c r="G448" s="27" t="s">
        <v>209</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0.10472380946110113</v>
      </c>
      <c r="AS448" s="132">
        <f>SelectedInputs!AS308</f>
        <v>9.3047178363027547E-2</v>
      </c>
      <c r="AT448" s="132">
        <f>SelectedInputs!AT308</f>
        <v>0.13304953306839953</v>
      </c>
      <c r="AU448" s="132">
        <f>SelectedInputs!AU308</f>
        <v>0.12604820091454327</v>
      </c>
      <c r="AV448" s="132">
        <f>SelectedInputs!AV308</f>
        <v>0.14331511013593765</v>
      </c>
    </row>
    <row r="449" spans="1:48" ht="15">
      <c r="A449" s="7"/>
      <c r="B449" s="7"/>
      <c r="C449" s="7"/>
      <c r="D449" s="82"/>
      <c r="E449" s="271" t="s">
        <v>661</v>
      </c>
      <c r="F449" s="271"/>
      <c r="G449" s="271" t="s">
        <v>209</v>
      </c>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99"/>
      <c r="AR449" s="492">
        <f>SelectedInputs!AR309</f>
        <v>0</v>
      </c>
      <c r="AS449" s="492">
        <f>SelectedInputs!AS309</f>
        <v>0</v>
      </c>
      <c r="AT449" s="492">
        <f>SelectedInputs!AT309</f>
        <v>0</v>
      </c>
      <c r="AU449" s="492">
        <f>SelectedInputs!AU309</f>
        <v>0</v>
      </c>
      <c r="AV449" s="492">
        <f>SelectedInputs!AV309</f>
        <v>0</v>
      </c>
    </row>
    <row r="450" spans="1:48" ht="15">
      <c r="A450" s="7"/>
      <c r="B450" s="7"/>
      <c r="C450" s="7"/>
      <c r="D450" s="82"/>
      <c r="E450" s="27" t="s">
        <v>662</v>
      </c>
      <c r="F450" s="27"/>
      <c r="G450" s="27" t="s">
        <v>209</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2"/>
      <c r="AR450" s="132">
        <f>SelectedInputs!AR310</f>
        <v>0.75134834293802288</v>
      </c>
      <c r="AS450" s="132">
        <f>SelectedInputs!AS310</f>
        <v>0.81187839885252144</v>
      </c>
      <c r="AT450" s="132">
        <f>SelectedInputs!AT310</f>
        <v>0.79746638935823699</v>
      </c>
      <c r="AU450" s="132">
        <f>SelectedInputs!AU310</f>
        <v>0.92634256404222348</v>
      </c>
      <c r="AV450" s="132">
        <f>SelectedInputs!AV310</f>
        <v>0.92637198212258631</v>
      </c>
    </row>
    <row r="451" spans="1:48" ht="15">
      <c r="A451" s="7"/>
      <c r="B451" s="7"/>
      <c r="C451" s="7"/>
      <c r="D451" s="82"/>
      <c r="E451" s="27" t="s">
        <v>663</v>
      </c>
      <c r="F451" s="27"/>
      <c r="G451" s="27" t="s">
        <v>209</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8.4328118935429755E-2</v>
      </c>
      <c r="AS451" s="132">
        <f>SelectedInputs!AS311</f>
        <v>5.6748131590629643E-2</v>
      </c>
      <c r="AT451" s="132">
        <f>SelectedInputs!AT311</f>
        <v>6.6984832501669159E-2</v>
      </c>
      <c r="AU451" s="132">
        <f>SelectedInputs!AU311</f>
        <v>9.6345325544387184E-2</v>
      </c>
      <c r="AV451" s="132">
        <f>SelectedInputs!AV311</f>
        <v>0.13277081781444952</v>
      </c>
    </row>
    <row r="452" spans="1:48" ht="15">
      <c r="A452" s="7"/>
      <c r="B452" s="7"/>
      <c r="C452" s="7"/>
      <c r="D452" s="82"/>
      <c r="E452" s="27" t="s">
        <v>664</v>
      </c>
      <c r="F452" s="27"/>
      <c r="G452" s="27" t="s">
        <v>209</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0.84817558658320957</v>
      </c>
      <c r="AS452" s="132">
        <f>SelectedInputs!AS312</f>
        <v>0.89487481213663789</v>
      </c>
      <c r="AT452" s="132">
        <f>SelectedInputs!AT312</f>
        <v>0.891084323003977</v>
      </c>
      <c r="AU452" s="132">
        <f>SelectedInputs!AU312</f>
        <v>0.89101280620467493</v>
      </c>
      <c r="AV452" s="132">
        <f>SelectedInputs!AV312</f>
        <v>0.89093447948170901</v>
      </c>
    </row>
    <row r="453" spans="1:48" ht="15">
      <c r="A453" s="7"/>
      <c r="B453" s="7"/>
      <c r="C453" s="7"/>
      <c r="D453" s="82"/>
      <c r="E453" s="27" t="s">
        <v>665</v>
      </c>
      <c r="F453" s="27"/>
      <c r="G453" s="27" t="s">
        <v>209</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0.16610984797084002</v>
      </c>
      <c r="AS453" s="132">
        <f>SelectedInputs!AS313</f>
        <v>0.19190018199373027</v>
      </c>
      <c r="AT453" s="132">
        <f>SelectedInputs!AT313</f>
        <v>0.14932899594720636</v>
      </c>
      <c r="AU453" s="132">
        <f>SelectedInputs!AU313</f>
        <v>0.22926356376475418</v>
      </c>
      <c r="AV453" s="132">
        <f>SelectedInputs!AV313</f>
        <v>0.21575161744461704</v>
      </c>
    </row>
    <row r="454" spans="1:48" ht="15">
      <c r="A454" s="7"/>
      <c r="B454" s="7"/>
      <c r="C454" s="7"/>
      <c r="D454" s="82"/>
      <c r="E454" s="27" t="s">
        <v>666</v>
      </c>
      <c r="F454" s="27"/>
      <c r="G454" s="27" t="s">
        <v>209</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0</v>
      </c>
      <c r="AS454" s="132">
        <f>SelectedInputs!AS314</f>
        <v>0</v>
      </c>
      <c r="AT454" s="132">
        <f>SelectedInputs!AT314</f>
        <v>0</v>
      </c>
      <c r="AU454" s="132">
        <f>SelectedInputs!AU314</f>
        <v>0</v>
      </c>
      <c r="AV454" s="132">
        <f>SelectedInputs!AV314</f>
        <v>0</v>
      </c>
    </row>
    <row r="455" spans="1:48" ht="15">
      <c r="A455" s="7"/>
      <c r="B455" s="7"/>
      <c r="C455" s="7"/>
      <c r="D455" s="82"/>
      <c r="E455" s="272" t="s">
        <v>667</v>
      </c>
      <c r="F455" s="272"/>
      <c r="G455" s="272" t="s">
        <v>209</v>
      </c>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300"/>
      <c r="AR455" s="493">
        <f>SelectedInputs!AR315</f>
        <v>0.33446487755866072</v>
      </c>
      <c r="AS455" s="493">
        <f>SelectedInputs!AS315</f>
        <v>0.31521089587898038</v>
      </c>
      <c r="AT455" s="493">
        <f>SelectedInputs!AT315</f>
        <v>0.28261447072912044</v>
      </c>
      <c r="AU455" s="493">
        <f>SelectedInputs!AU315</f>
        <v>0.32137060294710595</v>
      </c>
      <c r="AV455" s="493">
        <f>SelectedInputs!AV315</f>
        <v>0.31828864256238715</v>
      </c>
    </row>
    <row r="456" spans="1:48" ht="15">
      <c r="A456" s="7"/>
      <c r="B456" s="7"/>
      <c r="C456" s="7"/>
      <c r="D456" s="82"/>
      <c r="E456" s="271" t="s">
        <v>668</v>
      </c>
      <c r="F456" s="271"/>
      <c r="G456" s="271" t="s">
        <v>209</v>
      </c>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99"/>
      <c r="AR456" s="492">
        <f>SelectedInputs!AR316</f>
        <v>0</v>
      </c>
      <c r="AS456" s="492">
        <f>SelectedInputs!AS316</f>
        <v>0</v>
      </c>
      <c r="AT456" s="492">
        <f>SelectedInputs!AT316</f>
        <v>0</v>
      </c>
      <c r="AU456" s="492">
        <f>SelectedInputs!AU316</f>
        <v>0</v>
      </c>
      <c r="AV456" s="492">
        <f>SelectedInputs!AV316</f>
        <v>0</v>
      </c>
    </row>
    <row r="457" spans="1:48" ht="15">
      <c r="A457" s="7"/>
      <c r="B457" s="7"/>
      <c r="C457" s="7"/>
      <c r="D457" s="82"/>
      <c r="E457" s="27" t="s">
        <v>669</v>
      </c>
      <c r="F457" s="27"/>
      <c r="G457" s="27" t="s">
        <v>209</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2"/>
      <c r="AR457" s="132">
        <f>SelectedInputs!AR317</f>
        <v>3.8730722588878871E-2</v>
      </c>
      <c r="AS457" s="132">
        <f>SelectedInputs!AS317</f>
        <v>2.6785898674712056E-2</v>
      </c>
      <c r="AT457" s="132">
        <f>SelectedInputs!AT317</f>
        <v>2.8603299131754713E-2</v>
      </c>
      <c r="AU457" s="132">
        <f>SelectedInputs!AU317</f>
        <v>2.3883129366855677E-2</v>
      </c>
      <c r="AV457" s="132">
        <f>SelectedInputs!AV317</f>
        <v>2.6360174221380719E-2</v>
      </c>
    </row>
    <row r="458" spans="1:48" ht="15">
      <c r="A458" s="7"/>
      <c r="B458" s="7"/>
      <c r="C458" s="7"/>
      <c r="D458" s="82"/>
      <c r="E458" s="27" t="s">
        <v>670</v>
      </c>
      <c r="F458" s="27"/>
      <c r="G458" s="27" t="s">
        <v>209</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2.2869046948571822E-2</v>
      </c>
      <c r="AS458" s="132">
        <f>SelectedInputs!AS318</f>
        <v>4.4294024250869382E-2</v>
      </c>
      <c r="AT458" s="132">
        <f>SelectedInputs!AT318</f>
        <v>5.6793420892830758E-2</v>
      </c>
      <c r="AU458" s="132">
        <f>SelectedInputs!AU318</f>
        <v>5.3198851358545025E-2</v>
      </c>
      <c r="AV458" s="132">
        <f>SelectedInputs!AV318</f>
        <v>3.5440981291425398E-3</v>
      </c>
    </row>
    <row r="459" spans="1:48" ht="15">
      <c r="A459" s="7"/>
      <c r="B459" s="7"/>
      <c r="C459" s="7"/>
      <c r="D459" s="82"/>
      <c r="E459" s="27" t="s">
        <v>671</v>
      </c>
      <c r="F459" s="27"/>
      <c r="G459" s="27" t="s">
        <v>209</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0</v>
      </c>
      <c r="AS459" s="132">
        <f>SelectedInputs!AS319</f>
        <v>0</v>
      </c>
      <c r="AT459" s="132">
        <f>SelectedInputs!AT319</f>
        <v>0</v>
      </c>
      <c r="AU459" s="132">
        <f>SelectedInputs!AU319</f>
        <v>0</v>
      </c>
      <c r="AV459" s="132">
        <f>SelectedInputs!AV319</f>
        <v>0</v>
      </c>
    </row>
    <row r="460" spans="1:48" ht="15">
      <c r="A460" s="7"/>
      <c r="B460" s="7"/>
      <c r="C460" s="7"/>
      <c r="D460" s="82"/>
      <c r="E460" s="27" t="s">
        <v>672</v>
      </c>
      <c r="F460" s="27"/>
      <c r="G460" s="27" t="s">
        <v>209</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5">
      <c r="A461" s="7"/>
      <c r="B461" s="7"/>
      <c r="C461" s="7"/>
      <c r="D461" s="82"/>
      <c r="E461" s="27" t="s">
        <v>673</v>
      </c>
      <c r="F461" s="27"/>
      <c r="G461" s="27" t="s">
        <v>209</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5">
      <c r="A462" s="7"/>
      <c r="B462" s="7"/>
      <c r="C462" s="7"/>
      <c r="D462" s="82"/>
      <c r="E462" s="272" t="s">
        <v>674</v>
      </c>
      <c r="F462" s="272"/>
      <c r="G462" s="272" t="s">
        <v>209</v>
      </c>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300"/>
      <c r="AR462" s="493">
        <f>SelectedInputs!AR322</f>
        <v>7.9976006777101767E-3</v>
      </c>
      <c r="AS462" s="493">
        <f>SelectedInputs!AS322</f>
        <v>1.1253952152105475E-2</v>
      </c>
      <c r="AT462" s="493">
        <f>SelectedInputs!AT322</f>
        <v>1.1599861858187115E-2</v>
      </c>
      <c r="AU462" s="493">
        <f>SelectedInputs!AU322</f>
        <v>9.2667460869408236E-3</v>
      </c>
      <c r="AV462" s="493">
        <f>SelectedInputs!AV322</f>
        <v>6.3848451895463735E-3</v>
      </c>
    </row>
    <row r="463" spans="1:48" ht="15">
      <c r="A463" s="7"/>
      <c r="B463" s="7"/>
      <c r="C463" s="7"/>
      <c r="D463" s="82"/>
      <c r="E463" s="27" t="s">
        <v>675</v>
      </c>
      <c r="F463" s="27"/>
      <c r="G463" s="27" t="s">
        <v>209</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2"/>
      <c r="AR463" s="132">
        <f>SelectedInputs!AR323</f>
        <v>0</v>
      </c>
      <c r="AS463" s="132">
        <f>SelectedInputs!AS323</f>
        <v>1.7041624498586275E-2</v>
      </c>
      <c r="AT463" s="132">
        <f>SelectedInputs!AT323</f>
        <v>8.9498756469677723E-3</v>
      </c>
      <c r="AU463" s="132">
        <f>SelectedInputs!AU323</f>
        <v>7.1743478710746423E-3</v>
      </c>
      <c r="AV463" s="132">
        <f>SelectedInputs!AV323</f>
        <v>6.6400894400015934E-3</v>
      </c>
    </row>
    <row r="464" spans="1:48" ht="15">
      <c r="A464" s="7"/>
      <c r="B464" s="7"/>
      <c r="C464" s="7"/>
      <c r="D464" s="82"/>
      <c r="E464" s="27" t="s">
        <v>676</v>
      </c>
      <c r="F464" s="27"/>
      <c r="G464" s="27" t="s">
        <v>209</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0</v>
      </c>
      <c r="AS464" s="132">
        <f>SelectedInputs!AS324</f>
        <v>0</v>
      </c>
      <c r="AT464" s="132">
        <f>SelectedInputs!AT324</f>
        <v>0</v>
      </c>
      <c r="AU464" s="132">
        <f>SelectedInputs!AU324</f>
        <v>0</v>
      </c>
      <c r="AV464" s="132">
        <f>SelectedInputs!AV324</f>
        <v>0</v>
      </c>
    </row>
    <row r="465" spans="1:48" ht="15">
      <c r="A465" s="7"/>
      <c r="B465" s="7"/>
      <c r="C465" s="7"/>
      <c r="D465" s="82"/>
      <c r="E465" s="27" t="s">
        <v>677</v>
      </c>
      <c r="F465" s="27"/>
      <c r="G465" s="27" t="s">
        <v>209</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0</v>
      </c>
      <c r="AS465" s="132">
        <f>SelectedInputs!AS325</f>
        <v>0</v>
      </c>
      <c r="AT465" s="132">
        <f>SelectedInputs!AT325</f>
        <v>0</v>
      </c>
      <c r="AU465" s="132">
        <f>SelectedInputs!AU325</f>
        <v>0</v>
      </c>
      <c r="AV465" s="132">
        <f>SelectedInputs!AV325</f>
        <v>0</v>
      </c>
    </row>
    <row r="466" spans="1:48" ht="15">
      <c r="A466" s="7"/>
      <c r="B466" s="7"/>
      <c r="C466" s="7"/>
      <c r="D466" s="82"/>
      <c r="E466" s="27" t="s">
        <v>678</v>
      </c>
      <c r="F466" s="27"/>
      <c r="G466" s="27" t="s">
        <v>209</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0.15182441341679054</v>
      </c>
      <c r="AS466" s="132">
        <f>SelectedInputs!AS326</f>
        <v>0.10512518786336211</v>
      </c>
      <c r="AT466" s="132">
        <f>SelectedInputs!AT326</f>
        <v>0.108915676996023</v>
      </c>
      <c r="AU466" s="132">
        <f>SelectedInputs!AU326</f>
        <v>0.10898719379532505</v>
      </c>
      <c r="AV466" s="132">
        <f>SelectedInputs!AV326</f>
        <v>0.10906552051829099</v>
      </c>
    </row>
    <row r="467" spans="1:48" ht="15">
      <c r="A467" s="7"/>
      <c r="B467" s="7"/>
      <c r="C467" s="7"/>
      <c r="D467" s="82"/>
      <c r="E467" s="27" t="s">
        <v>679</v>
      </c>
      <c r="F467" s="27"/>
      <c r="G467" s="27" t="s">
        <v>209</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0.83389015202915995</v>
      </c>
      <c r="AS467" s="132">
        <f>SelectedInputs!AS327</f>
        <v>0.80809981800626962</v>
      </c>
      <c r="AT467" s="132">
        <f>SelectedInputs!AT327</f>
        <v>0.85067100405279372</v>
      </c>
      <c r="AU467" s="132">
        <f>SelectedInputs!AU327</f>
        <v>0.7707364362352459</v>
      </c>
      <c r="AV467" s="132">
        <f>SelectedInputs!AV327</f>
        <v>0.78424838255538287</v>
      </c>
    </row>
    <row r="468" spans="1:48" ht="15">
      <c r="A468" s="7"/>
      <c r="B468" s="7"/>
      <c r="C468" s="7"/>
      <c r="D468" s="82"/>
      <c r="E468" s="27" t="s">
        <v>680</v>
      </c>
      <c r="F468" s="27"/>
      <c r="G468" s="27" t="s">
        <v>209</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1</v>
      </c>
      <c r="AS468" s="132">
        <f>SelectedInputs!AS328</f>
        <v>1</v>
      </c>
      <c r="AT468" s="132">
        <f>SelectedInputs!AT328</f>
        <v>1</v>
      </c>
      <c r="AU468" s="132">
        <f>SelectedInputs!AU328</f>
        <v>1</v>
      </c>
      <c r="AV468" s="132">
        <f>SelectedInputs!AV328</f>
        <v>1</v>
      </c>
    </row>
    <row r="469" spans="1:48" ht="15">
      <c r="A469" s="7"/>
      <c r="B469" s="7"/>
      <c r="C469" s="7"/>
      <c r="D469" s="82"/>
      <c r="E469" s="27" t="s">
        <v>681</v>
      </c>
      <c r="F469" s="27"/>
      <c r="G469" s="27" t="s">
        <v>209</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0.48508081331970088</v>
      </c>
      <c r="AS469" s="132">
        <f>SelectedInputs!AS329</f>
        <v>0.47753829754240568</v>
      </c>
      <c r="AT469" s="132">
        <f>SelectedInputs!AT329</f>
        <v>0.48260031685369392</v>
      </c>
      <c r="AU469" s="132">
        <f>SelectedInputs!AU329</f>
        <v>0.48279218852499234</v>
      </c>
      <c r="AV469" s="132">
        <f>SelectedInputs!AV329</f>
        <v>0.48254581851976136</v>
      </c>
    </row>
    <row r="470" spans="1:48" ht="15">
      <c r="A470" s="7"/>
      <c r="B470" s="7"/>
      <c r="C470" s="7"/>
      <c r="D470" s="82"/>
      <c r="E470" s="271" t="s">
        <v>682</v>
      </c>
      <c r="F470" s="271"/>
      <c r="G470" s="271" t="s">
        <v>209</v>
      </c>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99"/>
      <c r="AR470" s="492">
        <f>SelectedInputs!AR330</f>
        <v>0</v>
      </c>
      <c r="AS470" s="492">
        <f>SelectedInputs!AS330</f>
        <v>0</v>
      </c>
      <c r="AT470" s="492">
        <f>SelectedInputs!AT330</f>
        <v>0</v>
      </c>
      <c r="AU470" s="492">
        <f>SelectedInputs!AU330</f>
        <v>0</v>
      </c>
      <c r="AV470" s="492">
        <f>SelectedInputs!AV330</f>
        <v>0</v>
      </c>
    </row>
    <row r="471" spans="1:48" ht="15">
      <c r="A471" s="7"/>
      <c r="B471" s="7"/>
      <c r="C471" s="7"/>
      <c r="D471" s="82"/>
      <c r="E471" s="27" t="s">
        <v>683</v>
      </c>
      <c r="F471" s="27"/>
      <c r="G471" s="27" t="s">
        <v>209</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2"/>
      <c r="AR471" s="132">
        <f>SelectedInputs!AR331</f>
        <v>4.7873252769333789E-2</v>
      </c>
      <c r="AS471" s="132">
        <f>SelectedInputs!AS331</f>
        <v>2.3364897858299892E-2</v>
      </c>
      <c r="AT471" s="132">
        <f>SelectedInputs!AT331</f>
        <v>2.3774569860021657E-2</v>
      </c>
      <c r="AU471" s="132">
        <f>SelectedInputs!AU331</f>
        <v>1.9870850863541047E-2</v>
      </c>
      <c r="AV471" s="132">
        <f>SelectedInputs!AV331</f>
        <v>2.1949366614045975E-2</v>
      </c>
    </row>
    <row r="472" spans="1:48" ht="15">
      <c r="A472" s="7"/>
      <c r="B472" s="7"/>
      <c r="C472" s="7"/>
      <c r="D472" s="82"/>
      <c r="E472" s="27" t="s">
        <v>684</v>
      </c>
      <c r="F472" s="27"/>
      <c r="G472" s="27" t="s">
        <v>209</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0</v>
      </c>
      <c r="AS472" s="132">
        <f>SelectedInputs!AS332</f>
        <v>0</v>
      </c>
      <c r="AT472" s="132">
        <f>SelectedInputs!AT332</f>
        <v>0</v>
      </c>
      <c r="AU472" s="132">
        <f>SelectedInputs!AU332</f>
        <v>0</v>
      </c>
      <c r="AV472" s="132">
        <f>SelectedInputs!AV332</f>
        <v>0</v>
      </c>
    </row>
    <row r="473" spans="1:48" ht="15">
      <c r="A473" s="7"/>
      <c r="B473" s="7"/>
      <c r="C473" s="7"/>
      <c r="D473" s="82"/>
      <c r="E473" s="27" t="s">
        <v>685</v>
      </c>
      <c r="F473" s="27"/>
      <c r="G473" s="27" t="s">
        <v>209</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0</v>
      </c>
      <c r="AS473" s="132">
        <f>SelectedInputs!AS333</f>
        <v>0</v>
      </c>
      <c r="AT473" s="132">
        <f>SelectedInputs!AT333</f>
        <v>0</v>
      </c>
      <c r="AU473" s="132">
        <f>SelectedInputs!AU333</f>
        <v>0</v>
      </c>
      <c r="AV473" s="132">
        <f>SelectedInputs!AV333</f>
        <v>0</v>
      </c>
    </row>
    <row r="474" spans="1:48" ht="15">
      <c r="A474" s="7"/>
      <c r="B474" s="7"/>
      <c r="C474" s="7"/>
      <c r="D474" s="82"/>
      <c r="E474" s="27" t="s">
        <v>686</v>
      </c>
      <c r="F474" s="27"/>
      <c r="G474" s="27" t="s">
        <v>209</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5">
      <c r="A475" s="7"/>
      <c r="B475" s="7"/>
      <c r="C475" s="7"/>
      <c r="D475" s="82"/>
      <c r="E475" s="27" t="s">
        <v>687</v>
      </c>
      <c r="F475" s="27"/>
      <c r="G475" s="27" t="s">
        <v>209</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5">
      <c r="A476" s="7"/>
      <c r="B476" s="7"/>
      <c r="C476" s="7"/>
      <c r="D476" s="82"/>
      <c r="E476" s="272" t="s">
        <v>688</v>
      </c>
      <c r="F476" s="272"/>
      <c r="G476" s="272" t="s">
        <v>209</v>
      </c>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300"/>
      <c r="AR476" s="493">
        <f>SelectedInputs!AR336</f>
        <v>7.9846395102888407E-3</v>
      </c>
      <c r="AS476" s="493">
        <f>SelectedInputs!AS336</f>
        <v>5.6241342504406979E-3</v>
      </c>
      <c r="AT476" s="493">
        <f>SelectedInputs!AT336</f>
        <v>5.0135378386505485E-3</v>
      </c>
      <c r="AU476" s="493">
        <f>SelectedInputs!AU336</f>
        <v>4.7695790208494137E-3</v>
      </c>
      <c r="AV476" s="493">
        <f>SelectedInputs!AV336</f>
        <v>5.1623476536005169E-3</v>
      </c>
    </row>
    <row r="477" spans="1:48" ht="15">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99"/>
      <c r="AR477" s="7"/>
      <c r="AS477" s="7"/>
      <c r="AT477" s="7"/>
      <c r="AU477" s="7"/>
      <c r="AV477" s="7"/>
    </row>
    <row r="478" spans="1:48" ht="15">
      <c r="B478" s="37" t="s">
        <v>79</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5">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5">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4" priority="15" operator="equal">
      <formula>FALSE()</formula>
    </cfRule>
  </conditionalFormatting>
  <conditionalFormatting sqref="K16:AV18 K101:BA114 AW246:BA258 K277:AP278 AR277:BA278">
    <cfRule type="cellIs" dxfId="93" priority="24" operator="equal">
      <formula>FALSE()</formula>
    </cfRule>
  </conditionalFormatting>
  <conditionalFormatting sqref="AM3">
    <cfRule type="expression" dxfId="92"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8"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54" ht="19.5">
      <c r="A1" s="195" t="s">
        <v>43</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54" ht="15">
      <c r="A2" s="181"/>
      <c r="B2" s="157" t="str">
        <f>UserInterface!E30</f>
        <v>NPgN</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54"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5">
      <c r="A6" s="2"/>
      <c r="B6" s="37" t="s">
        <v>393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5">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5">
      <c r="A8" s="94"/>
      <c r="B8" s="2"/>
      <c r="C8" s="20" t="s">
        <v>689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5">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5">
      <c r="A10" s="82"/>
      <c r="B10" s="82"/>
      <c r="C10" s="82"/>
      <c r="D10" s="82"/>
      <c r="E10" s="82" t="s">
        <v>690</v>
      </c>
      <c r="F10" s="82"/>
      <c r="G10" s="82" t="s">
        <v>312</v>
      </c>
      <c r="H10" s="82" t="s">
        <v>418</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0"/>
      <c r="AS10" s="490"/>
      <c r="AT10" s="82"/>
      <c r="AU10" s="82"/>
      <c r="AV10" s="82"/>
      <c r="AW10" s="184"/>
      <c r="AX10" s="184"/>
      <c r="AY10" s="184"/>
      <c r="AZ10" s="184"/>
      <c r="BA10" s="184"/>
      <c r="BB10" s="82"/>
    </row>
    <row r="11" spans="1:54" ht="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5">
      <c r="A12" s="82"/>
      <c r="B12" s="82"/>
      <c r="C12" s="82"/>
      <c r="D12" s="82"/>
      <c r="E12" s="2" t="s">
        <v>691</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4"/>
      <c r="AX12" s="184"/>
      <c r="AY12" s="184"/>
      <c r="AZ12" s="184"/>
      <c r="BA12" s="184"/>
      <c r="BB12" s="82"/>
    </row>
    <row r="13" spans="1:54" ht="16.5">
      <c r="A13" s="82"/>
      <c r="B13" s="82"/>
      <c r="C13" s="82"/>
      <c r="D13" s="82"/>
      <c r="E13" s="2" t="s">
        <v>692</v>
      </c>
      <c r="F13" s="82"/>
      <c r="G13" s="2" t="s">
        <v>312</v>
      </c>
      <c r="H13" s="402" t="s">
        <v>693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4"/>
      <c r="AX13" s="184"/>
      <c r="AY13" s="184"/>
      <c r="AZ13" s="184"/>
      <c r="BA13" s="184"/>
      <c r="BB13" s="82"/>
    </row>
    <row r="14" spans="1:54" ht="15">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5">
      <c r="A15" s="82"/>
      <c r="B15" s="82"/>
      <c r="C15" s="82"/>
      <c r="D15" s="82"/>
      <c r="E15" s="2" t="s">
        <v>694</v>
      </c>
      <c r="F15" s="82"/>
      <c r="G15" s="2" t="s">
        <v>209</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3.7574999999999997E-2</v>
      </c>
      <c r="AK15" s="212">
        <f>InputSummary!AK182</f>
        <v>3.6729999999999999E-2</v>
      </c>
      <c r="AL15" s="212">
        <f>InputSummary!AL182</f>
        <v>3.5885E-2</v>
      </c>
      <c r="AM15" s="212">
        <f>InputSummary!AM182</f>
        <v>3.4584999999999998E-2</v>
      </c>
      <c r="AN15" s="212">
        <f>InputSummary!AN182</f>
        <v>3.3610000000000001E-2</v>
      </c>
      <c r="AO15" s="212">
        <f>InputSummary!AO182</f>
        <v>3.2570000000000002E-2</v>
      </c>
      <c r="AP15" s="212">
        <f>InputSummary!AP182</f>
        <v>3.1529999999999996E-2</v>
      </c>
      <c r="AQ15" s="295">
        <f>InputSummary!AQ182</f>
        <v>3.0359999999999998E-2</v>
      </c>
      <c r="AR15" s="212">
        <f>InputSummary!AR182</f>
        <v>3.97335776E-2</v>
      </c>
      <c r="AS15" s="212">
        <f>InputSummary!AS182</f>
        <v>4.1370183200000001E-2</v>
      </c>
      <c r="AT15" s="212">
        <f>InputSummary!AT182</f>
        <v>4.09301584E-2</v>
      </c>
      <c r="AU15" s="212">
        <f>InputSummary!AU182</f>
        <v>4.1113614800000003E-2</v>
      </c>
      <c r="AV15" s="212">
        <f>InputSummary!AV182</f>
        <v>4.1190859599999997E-2</v>
      </c>
      <c r="AW15" s="184"/>
      <c r="AX15" s="184"/>
      <c r="AY15" s="184"/>
      <c r="AZ15" s="184"/>
      <c r="BA15" s="184"/>
      <c r="BB15" s="82"/>
    </row>
    <row r="16" spans="1:54" ht="16.5">
      <c r="A16" s="82"/>
      <c r="B16" s="82"/>
      <c r="C16" s="82"/>
      <c r="D16" s="82"/>
      <c r="E16" s="424" t="s">
        <v>695</v>
      </c>
      <c r="F16" s="82"/>
      <c r="G16" s="2" t="s">
        <v>312</v>
      </c>
      <c r="H16" s="82" t="s">
        <v>696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1.0375749999999999</v>
      </c>
      <c r="AK16" s="425">
        <f t="shared" si="1"/>
        <v>1.0367299999999999</v>
      </c>
      <c r="AL16" s="425">
        <f t="shared" si="1"/>
        <v>1.0358849999999999</v>
      </c>
      <c r="AM16" s="425">
        <f t="shared" si="1"/>
        <v>1.0345850000000001</v>
      </c>
      <c r="AN16" s="425">
        <f t="shared" si="1"/>
        <v>1.0336099999999999</v>
      </c>
      <c r="AO16" s="425">
        <f t="shared" si="1"/>
        <v>1.03257</v>
      </c>
      <c r="AP16" s="425">
        <f t="shared" si="1"/>
        <v>1.0315300000000001</v>
      </c>
      <c r="AQ16" s="426">
        <f t="shared" si="1"/>
        <v>1.0303599999999999</v>
      </c>
      <c r="AR16" s="425">
        <f t="shared" si="1"/>
        <v>1.0397335776000001</v>
      </c>
      <c r="AS16" s="425">
        <f t="shared" si="1"/>
        <v>1.0413701832</v>
      </c>
      <c r="AT16" s="425">
        <f t="shared" si="1"/>
        <v>1.0409301583999999</v>
      </c>
      <c r="AU16" s="425">
        <f t="shared" si="1"/>
        <v>1.0411136148</v>
      </c>
      <c r="AV16" s="425">
        <f t="shared" si="1"/>
        <v>1.0411908595999999</v>
      </c>
      <c r="AW16" s="184"/>
      <c r="AX16" s="184"/>
      <c r="AY16" s="184"/>
      <c r="AZ16" s="184"/>
      <c r="BA16" s="184"/>
      <c r="BB16" s="82"/>
    </row>
    <row r="17" spans="1:54" ht="15">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5">
      <c r="A18" s="82"/>
      <c r="B18" s="82"/>
      <c r="C18" s="28" t="s">
        <v>697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5">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5">
      <c r="A20" s="82"/>
      <c r="B20" s="82"/>
      <c r="C20" s="82"/>
      <c r="D20" s="82"/>
      <c r="E20" s="7" t="s">
        <v>698</v>
      </c>
      <c r="F20" s="82"/>
      <c r="G20" s="2" t="s">
        <v>526</v>
      </c>
      <c r="H20" s="82" t="s">
        <v>397</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SelectedInputs!AR341</f>
        <v>5.9871572339243331</v>
      </c>
      <c r="AS20" s="30"/>
      <c r="AT20" s="30"/>
      <c r="AU20" s="30"/>
      <c r="AV20" s="30"/>
      <c r="AW20" s="184"/>
      <c r="AX20" s="184"/>
      <c r="AY20" s="184"/>
      <c r="AZ20" s="184"/>
      <c r="BA20" s="184"/>
      <c r="BB20" s="82"/>
    </row>
    <row r="21" spans="1:54" ht="15">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5">
      <c r="A22" s="82"/>
      <c r="B22" s="82"/>
      <c r="C22" s="82"/>
      <c r="D22" s="82"/>
      <c r="E22" s="2" t="s">
        <v>699</v>
      </c>
      <c r="F22" s="82"/>
      <c r="G22" s="2" t="s">
        <v>526</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1.1974314467848666</v>
      </c>
      <c r="AS22" s="13">
        <f>$AR20/5</f>
        <v>1.1974314467848666</v>
      </c>
      <c r="AT22" s="13">
        <f>$AR20/5</f>
        <v>1.1974314467848666</v>
      </c>
      <c r="AU22" s="13">
        <f>$AR20/5</f>
        <v>1.1974314467848666</v>
      </c>
      <c r="AV22" s="13">
        <f>$AR20/5</f>
        <v>1.1974314467848666</v>
      </c>
      <c r="AW22" s="184"/>
      <c r="AX22" s="184"/>
      <c r="AY22" s="184"/>
      <c r="AZ22" s="184"/>
      <c r="BA22" s="184"/>
      <c r="BB22" s="82"/>
    </row>
    <row r="23" spans="1:54" ht="15">
      <c r="A23" s="82"/>
      <c r="B23" s="82"/>
      <c r="C23" s="82"/>
      <c r="D23" s="82"/>
      <c r="E23" s="2" t="s">
        <v>700</v>
      </c>
      <c r="F23" s="82"/>
      <c r="G23" s="2" t="s">
        <v>209</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3.97335776E-2</v>
      </c>
      <c r="AS23" s="212">
        <f>AS15</f>
        <v>4.1370183200000001E-2</v>
      </c>
      <c r="AT23" s="212">
        <f>AT15</f>
        <v>4.09301584E-2</v>
      </c>
      <c r="AU23" s="212">
        <f>AU15</f>
        <v>4.1113614800000003E-2</v>
      </c>
      <c r="AV23" s="212">
        <f>AV15</f>
        <v>4.1190859599999997E-2</v>
      </c>
      <c r="AW23" s="184"/>
      <c r="AX23" s="184"/>
      <c r="AY23" s="184"/>
      <c r="AZ23" s="184"/>
      <c r="BA23" s="184"/>
      <c r="BB23" s="82"/>
    </row>
    <row r="24" spans="1:54" ht="15">
      <c r="A24" s="82"/>
      <c r="B24" s="82"/>
      <c r="C24" s="82"/>
      <c r="D24" s="82"/>
      <c r="E24" s="2" t="s">
        <v>701</v>
      </c>
      <c r="F24" s="82"/>
      <c r="G24" s="2" t="s">
        <v>312</v>
      </c>
      <c r="H24" s="82" t="s">
        <v>702</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4"/>
      <c r="AX24" s="184"/>
      <c r="AY24" s="184"/>
      <c r="AZ24" s="184"/>
      <c r="BA24" s="184"/>
      <c r="BB24" s="82"/>
    </row>
    <row r="25" spans="1:54" ht="15">
      <c r="A25" s="82"/>
      <c r="B25" s="82"/>
      <c r="C25" s="82"/>
      <c r="D25" s="82"/>
      <c r="E25" s="2" t="s">
        <v>703</v>
      </c>
      <c r="F25" s="82"/>
      <c r="G25" s="2" t="s">
        <v>526</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1.1974314467848666</v>
      </c>
      <c r="AS25" s="13">
        <f>AS22*AS24</f>
        <v>1.2450096820963734</v>
      </c>
      <c r="AT25" s="13">
        <f>AT22*AT24</f>
        <v>1.2965159607304741</v>
      </c>
      <c r="AU25" s="13">
        <f>AU22*AU24</f>
        <v>1.3495825643713006</v>
      </c>
      <c r="AV25" s="13">
        <f>AV22*AV24</f>
        <v>1.4050687820636583</v>
      </c>
      <c r="AW25" s="184"/>
      <c r="AX25" s="184"/>
      <c r="AY25" s="184"/>
      <c r="AZ25" s="184"/>
      <c r="BA25" s="184"/>
      <c r="BB25" s="82"/>
    </row>
    <row r="26" spans="1:54" ht="15">
      <c r="A26" s="82"/>
      <c r="B26" s="82"/>
      <c r="C26" s="82"/>
      <c r="D26" s="82"/>
      <c r="E26" s="2" t="s">
        <v>703</v>
      </c>
      <c r="F26" s="82"/>
      <c r="G26" s="2" t="s">
        <v>302</v>
      </c>
      <c r="H26" s="82" t="s">
        <v>704</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1.8436382396153808</v>
      </c>
      <c r="AS26" s="13">
        <f>AS25*AS13</f>
        <v>1.9774955726718106</v>
      </c>
      <c r="AT26" s="13">
        <f>AT25*AT13</f>
        <v>2.1106426327091921</v>
      </c>
      <c r="AU26" s="13">
        <f>AU25*AU13</f>
        <v>2.2458462197069466</v>
      </c>
      <c r="AV26" s="13">
        <f>AV25*AV13</f>
        <v>2.3874250251213769</v>
      </c>
      <c r="AW26" s="184"/>
      <c r="AX26" s="184"/>
      <c r="AY26" s="184"/>
      <c r="AZ26" s="184"/>
      <c r="BA26" s="184"/>
      <c r="BB26" s="82"/>
    </row>
    <row r="27" spans="1:54" ht="15">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5">
      <c r="A28" s="82"/>
      <c r="B28" s="82"/>
      <c r="C28" s="28" t="s">
        <v>705</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5">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5">
      <c r="A30" s="82"/>
      <c r="B30" s="82"/>
      <c r="C30" s="82"/>
      <c r="D30" s="10" t="s">
        <v>706</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5">
      <c r="A31" s="82"/>
      <c r="B31" s="82"/>
      <c r="C31" s="82"/>
      <c r="D31" s="82"/>
      <c r="E31" s="85" t="s">
        <v>707</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5">
      <c r="A32" s="82"/>
      <c r="B32" s="82"/>
      <c r="C32" s="82"/>
      <c r="D32" s="82"/>
      <c r="E32" s="318" t="s">
        <v>708</v>
      </c>
      <c r="F32" s="82"/>
      <c r="G32" s="2" t="s">
        <v>526</v>
      </c>
      <c r="H32" s="82" t="s">
        <v>415</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251.83793916644086</v>
      </c>
      <c r="AQ32" s="9">
        <f>SelectedInputs!AQ351</f>
        <v>244.31089676042151</v>
      </c>
      <c r="AR32" s="30"/>
      <c r="AS32" s="30"/>
      <c r="AT32" s="30"/>
      <c r="AU32" s="30"/>
      <c r="AV32" s="30"/>
      <c r="AW32" s="184"/>
      <c r="AX32" s="184"/>
      <c r="AY32" s="184"/>
      <c r="AZ32" s="184"/>
      <c r="BA32" s="184"/>
      <c r="BB32" s="82"/>
    </row>
    <row r="33" spans="1:54" ht="15">
      <c r="A33" s="82"/>
      <c r="B33" s="82"/>
      <c r="C33" s="82"/>
      <c r="D33" s="82"/>
      <c r="E33" s="7" t="s">
        <v>707</v>
      </c>
      <c r="F33" s="82"/>
      <c r="G33" s="2" t="s">
        <v>302</v>
      </c>
      <c r="H33" s="82" t="s">
        <v>709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10.92761890233416</v>
      </c>
      <c r="AS33" s="30">
        <f>IFERROR(((AQ$13-AQ10)/AQ$13) * AQ$32 * AQ$16 * AR$16*AS13,0)</f>
        <v>33.143241726016555</v>
      </c>
      <c r="AT33" s="30"/>
      <c r="AU33" s="30"/>
      <c r="AV33" s="30"/>
      <c r="AW33" s="184"/>
      <c r="AX33" s="184"/>
      <c r="AY33" s="184"/>
      <c r="AZ33" s="184"/>
      <c r="BA33" s="184"/>
      <c r="BB33" s="82"/>
    </row>
    <row r="34" spans="1:54" ht="15">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5">
      <c r="A35" s="82"/>
      <c r="B35" s="82"/>
      <c r="C35" s="82"/>
      <c r="D35" s="82"/>
      <c r="E35" s="85" t="s">
        <v>419</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5">
      <c r="A36" s="82"/>
      <c r="B36" s="82"/>
      <c r="C36" s="82"/>
      <c r="D36" s="82"/>
      <c r="E36" s="318" t="s">
        <v>420</v>
      </c>
      <c r="F36" s="82"/>
      <c r="G36" s="82" t="s">
        <v>302</v>
      </c>
      <c r="H36" s="82" t="s">
        <v>421</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279.46422679</v>
      </c>
      <c r="AK36" s="8">
        <f>SelectedInputs!AK354</f>
        <v>290.64971804000004</v>
      </c>
      <c r="AL36" s="8">
        <f>SelectedInputs!AL354</f>
        <v>279.87524431000003</v>
      </c>
      <c r="AM36" s="8">
        <f>SelectedInputs!AM354</f>
        <v>280.96392697399995</v>
      </c>
      <c r="AN36" s="8">
        <f>SelectedInputs!AN354</f>
        <v>295.61218076</v>
      </c>
      <c r="AO36" s="8">
        <f>SelectedInputs!AO354</f>
        <v>302.06496326000001</v>
      </c>
      <c r="AP36" s="8">
        <f>SelectedInputs!AP354</f>
        <v>328.22779650999991</v>
      </c>
      <c r="AQ36" s="9">
        <f>SelectedInputs!AQ354</f>
        <v>387.98965212000002</v>
      </c>
      <c r="AR36" s="8"/>
      <c r="AS36" s="30"/>
      <c r="AT36" s="30"/>
      <c r="AU36" s="30"/>
      <c r="AV36" s="30"/>
      <c r="AW36" s="184"/>
      <c r="AX36" s="184"/>
      <c r="AY36" s="184"/>
      <c r="AZ36" s="184"/>
      <c r="BA36" s="184"/>
      <c r="BB36" s="82"/>
    </row>
    <row r="37" spans="1:54" ht="15">
      <c r="A37" s="82"/>
      <c r="B37" s="82"/>
      <c r="C37" s="82"/>
      <c r="D37" s="82"/>
      <c r="E37" s="318" t="s">
        <v>422</v>
      </c>
      <c r="F37" s="82"/>
      <c r="G37" s="82" t="s">
        <v>302</v>
      </c>
      <c r="H37" s="82" t="s">
        <v>69</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280.86902679440749</v>
      </c>
      <c r="AK37" s="8">
        <f>SelectedInputs!AK355</f>
        <v>288.84380742766234</v>
      </c>
      <c r="AL37" s="8">
        <f>SelectedInputs!AL355</f>
        <v>282.26484040299204</v>
      </c>
      <c r="AM37" s="8">
        <f>SelectedInputs!AM355</f>
        <v>295.47971438118259</v>
      </c>
      <c r="AN37" s="8">
        <f>SelectedInputs!AN355</f>
        <v>306.49167069017739</v>
      </c>
      <c r="AO37" s="8">
        <f>SelectedInputs!AO355</f>
        <v>321.94451616631017</v>
      </c>
      <c r="AP37" s="8">
        <f>SelectedInputs!AP355</f>
        <v>326.86098308043393</v>
      </c>
      <c r="AQ37" s="9">
        <f>SelectedInputs!AQ355</f>
        <v>400.6964231536399</v>
      </c>
      <c r="AR37" s="8"/>
      <c r="AS37" s="30"/>
      <c r="AT37" s="30"/>
      <c r="AU37" s="30"/>
      <c r="AV37" s="30"/>
      <c r="AW37" s="184"/>
      <c r="AX37" s="184"/>
      <c r="AY37" s="184"/>
      <c r="AZ37" s="184"/>
      <c r="BA37" s="184"/>
      <c r="BB37" s="82"/>
    </row>
    <row r="38" spans="1:54" ht="15">
      <c r="A38" s="82"/>
      <c r="B38" s="82"/>
      <c r="C38" s="82"/>
      <c r="D38" s="82"/>
      <c r="E38" s="318" t="s">
        <v>710</v>
      </c>
      <c r="F38" s="82"/>
      <c r="G38" s="82" t="s">
        <v>302</v>
      </c>
      <c r="H38" s="82" t="s">
        <v>711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-1.4048000044074911</v>
      </c>
      <c r="AK38" s="7">
        <f t="shared" si="2"/>
        <v>1.8059106123376978</v>
      </c>
      <c r="AL38" s="7">
        <f t="shared" si="2"/>
        <v>-2.3895960929920079</v>
      </c>
      <c r="AM38" s="7">
        <f t="shared" si="2"/>
        <v>-14.515787407182643</v>
      </c>
      <c r="AN38" s="7">
        <f t="shared" si="2"/>
        <v>-10.879489930177385</v>
      </c>
      <c r="AO38" s="7">
        <f t="shared" si="2"/>
        <v>-19.879552906310153</v>
      </c>
      <c r="AP38" s="7">
        <f t="shared" si="2"/>
        <v>1.3668134295659797</v>
      </c>
      <c r="AQ38" s="65">
        <f t="shared" si="2"/>
        <v>-12.706771033639882</v>
      </c>
      <c r="AR38" s="8"/>
      <c r="AS38" s="30"/>
      <c r="AT38" s="30"/>
      <c r="AU38" s="30"/>
      <c r="AV38" s="30"/>
      <c r="AW38" s="184"/>
      <c r="AX38" s="184"/>
      <c r="AY38" s="184"/>
      <c r="AZ38" s="184"/>
      <c r="BA38" s="184"/>
      <c r="BB38" s="82"/>
    </row>
    <row r="39" spans="1:54" ht="15">
      <c r="A39" s="82"/>
      <c r="B39" s="82"/>
      <c r="C39" s="82"/>
      <c r="D39" s="82"/>
      <c r="E39" s="318" t="s">
        <v>423</v>
      </c>
      <c r="F39" s="82"/>
      <c r="G39" s="82" t="s">
        <v>100</v>
      </c>
      <c r="H39" s="82" t="s">
        <v>712</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0.19287671232876738</v>
      </c>
      <c r="AQ39" s="9">
        <f>SelectedInputs!AQ356</f>
        <v>2.3034246575342467</v>
      </c>
      <c r="AR39" s="8">
        <f>SelectedInputs!AR356</f>
        <v>0</v>
      </c>
      <c r="AS39" s="8"/>
      <c r="AT39" s="30"/>
      <c r="AU39" s="30"/>
      <c r="AV39" s="30"/>
      <c r="AW39" s="184"/>
      <c r="AX39" s="184"/>
      <c r="AY39" s="184"/>
      <c r="AZ39" s="184"/>
      <c r="BA39" s="184"/>
      <c r="BB39" s="82"/>
    </row>
    <row r="40" spans="1:54" ht="15">
      <c r="A40" s="82"/>
      <c r="B40" s="82"/>
      <c r="C40" s="82"/>
      <c r="D40" s="82"/>
      <c r="E40" s="318" t="s">
        <v>425</v>
      </c>
      <c r="F40" s="82"/>
      <c r="G40" s="82" t="s">
        <v>100</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4"/>
      <c r="AX40" s="184"/>
      <c r="AY40" s="184"/>
      <c r="AZ40" s="184"/>
      <c r="BA40" s="184"/>
      <c r="BB40" s="82"/>
    </row>
    <row r="41" spans="1:54" ht="15">
      <c r="A41" s="82"/>
      <c r="B41" s="82"/>
      <c r="C41" s="82"/>
      <c r="D41" s="82"/>
      <c r="E41" s="318" t="s">
        <v>713</v>
      </c>
      <c r="F41" s="82"/>
      <c r="G41" s="82" t="s">
        <v>100</v>
      </c>
      <c r="H41" s="82" t="s">
        <v>426</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0</v>
      </c>
      <c r="AP41" s="7">
        <f t="shared" si="3"/>
        <v>1.5</v>
      </c>
      <c r="AQ41" s="65">
        <f t="shared" si="3"/>
        <v>1.5</v>
      </c>
      <c r="AR41" s="8"/>
      <c r="AS41" s="30"/>
      <c r="AT41" s="30"/>
      <c r="AU41" s="30"/>
      <c r="AV41" s="30"/>
      <c r="AW41" s="184"/>
      <c r="AX41" s="184"/>
      <c r="AY41" s="184"/>
      <c r="AZ41" s="184"/>
      <c r="BA41" s="184"/>
      <c r="BB41" s="82"/>
    </row>
    <row r="42" spans="1:54" ht="15">
      <c r="A42" s="82"/>
      <c r="B42" s="82"/>
      <c r="C42" s="82"/>
      <c r="D42" s="82"/>
      <c r="E42" s="56" t="s">
        <v>714</v>
      </c>
      <c r="F42" s="82"/>
      <c r="G42" s="82" t="s">
        <v>302</v>
      </c>
      <c r="H42" s="82" t="s">
        <v>715</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-1.4591984790987116</v>
      </c>
      <c r="AM42" s="7">
        <f t="shared" si="4"/>
        <v>1.8731332033922627</v>
      </c>
      <c r="AN42" s="7">
        <f t="shared" si="4"/>
        <v>-2.4865806922473004</v>
      </c>
      <c r="AO42" s="7">
        <f t="shared" si="4"/>
        <v>-15.158797563608093</v>
      </c>
      <c r="AP42" s="7">
        <f t="shared" si="4"/>
        <v>-11.29850688580329</v>
      </c>
      <c r="AQ42" s="65">
        <f t="shared" si="4"/>
        <v>-20.236305317204124</v>
      </c>
      <c r="AR42" s="7">
        <f t="shared" si="4"/>
        <v>1.4428176689494179</v>
      </c>
      <c r="AS42" s="7"/>
      <c r="AT42" s="7"/>
      <c r="AU42" s="30"/>
      <c r="AV42" s="30"/>
      <c r="AW42" s="184"/>
      <c r="AX42" s="184"/>
      <c r="AY42" s="184"/>
      <c r="AZ42" s="184"/>
      <c r="BA42" s="184"/>
      <c r="BB42" s="82"/>
    </row>
    <row r="43" spans="1:54" ht="15">
      <c r="A43" s="82"/>
      <c r="B43" s="82"/>
      <c r="C43" s="82"/>
      <c r="D43" s="82"/>
      <c r="E43" s="56" t="s">
        <v>716</v>
      </c>
      <c r="F43" s="82"/>
      <c r="G43" s="82" t="s">
        <v>302</v>
      </c>
      <c r="H43" s="82" t="s">
        <v>717</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1.4591984790987116</v>
      </c>
      <c r="AM43" s="7">
        <f t="shared" si="5"/>
        <v>-1.8731332033922627</v>
      </c>
      <c r="AN43" s="7">
        <f t="shared" si="5"/>
        <v>2.4865806922473004</v>
      </c>
      <c r="AO43" s="7">
        <f t="shared" si="5"/>
        <v>15.158797563608093</v>
      </c>
      <c r="AP43" s="7">
        <f t="shared" si="5"/>
        <v>11.29850688580329</v>
      </c>
      <c r="AQ43" s="65">
        <f t="shared" si="5"/>
        <v>20.236305317204124</v>
      </c>
      <c r="AR43" s="30">
        <f t="shared" si="5"/>
        <v>-1.4428176689494179</v>
      </c>
      <c r="AS43" s="30"/>
      <c r="AT43" s="30"/>
      <c r="AU43" s="30"/>
      <c r="AV43" s="30"/>
      <c r="AW43" s="184"/>
      <c r="AX43" s="184"/>
      <c r="AY43" s="184"/>
      <c r="AZ43" s="184"/>
      <c r="BA43" s="184"/>
      <c r="BB43" s="82"/>
    </row>
    <row r="44" spans="1:54" ht="15">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5">
      <c r="A45" s="82"/>
      <c r="B45" s="82"/>
      <c r="C45" s="82"/>
      <c r="D45" s="82"/>
      <c r="E45" s="511" t="s">
        <v>427</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5">
      <c r="A46" s="82"/>
      <c r="B46" s="82"/>
      <c r="C46" s="82"/>
      <c r="D46" s="82"/>
      <c r="E46" s="512" t="s">
        <v>428</v>
      </c>
      <c r="F46" s="510"/>
      <c r="G46" s="510" t="s">
        <v>302</v>
      </c>
      <c r="H46" s="510" t="s">
        <v>429</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SelectedInputs!AR359</f>
        <v>1.6053850000000001E-2</v>
      </c>
      <c r="AS46" s="8">
        <f>SelectedInputs!AS359</f>
        <v>0</v>
      </c>
      <c r="AT46" s="8">
        <f>SelectedInputs!AT359</f>
        <v>0</v>
      </c>
      <c r="AU46" s="8">
        <f>SelectedInputs!AU359</f>
        <v>0</v>
      </c>
      <c r="AV46" s="8">
        <f>SelectedInputs!AV359</f>
        <v>0</v>
      </c>
      <c r="AW46" s="184"/>
      <c r="AX46" s="184"/>
      <c r="AY46" s="184"/>
      <c r="AZ46" s="184"/>
      <c r="BA46" s="184"/>
      <c r="BB46" s="82"/>
    </row>
    <row r="47" spans="1:54" ht="15">
      <c r="A47" s="82"/>
      <c r="B47" s="82"/>
      <c r="C47" s="82"/>
      <c r="D47" s="82"/>
      <c r="E47" s="512" t="s">
        <v>430</v>
      </c>
      <c r="F47" s="510"/>
      <c r="G47" s="510" t="s">
        <v>302</v>
      </c>
      <c r="H47" s="510" t="s">
        <v>431</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SelectedInputs!AR360</f>
        <v>0</v>
      </c>
      <c r="AS47" s="8">
        <f>SelectedInputs!AS360</f>
        <v>0</v>
      </c>
      <c r="AT47" s="8">
        <f>SelectedInputs!AT360</f>
        <v>0</v>
      </c>
      <c r="AU47" s="8">
        <f>SelectedInputs!AU360</f>
        <v>0</v>
      </c>
      <c r="AV47" s="8">
        <f>SelectedInputs!AV360</f>
        <v>0</v>
      </c>
      <c r="AW47" s="184"/>
      <c r="AX47" s="184"/>
      <c r="AY47" s="184"/>
      <c r="AZ47" s="184"/>
      <c r="BA47" s="184"/>
      <c r="BB47" s="82"/>
    </row>
    <row r="48" spans="1:54" ht="15">
      <c r="A48" s="82"/>
      <c r="B48" s="82"/>
      <c r="C48" s="82"/>
      <c r="D48" s="82"/>
      <c r="E48" s="513" t="s">
        <v>427</v>
      </c>
      <c r="F48" s="510"/>
      <c r="G48" s="510" t="s">
        <v>302</v>
      </c>
      <c r="H48" s="510" t="s">
        <v>718</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1.6053850000000001E-2</v>
      </c>
      <c r="AS48" s="514">
        <f>AS46-AS47</f>
        <v>0</v>
      </c>
      <c r="AT48" s="514">
        <f>AT46-AT47</f>
        <v>0</v>
      </c>
      <c r="AU48" s="514">
        <f>AU46-AU47</f>
        <v>0</v>
      </c>
      <c r="AV48" s="514">
        <f>AV46-AV47</f>
        <v>0</v>
      </c>
      <c r="AW48" s="184"/>
      <c r="AX48" s="184"/>
      <c r="AY48" s="184"/>
      <c r="AZ48" s="184"/>
      <c r="BA48" s="184"/>
      <c r="BB48" s="82"/>
    </row>
    <row r="49" spans="1:54" ht="15">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5">
      <c r="A50" s="82"/>
      <c r="B50" s="82"/>
      <c r="C50" s="82"/>
      <c r="D50" s="82"/>
      <c r="E50" s="85" t="s">
        <v>432</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5">
      <c r="A51" s="82"/>
      <c r="B51" s="82"/>
      <c r="C51" s="82"/>
      <c r="D51" s="82"/>
      <c r="E51" s="318" t="s">
        <v>719</v>
      </c>
      <c r="F51" s="82"/>
      <c r="G51" s="82" t="s">
        <v>302</v>
      </c>
      <c r="H51" s="82" t="s">
        <v>720</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2.64E-3</v>
      </c>
      <c r="AK51" s="8">
        <f>SelectedInputs!AK362</f>
        <v>8.0300000000000007E-3</v>
      </c>
      <c r="AL51" s="8">
        <f>SelectedInputs!AL362</f>
        <v>2.631E-2</v>
      </c>
      <c r="AM51" s="8">
        <f>SelectedInputs!AM362</f>
        <v>2.1659999999999999E-2</v>
      </c>
      <c r="AN51" s="8">
        <f>SelectedInputs!AN362</f>
        <v>2.6984999999999999E-2</v>
      </c>
      <c r="AO51" s="8">
        <f>SelectedInputs!AO362</f>
        <v>2.878E-2</v>
      </c>
      <c r="AP51" s="8">
        <f>SelectedInputs!AP362</f>
        <v>8.3595000000000003E-2</v>
      </c>
      <c r="AQ51" s="9">
        <f>SelectedInputs!AQ362</f>
        <v>0.23425499999999999</v>
      </c>
      <c r="AR51" s="8"/>
      <c r="AS51" s="8"/>
      <c r="AT51" s="30"/>
      <c r="AU51" s="30"/>
      <c r="AV51" s="30"/>
      <c r="AW51" s="184"/>
      <c r="AX51" s="184"/>
      <c r="AY51" s="184"/>
      <c r="AZ51" s="184"/>
      <c r="BA51" s="184"/>
      <c r="BB51" s="82"/>
    </row>
    <row r="52" spans="1:54" ht="15">
      <c r="A52" s="82"/>
      <c r="B52" s="82"/>
      <c r="C52" s="82"/>
      <c r="D52" s="82"/>
      <c r="E52" s="318" t="s">
        <v>721</v>
      </c>
      <c r="F52" s="82"/>
      <c r="G52" s="82" t="s">
        <v>302</v>
      </c>
      <c r="H52" s="82" t="s">
        <v>722</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2.64E-3</v>
      </c>
      <c r="AM52" s="7">
        <f>SUM($AH51:AK51)</f>
        <v>1.0670000000000001E-2</v>
      </c>
      <c r="AN52" s="7">
        <f>SUM($AH51:AL51)</f>
        <v>3.6979999999999999E-2</v>
      </c>
      <c r="AO52" s="7">
        <f>SUM($AH51:AM51)</f>
        <v>5.8639999999999998E-2</v>
      </c>
      <c r="AP52" s="7">
        <f>SUM($AH51:AN51)</f>
        <v>8.5624999999999993E-2</v>
      </c>
      <c r="AQ52" s="65">
        <f>SUM($AH51:AO51)</f>
        <v>0.11440499999999999</v>
      </c>
      <c r="AR52" s="8">
        <f>SUM($AH51:AP51)</f>
        <v>0.19800000000000001</v>
      </c>
      <c r="AS52" s="8">
        <f>SUM($AH51:AQ51)</f>
        <v>0.432255</v>
      </c>
      <c r="AT52" s="30"/>
      <c r="AU52" s="30"/>
      <c r="AV52" s="30"/>
      <c r="AW52" s="184"/>
      <c r="AX52" s="184"/>
      <c r="AY52" s="184"/>
      <c r="AZ52" s="184"/>
      <c r="BA52" s="184"/>
      <c r="BB52" s="82"/>
    </row>
    <row r="53" spans="1:54" ht="15">
      <c r="A53" s="82"/>
      <c r="B53" s="82"/>
      <c r="C53" s="82"/>
      <c r="D53" s="82"/>
      <c r="E53" s="318" t="s">
        <v>435</v>
      </c>
      <c r="F53" s="82"/>
      <c r="G53" s="82" t="s">
        <v>526</v>
      </c>
      <c r="H53" s="82" t="s">
        <v>723</v>
      </c>
      <c r="I53" s="260">
        <f>SelectedInputs!I363</f>
        <v>32</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5">
      <c r="A54" s="82"/>
      <c r="B54" s="82"/>
      <c r="C54" s="82"/>
      <c r="D54" s="82"/>
      <c r="E54" s="318" t="s">
        <v>724</v>
      </c>
      <c r="F54" s="82"/>
      <c r="G54" s="82" t="s">
        <v>302</v>
      </c>
      <c r="H54" s="82" t="s">
        <v>725</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5">
      <c r="A55" s="82"/>
      <c r="B55" s="82"/>
      <c r="C55" s="82"/>
      <c r="D55" s="82"/>
      <c r="E55" s="56" t="s">
        <v>726</v>
      </c>
      <c r="F55" s="82"/>
      <c r="G55" s="82" t="s">
        <v>302</v>
      </c>
      <c r="H55" s="82" t="s">
        <v>727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5">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5">
      <c r="A57" s="82"/>
      <c r="B57" s="82"/>
      <c r="C57" s="82"/>
      <c r="D57" s="10" t="s">
        <v>728</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5">
      <c r="A58" s="82"/>
      <c r="B58" s="82"/>
      <c r="C58" s="82"/>
      <c r="D58" s="82"/>
      <c r="E58" s="85" t="s">
        <v>729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5">
      <c r="A59" s="82"/>
      <c r="B59" s="82"/>
      <c r="C59" s="82"/>
      <c r="D59" s="82"/>
      <c r="E59" s="318" t="s">
        <v>730</v>
      </c>
      <c r="G59" s="2" t="s">
        <v>526</v>
      </c>
      <c r="H59" s="82" t="s">
        <v>440</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0.68740400000000024</v>
      </c>
      <c r="AQ59" s="9">
        <f>SelectedInputs!AQ367</f>
        <v>1.4778254440608405</v>
      </c>
      <c r="AR59" s="30"/>
      <c r="AS59" s="30"/>
      <c r="AT59" s="30"/>
      <c r="AU59" s="30"/>
      <c r="AV59" s="30"/>
      <c r="AW59" s="184"/>
      <c r="AX59" s="184"/>
      <c r="AY59" s="184"/>
      <c r="AZ59" s="184"/>
      <c r="BA59" s="184"/>
      <c r="BB59" s="82"/>
    </row>
    <row r="60" spans="1:54" ht="15">
      <c r="A60" s="82"/>
      <c r="B60" s="82"/>
      <c r="C60" s="82"/>
      <c r="D60" s="82"/>
      <c r="E60" s="318" t="s">
        <v>731</v>
      </c>
      <c r="G60" s="2" t="s">
        <v>526</v>
      </c>
      <c r="H60" s="82" t="s">
        <v>442</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4"/>
      <c r="AX60" s="184"/>
      <c r="AY60" s="184"/>
      <c r="AZ60" s="184"/>
      <c r="BA60" s="184"/>
      <c r="BB60" s="82"/>
    </row>
    <row r="61" spans="1:54" ht="15">
      <c r="A61" s="82"/>
      <c r="B61" s="82"/>
      <c r="C61" s="82"/>
      <c r="D61" s="82"/>
      <c r="E61" s="318" t="s">
        <v>732</v>
      </c>
      <c r="G61" s="2" t="s">
        <v>526</v>
      </c>
      <c r="H61" s="82" t="s">
        <v>444</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v>
      </c>
      <c r="AQ61" s="9">
        <f>SelectedInputs!AQ369</f>
        <v>0</v>
      </c>
      <c r="AR61" s="30"/>
      <c r="AS61" s="30"/>
      <c r="AT61" s="30"/>
      <c r="AU61" s="30"/>
      <c r="AV61" s="30"/>
      <c r="AW61" s="184"/>
      <c r="AX61" s="184"/>
      <c r="AY61" s="184"/>
      <c r="AZ61" s="184"/>
      <c r="BA61" s="184"/>
      <c r="BB61" s="82"/>
    </row>
    <row r="62" spans="1:54" ht="15">
      <c r="A62" s="82"/>
      <c r="B62" s="82"/>
      <c r="C62" s="82"/>
      <c r="D62" s="82"/>
      <c r="E62" s="7" t="s">
        <v>733</v>
      </c>
      <c r="F62" s="82"/>
      <c r="G62" s="2" t="s">
        <v>302</v>
      </c>
      <c r="H62" s="82" t="s">
        <v>734</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0.87418609570518735</v>
      </c>
      <c r="AS62" s="30">
        <f>SUM(AQ59:AQ61)*AQ$13</f>
        <v>2.121332078791192</v>
      </c>
      <c r="AT62" s="30"/>
      <c r="AU62" s="30"/>
      <c r="AV62" s="30"/>
      <c r="AW62" s="184"/>
      <c r="AX62" s="184"/>
      <c r="AY62" s="184"/>
      <c r="AZ62" s="184"/>
      <c r="BA62" s="184"/>
      <c r="BB62" s="82"/>
    </row>
    <row r="63" spans="1:54" ht="15">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5">
      <c r="A64" s="82"/>
      <c r="B64" s="82"/>
      <c r="C64" s="82"/>
      <c r="D64" s="82"/>
      <c r="E64" s="85" t="s">
        <v>735</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5">
      <c r="A65" s="82"/>
      <c r="B65" s="82"/>
      <c r="C65" s="82"/>
      <c r="D65" s="82"/>
      <c r="E65" s="318" t="s">
        <v>736</v>
      </c>
      <c r="F65" s="82"/>
      <c r="G65" s="2" t="s">
        <v>526</v>
      </c>
      <c r="H65" s="82" t="s">
        <v>447</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4.2147941632540862</v>
      </c>
      <c r="AQ65" s="9">
        <f>SelectedInputs!AQ371</f>
        <v>4.7819368847034269</v>
      </c>
      <c r="AR65" s="30"/>
      <c r="AS65" s="30"/>
      <c r="AT65" s="30"/>
      <c r="AU65" s="30"/>
      <c r="AV65" s="30"/>
      <c r="AW65" s="184"/>
      <c r="AX65" s="184"/>
      <c r="AY65" s="184"/>
      <c r="AZ65" s="184"/>
      <c r="BA65" s="184"/>
      <c r="BB65" s="82"/>
    </row>
    <row r="66" spans="1:54" ht="15">
      <c r="A66" s="82"/>
      <c r="B66" s="82"/>
      <c r="C66" s="82"/>
      <c r="D66" s="82"/>
      <c r="E66" s="318" t="s">
        <v>737</v>
      </c>
      <c r="F66" s="82"/>
      <c r="G66" s="2" t="s">
        <v>526</v>
      </c>
      <c r="H66" s="82" t="s">
        <v>449</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0.38867999999999903</v>
      </c>
      <c r="AQ66" s="9">
        <f>SelectedInputs!AQ372</f>
        <v>0</v>
      </c>
      <c r="AR66" s="30"/>
      <c r="AS66" s="30"/>
      <c r="AT66" s="30"/>
      <c r="AU66" s="30"/>
      <c r="AV66" s="30"/>
      <c r="AW66" s="184"/>
      <c r="AX66" s="184"/>
      <c r="AY66" s="184"/>
      <c r="AZ66" s="184"/>
      <c r="BA66" s="184"/>
      <c r="BB66" s="82"/>
    </row>
    <row r="67" spans="1:54" ht="15">
      <c r="A67" s="82"/>
      <c r="B67" s="82"/>
      <c r="C67" s="82"/>
      <c r="D67" s="82"/>
      <c r="E67" s="318" t="s">
        <v>738</v>
      </c>
      <c r="F67" s="82"/>
      <c r="G67" s="2" t="s">
        <v>526</v>
      </c>
      <c r="H67" s="82" t="s">
        <v>451</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-5.4486000000000034E-2</v>
      </c>
      <c r="AR67" s="30"/>
      <c r="AS67" s="30"/>
      <c r="AT67" s="30"/>
      <c r="AU67" s="30"/>
      <c r="AV67" s="30"/>
      <c r="AW67" s="184"/>
      <c r="AX67" s="184"/>
      <c r="AY67" s="184"/>
      <c r="AZ67" s="184"/>
      <c r="BA67" s="184"/>
      <c r="BB67" s="82"/>
    </row>
    <row r="68" spans="1:54" ht="15">
      <c r="A68" s="82"/>
      <c r="B68" s="82"/>
      <c r="C68" s="82"/>
      <c r="D68" s="82"/>
      <c r="E68" s="7" t="s">
        <v>735</v>
      </c>
      <c r="F68" s="82"/>
      <c r="G68" s="2" t="s">
        <v>302</v>
      </c>
      <c r="H68" s="82" t="s">
        <v>739</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7.5332366673961726</v>
      </c>
      <c r="AS68" s="30">
        <f>SUM(AQ65:AQ67) * AQ$16 * AR$16 * AS$13</f>
        <v>8.0441632637703648</v>
      </c>
      <c r="AT68" s="30"/>
      <c r="AU68" s="30"/>
      <c r="AV68" s="30"/>
      <c r="AW68" s="184"/>
      <c r="AX68" s="184"/>
      <c r="AY68" s="184"/>
      <c r="AZ68" s="184"/>
      <c r="BA68" s="184"/>
      <c r="BB68" s="82"/>
    </row>
    <row r="69" spans="1:54" ht="15">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5">
      <c r="A70" s="82"/>
      <c r="B70" s="82"/>
      <c r="C70" s="82"/>
      <c r="D70" s="82"/>
      <c r="E70" s="85" t="s">
        <v>452</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5">
      <c r="A71" s="82"/>
      <c r="B71" s="82"/>
      <c r="C71" s="82"/>
      <c r="D71" s="82"/>
      <c r="E71" s="318" t="s">
        <v>740</v>
      </c>
      <c r="F71" s="82"/>
      <c r="G71" s="2" t="s">
        <v>526</v>
      </c>
      <c r="H71" s="82" t="s">
        <v>454</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4"/>
      <c r="AX71" s="184"/>
      <c r="AY71" s="184"/>
      <c r="AZ71" s="184"/>
      <c r="BA71" s="184"/>
      <c r="BB71" s="82"/>
    </row>
    <row r="72" spans="1:54" ht="15">
      <c r="A72" s="82"/>
      <c r="B72" s="82"/>
      <c r="C72" s="82"/>
      <c r="D72" s="82"/>
      <c r="E72" s="7" t="s">
        <v>453</v>
      </c>
      <c r="F72" s="82"/>
      <c r="G72" s="2" t="s">
        <v>302</v>
      </c>
      <c r="H72" s="82" t="s">
        <v>741</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5">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5">
      <c r="A74" s="82"/>
      <c r="B74" s="82"/>
      <c r="C74" s="82"/>
      <c r="D74" s="82"/>
      <c r="E74" s="428" t="s">
        <v>455</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5">
      <c r="A75" s="82"/>
      <c r="B75" s="82"/>
      <c r="C75" s="82"/>
      <c r="D75" s="82"/>
      <c r="E75" s="346" t="s">
        <v>742</v>
      </c>
      <c r="F75" s="82"/>
      <c r="G75" s="2" t="s">
        <v>526</v>
      </c>
      <c r="H75" s="82" t="s">
        <v>457</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v>
      </c>
      <c r="AQ75" s="9">
        <f>SelectedInputs!AQ377</f>
        <v>0</v>
      </c>
      <c r="AR75" s="30"/>
      <c r="AS75" s="30"/>
      <c r="AT75" s="30"/>
      <c r="AU75" s="30"/>
      <c r="AV75" s="30"/>
      <c r="AW75" s="184"/>
      <c r="AX75" s="184"/>
      <c r="AY75" s="184"/>
      <c r="AZ75" s="184"/>
      <c r="BA75" s="184"/>
      <c r="BB75" s="82"/>
    </row>
    <row r="76" spans="1:54" ht="15">
      <c r="A76" s="82"/>
      <c r="B76" s="82"/>
      <c r="C76" s="82"/>
      <c r="D76" s="82"/>
      <c r="E76" s="346" t="s">
        <v>743</v>
      </c>
      <c r="F76" s="82"/>
      <c r="G76" s="2" t="s">
        <v>526</v>
      </c>
      <c r="H76" s="82" t="s">
        <v>459</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v>
      </c>
      <c r="AQ76" s="9">
        <f>SelectedInputs!AQ378</f>
        <v>0</v>
      </c>
      <c r="AR76" s="30"/>
      <c r="AS76" s="30"/>
      <c r="AT76" s="30"/>
      <c r="AU76" s="30"/>
      <c r="AV76" s="30"/>
      <c r="AW76" s="184"/>
      <c r="AX76" s="184"/>
      <c r="AY76" s="184"/>
      <c r="AZ76" s="184"/>
      <c r="BA76" s="184"/>
      <c r="BB76" s="82"/>
    </row>
    <row r="77" spans="1:54" ht="15">
      <c r="A77" s="82"/>
      <c r="B77" s="82"/>
      <c r="C77" s="82"/>
      <c r="D77" s="82"/>
      <c r="E77" s="346" t="s">
        <v>744</v>
      </c>
      <c r="F77" s="82"/>
      <c r="G77" s="2" t="s">
        <v>526</v>
      </c>
      <c r="H77" s="82" t="s">
        <v>461</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v>
      </c>
      <c r="AQ77" s="9">
        <f>SelectedInputs!AQ379</f>
        <v>0</v>
      </c>
      <c r="AR77" s="30"/>
      <c r="AS77" s="30"/>
      <c r="AT77" s="30"/>
      <c r="AU77" s="30"/>
      <c r="AV77" s="30"/>
      <c r="AW77" s="184"/>
      <c r="AX77" s="184"/>
      <c r="AY77" s="184"/>
      <c r="AZ77" s="184"/>
      <c r="BA77" s="184"/>
      <c r="BB77" s="82"/>
    </row>
    <row r="78" spans="1:54" ht="15">
      <c r="A78" s="82"/>
      <c r="B78" s="82"/>
      <c r="C78" s="82"/>
      <c r="D78" s="82"/>
      <c r="E78" s="346" t="s">
        <v>745</v>
      </c>
      <c r="F78" s="82"/>
      <c r="G78" s="2" t="s">
        <v>526</v>
      </c>
      <c r="H78" s="82" t="s">
        <v>463</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v>
      </c>
      <c r="AQ78" s="9">
        <f>SelectedInputs!AQ380</f>
        <v>0</v>
      </c>
      <c r="AR78" s="30"/>
      <c r="AS78" s="30"/>
      <c r="AT78" s="30"/>
      <c r="AU78" s="30"/>
      <c r="AV78" s="30"/>
      <c r="AW78" s="184"/>
      <c r="AX78" s="184"/>
      <c r="AY78" s="184"/>
      <c r="AZ78" s="184"/>
      <c r="BA78" s="184"/>
      <c r="BB78" s="82"/>
    </row>
    <row r="79" spans="1:54" ht="15">
      <c r="A79" s="82"/>
      <c r="B79" s="82"/>
      <c r="C79" s="82"/>
      <c r="D79" s="82"/>
      <c r="E79" s="293" t="s">
        <v>746</v>
      </c>
      <c r="F79" s="82"/>
      <c r="G79" s="2" t="s">
        <v>302</v>
      </c>
      <c r="H79" s="82" t="s">
        <v>747</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0</v>
      </c>
      <c r="AS79" s="30">
        <f>SUM(AQ75:AQ78)*AQ$13</f>
        <v>0</v>
      </c>
      <c r="AT79" s="30"/>
      <c r="AU79" s="30"/>
      <c r="AV79" s="30"/>
      <c r="AW79" s="184"/>
      <c r="AX79" s="184"/>
      <c r="AY79" s="184"/>
      <c r="AZ79" s="184"/>
      <c r="BA79" s="184"/>
      <c r="BB79" s="82"/>
    </row>
    <row r="80" spans="1:54" ht="15">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5">
      <c r="A81" s="82"/>
      <c r="B81" s="82"/>
      <c r="C81" s="82"/>
      <c r="D81" s="10" t="s">
        <v>748</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5">
      <c r="A82" s="82"/>
      <c r="B82" s="82"/>
      <c r="C82" s="82"/>
      <c r="D82" s="82"/>
      <c r="E82" s="428" t="s">
        <v>749</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5">
      <c r="A83" s="82"/>
      <c r="B83" s="82"/>
      <c r="C83" s="82"/>
      <c r="D83" s="82"/>
      <c r="E83" s="346" t="s">
        <v>750</v>
      </c>
      <c r="F83" s="82"/>
      <c r="G83" s="82" t="s">
        <v>302</v>
      </c>
      <c r="H83" s="82" t="s">
        <v>467</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1.5874440000000001</v>
      </c>
      <c r="AQ83" s="9">
        <f>SelectedInputs!AQ384</f>
        <v>1.66398801</v>
      </c>
      <c r="AR83" s="30"/>
      <c r="AS83" s="30"/>
      <c r="AT83" s="30"/>
      <c r="AU83" s="30"/>
      <c r="AV83" s="30"/>
      <c r="AW83" s="184"/>
      <c r="AX83" s="184"/>
      <c r="AY83" s="184"/>
      <c r="AZ83" s="184"/>
      <c r="BA83" s="184"/>
      <c r="BB83" s="82"/>
    </row>
    <row r="84" spans="1:54" ht="15">
      <c r="A84" s="82"/>
      <c r="B84" s="82"/>
      <c r="C84" s="82"/>
      <c r="D84" s="82"/>
      <c r="E84" s="346" t="s">
        <v>751</v>
      </c>
      <c r="F84" s="82"/>
      <c r="G84" s="82" t="s">
        <v>752</v>
      </c>
      <c r="H84" s="82" t="s">
        <v>469</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0.8</v>
      </c>
      <c r="AQ84" s="9">
        <f>SelectedInputs!AQ385</f>
        <v>0.8</v>
      </c>
      <c r="AR84" s="30"/>
      <c r="AS84" s="30"/>
      <c r="AT84" s="30"/>
      <c r="AU84" s="30"/>
      <c r="AV84" s="30"/>
      <c r="AW84" s="184"/>
      <c r="AX84" s="184"/>
      <c r="AY84" s="184"/>
      <c r="AZ84" s="184"/>
      <c r="BA84" s="184"/>
      <c r="BB84" s="82"/>
    </row>
    <row r="85" spans="1:54" ht="15">
      <c r="A85" s="82"/>
      <c r="B85" s="82"/>
      <c r="C85" s="82"/>
      <c r="D85" s="82"/>
      <c r="E85" s="293" t="s">
        <v>749</v>
      </c>
      <c r="F85" s="82"/>
      <c r="G85" s="82" t="s">
        <v>302</v>
      </c>
      <c r="H85" s="82" t="s">
        <v>753</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0.73355067574662769</v>
      </c>
      <c r="AS85" s="30">
        <f>(AQ83/AQ$13 - AQ84) * AQ$16 * AR$16 * AS$13</f>
        <v>0.61123823219939954</v>
      </c>
      <c r="AT85" s="30"/>
      <c r="AU85" s="30"/>
      <c r="AV85" s="30"/>
      <c r="AW85" s="184"/>
      <c r="AX85" s="184"/>
      <c r="AY85" s="184"/>
      <c r="AZ85" s="184"/>
      <c r="BA85" s="184"/>
      <c r="BB85" s="82"/>
    </row>
    <row r="86" spans="1:54" ht="15">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5">
      <c r="A87" s="82"/>
      <c r="B87" s="82"/>
      <c r="C87" s="82"/>
      <c r="D87" s="82"/>
      <c r="E87" s="428" t="s">
        <v>470</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5">
      <c r="A88" s="82"/>
      <c r="B88" s="82"/>
      <c r="C88" s="82"/>
      <c r="D88" s="82"/>
      <c r="E88" s="346" t="s">
        <v>754</v>
      </c>
      <c r="F88" s="82"/>
      <c r="G88" s="82" t="s">
        <v>302</v>
      </c>
      <c r="H88" s="82" t="s">
        <v>472</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20.869119999999999</v>
      </c>
      <c r="AQ88" s="9">
        <f>SelectedInputs!AQ387</f>
        <v>20.869119999999999</v>
      </c>
      <c r="AR88" s="30"/>
      <c r="AS88" s="30"/>
      <c r="AT88" s="30"/>
      <c r="AU88" s="30"/>
      <c r="AV88" s="30"/>
      <c r="AW88" s="184"/>
      <c r="AX88" s="184"/>
      <c r="AY88" s="184"/>
      <c r="AZ88" s="184"/>
      <c r="BA88" s="184"/>
      <c r="BB88" s="82"/>
    </row>
    <row r="89" spans="1:54" ht="15">
      <c r="A89" s="82"/>
      <c r="B89" s="82"/>
      <c r="C89" s="82"/>
      <c r="D89" s="82"/>
      <c r="E89" s="346" t="s">
        <v>755</v>
      </c>
      <c r="F89" s="82"/>
      <c r="G89" s="82" t="s">
        <v>752</v>
      </c>
      <c r="H89" s="82" t="s">
        <v>474</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13.3</v>
      </c>
      <c r="AQ89" s="9">
        <f>SelectedInputs!AQ388</f>
        <v>13.3</v>
      </c>
      <c r="AR89" s="30"/>
      <c r="AS89" s="30"/>
      <c r="AT89" s="30"/>
      <c r="AU89" s="30"/>
      <c r="AV89" s="30"/>
      <c r="AW89" s="184"/>
      <c r="AX89" s="184"/>
      <c r="AY89" s="184"/>
      <c r="AZ89" s="184"/>
      <c r="BA89" s="184"/>
      <c r="BB89" s="82"/>
    </row>
    <row r="90" spans="1:54" ht="15">
      <c r="A90" s="82"/>
      <c r="B90" s="82"/>
      <c r="C90" s="82"/>
      <c r="D90" s="82"/>
      <c r="E90" s="293" t="s">
        <v>470</v>
      </c>
      <c r="F90" s="82"/>
      <c r="G90" s="82" t="s">
        <v>302</v>
      </c>
      <c r="H90" s="82" t="s">
        <v>756</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5.0895091089673929</v>
      </c>
      <c r="AS90" s="30">
        <f>(AQ88/AQ$13 - AQ89) * AQ$16 * AR$16 * AS$13</f>
        <v>2.1073579389465298</v>
      </c>
      <c r="AT90" s="30"/>
      <c r="AU90" s="30"/>
      <c r="AV90" s="30"/>
      <c r="AW90" s="184"/>
      <c r="AX90" s="184"/>
      <c r="AY90" s="184"/>
      <c r="AZ90" s="184"/>
      <c r="BA90" s="184"/>
      <c r="BB90" s="82"/>
    </row>
    <row r="91" spans="1:54" ht="15">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5">
      <c r="A92" s="82"/>
      <c r="B92" s="82"/>
      <c r="C92" s="82"/>
      <c r="D92" s="82"/>
      <c r="E92" s="428" t="s">
        <v>475</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5">
      <c r="A93" s="82"/>
      <c r="B93" s="82"/>
      <c r="C93" s="82"/>
      <c r="D93" s="82"/>
      <c r="E93" s="346" t="s">
        <v>757</v>
      </c>
      <c r="F93" s="82"/>
      <c r="G93" s="82" t="s">
        <v>302</v>
      </c>
      <c r="H93" s="82" t="s">
        <v>477</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7.7663137200000003</v>
      </c>
      <c r="AQ93" s="9">
        <f>SelectedInputs!AQ390</f>
        <v>11.326099970000001</v>
      </c>
      <c r="AR93" s="30"/>
      <c r="AS93" s="30"/>
      <c r="AT93" s="30"/>
      <c r="AU93" s="30"/>
      <c r="AV93" s="30"/>
      <c r="AW93" s="184"/>
      <c r="AX93" s="184"/>
      <c r="AY93" s="184"/>
      <c r="AZ93" s="184"/>
      <c r="BA93" s="184"/>
      <c r="BB93" s="82"/>
    </row>
    <row r="94" spans="1:54" ht="15">
      <c r="A94" s="82"/>
      <c r="B94" s="82"/>
      <c r="C94" s="82"/>
      <c r="D94" s="82"/>
      <c r="E94" s="346" t="s">
        <v>758</v>
      </c>
      <c r="F94" s="82"/>
      <c r="G94" s="82" t="s">
        <v>752</v>
      </c>
      <c r="H94" s="82" t="s">
        <v>479</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8.9</v>
      </c>
      <c r="AQ94" s="9">
        <f>SelectedInputs!AQ391</f>
        <v>9</v>
      </c>
      <c r="AR94" s="30"/>
      <c r="AS94" s="30"/>
      <c r="AT94" s="30"/>
      <c r="AU94" s="30"/>
      <c r="AV94" s="30"/>
      <c r="AW94" s="184"/>
      <c r="AX94" s="184"/>
      <c r="AY94" s="184"/>
      <c r="AZ94" s="184"/>
      <c r="BA94" s="184"/>
      <c r="BB94" s="82"/>
    </row>
    <row r="95" spans="1:54" ht="15">
      <c r="A95" s="82"/>
      <c r="B95" s="82"/>
      <c r="C95" s="82"/>
      <c r="D95" s="82"/>
      <c r="E95" s="293" t="s">
        <v>475</v>
      </c>
      <c r="F95" s="82"/>
      <c r="G95" s="82" t="s">
        <v>302</v>
      </c>
      <c r="H95" s="82" t="s">
        <v>759</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-4.5706440143658904</v>
      </c>
      <c r="AS95" s="30">
        <f>(AQ93/AQ$13 - AQ94) * AQ$16 * AR$16 * AS$13</f>
        <v>-1.8882078704386205</v>
      </c>
      <c r="AT95" s="30"/>
      <c r="AU95" s="30"/>
      <c r="AV95" s="30"/>
      <c r="AW95" s="184"/>
      <c r="AX95" s="184"/>
      <c r="AY95" s="184"/>
      <c r="AZ95" s="184"/>
      <c r="BA95" s="184"/>
      <c r="BB95" s="82"/>
    </row>
    <row r="96" spans="1:54" ht="15">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5">
      <c r="A97" s="82"/>
      <c r="B97" s="82"/>
      <c r="C97" s="82"/>
      <c r="D97" s="82"/>
      <c r="E97" s="428" t="s">
        <v>480</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5">
      <c r="A98" s="82"/>
      <c r="B98" s="82"/>
      <c r="C98" s="82"/>
      <c r="D98" s="82"/>
      <c r="E98" s="346" t="s">
        <v>760</v>
      </c>
      <c r="F98" s="82"/>
      <c r="G98" s="82" t="s">
        <v>302</v>
      </c>
      <c r="H98" s="82" t="s">
        <v>482</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1.7514029100000001</v>
      </c>
      <c r="AQ98" s="9">
        <f>SelectedInputs!AQ393</f>
        <v>1.8716212100000003</v>
      </c>
      <c r="AR98" s="30"/>
      <c r="AS98" s="30"/>
      <c r="AT98" s="30"/>
      <c r="AU98" s="30"/>
      <c r="AV98" s="30"/>
      <c r="AW98" s="184"/>
      <c r="AX98" s="184"/>
      <c r="AY98" s="184"/>
      <c r="AZ98" s="184"/>
      <c r="BA98" s="184"/>
      <c r="BB98" s="82"/>
    </row>
    <row r="99" spans="1:54" ht="15">
      <c r="A99" s="82"/>
      <c r="B99" s="82"/>
      <c r="C99" s="82"/>
      <c r="D99" s="82"/>
      <c r="E99" s="346" t="s">
        <v>761</v>
      </c>
      <c r="F99" s="82"/>
      <c r="G99" s="82" t="s">
        <v>752</v>
      </c>
      <c r="H99" s="82" t="s">
        <v>484</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4"/>
      <c r="AX99" s="184"/>
      <c r="AY99" s="184"/>
      <c r="AZ99" s="184"/>
      <c r="BA99" s="184"/>
      <c r="BB99" s="82"/>
    </row>
    <row r="100" spans="1:54" ht="15">
      <c r="A100" s="82"/>
      <c r="B100" s="82"/>
      <c r="C100" s="82"/>
      <c r="D100" s="82"/>
      <c r="E100" s="293" t="s">
        <v>480</v>
      </c>
      <c r="F100" s="82"/>
      <c r="G100" s="82" t="s">
        <v>302</v>
      </c>
      <c r="H100" s="82" t="s">
        <v>762</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2.2536689900420246</v>
      </c>
      <c r="AS100" s="30">
        <f>(AQ98/AQ$13 - AQ99) * AQ$16 * AR$16 * AS$13</f>
        <v>2.2186371936629312</v>
      </c>
      <c r="AT100" s="30"/>
      <c r="AU100" s="30"/>
      <c r="AV100" s="30"/>
      <c r="AW100" s="184"/>
      <c r="AX100" s="184"/>
      <c r="AY100" s="184"/>
      <c r="AZ100" s="184"/>
      <c r="BA100" s="184"/>
      <c r="BB100" s="82"/>
    </row>
    <row r="101" spans="1:54" ht="15">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5">
      <c r="A102" s="82"/>
      <c r="B102" s="82"/>
      <c r="C102" s="82"/>
      <c r="D102" s="82"/>
      <c r="E102" s="428" t="s">
        <v>485</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5">
      <c r="A103" s="82"/>
      <c r="B103" s="82"/>
      <c r="C103" s="82"/>
      <c r="D103" s="82"/>
      <c r="E103" s="346" t="s">
        <v>763</v>
      </c>
      <c r="G103" s="82" t="s">
        <v>302</v>
      </c>
      <c r="H103" s="82" t="s">
        <v>487</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1.0168446550000001</v>
      </c>
      <c r="AQ103" s="9">
        <f>SelectedInputs!AQ396</f>
        <v>0.77735213000000003</v>
      </c>
      <c r="AR103" s="30"/>
      <c r="AS103" s="30"/>
      <c r="AT103" s="30"/>
      <c r="AU103" s="30"/>
      <c r="AV103" s="30"/>
      <c r="AW103" s="184"/>
      <c r="AX103" s="184"/>
      <c r="AY103" s="184"/>
      <c r="AZ103" s="184"/>
      <c r="BA103" s="184"/>
      <c r="BB103" s="82"/>
    </row>
    <row r="104" spans="1:54" ht="15">
      <c r="A104" s="82"/>
      <c r="B104" s="82"/>
      <c r="C104" s="82"/>
      <c r="D104" s="82"/>
      <c r="E104" s="346" t="s">
        <v>764</v>
      </c>
      <c r="G104" s="82" t="s">
        <v>752</v>
      </c>
      <c r="H104" s="82" t="s">
        <v>489</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4"/>
      <c r="AX104" s="184"/>
      <c r="AY104" s="184"/>
      <c r="AZ104" s="184"/>
      <c r="BA104" s="184"/>
      <c r="BB104" s="82"/>
    </row>
    <row r="105" spans="1:54" ht="15">
      <c r="A105" s="82"/>
      <c r="B105" s="82"/>
      <c r="C105" s="82"/>
      <c r="D105" s="82"/>
      <c r="E105" s="293" t="s">
        <v>485</v>
      </c>
      <c r="F105" s="82"/>
      <c r="G105" s="82" t="s">
        <v>302</v>
      </c>
      <c r="H105" s="82" t="s">
        <v>765</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1.3084546414642424</v>
      </c>
      <c r="AS105" s="30">
        <f>(AQ103/AQ$13 - AQ104) * AQ$16 * AR$16 * AS$13</f>
        <v>0.92148044645802119</v>
      </c>
      <c r="AT105" s="30"/>
      <c r="AU105" s="30"/>
      <c r="AV105" s="30"/>
      <c r="AW105" s="184"/>
      <c r="AX105" s="184"/>
      <c r="AY105" s="184"/>
      <c r="AZ105" s="184"/>
      <c r="BA105" s="184"/>
      <c r="BB105" s="82"/>
    </row>
    <row r="106" spans="1:54" ht="15">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5">
      <c r="A107" s="82"/>
      <c r="B107" s="82"/>
      <c r="C107" s="82"/>
      <c r="D107" s="82"/>
      <c r="E107" s="428" t="s">
        <v>490</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5">
      <c r="A108" s="82"/>
      <c r="B108" s="82"/>
      <c r="C108" s="82"/>
      <c r="D108" s="82"/>
      <c r="E108" s="346" t="s">
        <v>766</v>
      </c>
      <c r="G108" s="82" t="s">
        <v>302</v>
      </c>
      <c r="H108" s="82" t="s">
        <v>492</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3.4057440000000001E-2</v>
      </c>
      <c r="AQ108" s="9">
        <f>SelectedInputs!AQ399</f>
        <v>3.6031769999999998E-2</v>
      </c>
      <c r="AR108" s="30"/>
      <c r="AS108" s="30"/>
      <c r="AT108" s="30"/>
      <c r="AU108" s="30"/>
      <c r="AV108" s="30"/>
      <c r="AW108" s="184"/>
      <c r="AX108" s="184"/>
      <c r="AY108" s="184"/>
      <c r="AZ108" s="184"/>
      <c r="BA108" s="184"/>
      <c r="BB108" s="82"/>
    </row>
    <row r="109" spans="1:54" ht="15">
      <c r="A109" s="82"/>
      <c r="B109" s="82"/>
      <c r="C109" s="82"/>
      <c r="D109" s="82"/>
      <c r="E109" s="346" t="s">
        <v>767</v>
      </c>
      <c r="G109" s="82" t="s">
        <v>752</v>
      </c>
      <c r="H109" s="82" t="s">
        <v>494</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4"/>
      <c r="AX109" s="184"/>
      <c r="AY109" s="184"/>
      <c r="AZ109" s="184"/>
      <c r="BA109" s="184"/>
      <c r="BB109" s="82"/>
    </row>
    <row r="110" spans="1:54" ht="15">
      <c r="A110" s="82"/>
      <c r="B110" s="82"/>
      <c r="C110" s="82"/>
      <c r="D110" s="82"/>
      <c r="E110" s="293" t="s">
        <v>490</v>
      </c>
      <c r="F110" s="82"/>
      <c r="G110" s="82" t="s">
        <v>302</v>
      </c>
      <c r="H110" s="82" t="s">
        <v>768</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4.3824408404241399E-2</v>
      </c>
      <c r="AS110" s="30">
        <f>(AQ108/AQ$13 - AQ109) * AQ$16 * AR$16 * AS$13</f>
        <v>4.2712395354564385E-2</v>
      </c>
      <c r="AT110" s="30"/>
      <c r="AU110" s="30"/>
      <c r="AV110" s="30"/>
      <c r="AW110" s="184"/>
      <c r="AX110" s="184"/>
      <c r="AY110" s="184"/>
      <c r="AZ110" s="184"/>
      <c r="BA110" s="184"/>
      <c r="BB110" s="82"/>
    </row>
    <row r="111" spans="1:54" ht="15">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5">
      <c r="A112" s="82"/>
      <c r="B112" s="82"/>
      <c r="C112" s="82"/>
      <c r="D112" s="82"/>
      <c r="E112" s="428" t="s">
        <v>495</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5">
      <c r="A113" s="82"/>
      <c r="B113" s="82"/>
      <c r="C113" s="82"/>
      <c r="D113" s="82"/>
      <c r="E113" s="346" t="s">
        <v>769</v>
      </c>
      <c r="F113" s="82"/>
      <c r="G113" s="82" t="s">
        <v>302</v>
      </c>
      <c r="H113" s="82" t="s">
        <v>497</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4"/>
      <c r="AX113" s="184"/>
      <c r="AY113" s="184"/>
      <c r="AZ113" s="184"/>
      <c r="BA113" s="184"/>
      <c r="BB113" s="82"/>
    </row>
    <row r="114" spans="1:54" ht="15">
      <c r="A114" s="82"/>
      <c r="B114" s="82"/>
      <c r="C114" s="82"/>
      <c r="D114" s="82"/>
      <c r="E114" s="346" t="s">
        <v>770</v>
      </c>
      <c r="F114" s="82"/>
      <c r="G114" s="82" t="s">
        <v>752</v>
      </c>
      <c r="H114" s="82" t="s">
        <v>499</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4"/>
      <c r="AX114" s="184"/>
      <c r="AY114" s="184"/>
      <c r="AZ114" s="184"/>
      <c r="BA114" s="184"/>
      <c r="BB114" s="82"/>
    </row>
    <row r="115" spans="1:54" ht="15">
      <c r="A115" s="82"/>
      <c r="B115" s="82"/>
      <c r="C115" s="82"/>
      <c r="D115" s="82"/>
      <c r="E115" s="293" t="s">
        <v>495</v>
      </c>
      <c r="F115" s="82"/>
      <c r="G115" s="82" t="s">
        <v>302</v>
      </c>
      <c r="H115" s="82" t="s">
        <v>771</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5">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5">
      <c r="A117" s="82"/>
      <c r="B117" s="82"/>
      <c r="C117" s="82"/>
      <c r="D117" s="82"/>
      <c r="E117" s="428" t="s">
        <v>500</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5">
      <c r="A118" s="82"/>
      <c r="B118" s="82"/>
      <c r="C118" s="82"/>
      <c r="D118" s="82"/>
      <c r="E118" s="346" t="s">
        <v>772</v>
      </c>
      <c r="F118" s="82"/>
      <c r="G118" s="82" t="s">
        <v>302</v>
      </c>
      <c r="H118" s="82" t="s">
        <v>502</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4"/>
      <c r="AX118" s="184"/>
      <c r="AY118" s="184"/>
      <c r="AZ118" s="184"/>
      <c r="BA118" s="184"/>
      <c r="BB118" s="82"/>
    </row>
    <row r="119" spans="1:54" ht="15">
      <c r="A119" s="82"/>
      <c r="B119" s="82"/>
      <c r="C119" s="82"/>
      <c r="D119" s="82"/>
      <c r="E119" s="346" t="s">
        <v>773</v>
      </c>
      <c r="F119" s="82"/>
      <c r="G119" s="82" t="s">
        <v>752</v>
      </c>
      <c r="H119" s="82" t="s">
        <v>504</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4"/>
      <c r="AX119" s="184"/>
      <c r="AY119" s="184"/>
      <c r="AZ119" s="184"/>
      <c r="BA119" s="184"/>
      <c r="BB119" s="82"/>
    </row>
    <row r="120" spans="1:54" ht="15">
      <c r="A120" s="82"/>
      <c r="B120" s="82"/>
      <c r="C120" s="82"/>
      <c r="D120" s="82"/>
      <c r="E120" s="293" t="s">
        <v>500</v>
      </c>
      <c r="F120" s="82"/>
      <c r="G120" s="82" t="s">
        <v>302</v>
      </c>
      <c r="H120" s="82" t="s">
        <v>774</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5">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5">
      <c r="A122" s="82"/>
      <c r="B122" s="82"/>
      <c r="C122" s="82"/>
      <c r="D122" s="82"/>
      <c r="E122" s="428" t="s">
        <v>505</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5">
      <c r="A123" s="82"/>
      <c r="B123" s="82"/>
      <c r="C123" s="82"/>
      <c r="D123" s="82"/>
      <c r="E123" s="346" t="s">
        <v>775</v>
      </c>
      <c r="F123" s="82"/>
      <c r="G123" s="82" t="s">
        <v>302</v>
      </c>
      <c r="H123" s="82" t="s">
        <v>507</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4"/>
      <c r="AX123" s="184"/>
      <c r="AY123" s="184"/>
      <c r="AZ123" s="184"/>
      <c r="BA123" s="184"/>
      <c r="BB123" s="82"/>
    </row>
    <row r="124" spans="1:54" ht="15">
      <c r="A124" s="82"/>
      <c r="B124" s="82"/>
      <c r="C124" s="82"/>
      <c r="D124" s="82"/>
      <c r="E124" s="346" t="s">
        <v>776</v>
      </c>
      <c r="F124" s="82"/>
      <c r="G124" s="82" t="s">
        <v>752</v>
      </c>
      <c r="H124" s="82" t="s">
        <v>509</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4"/>
      <c r="AX124" s="184"/>
      <c r="AY124" s="184"/>
      <c r="AZ124" s="184"/>
      <c r="BA124" s="184"/>
      <c r="BB124" s="82"/>
    </row>
    <row r="125" spans="1:54" ht="15">
      <c r="A125" s="82"/>
      <c r="B125" s="82"/>
      <c r="C125" s="82"/>
      <c r="D125" s="82"/>
      <c r="E125" s="293" t="s">
        <v>505</v>
      </c>
      <c r="F125" s="82"/>
      <c r="G125" s="82" t="s">
        <v>302</v>
      </c>
      <c r="H125" s="82" t="s">
        <v>777</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5">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5">
      <c r="A127" s="82"/>
      <c r="B127" s="82"/>
      <c r="C127" s="82"/>
      <c r="D127" s="82"/>
      <c r="E127" s="428" t="s">
        <v>510</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5">
      <c r="A128" s="82"/>
      <c r="B128" s="82"/>
      <c r="C128" s="82"/>
      <c r="D128" s="82"/>
      <c r="E128" s="346" t="s">
        <v>778</v>
      </c>
      <c r="F128" s="82"/>
      <c r="G128" s="82" t="s">
        <v>302</v>
      </c>
      <c r="H128" s="82" t="s">
        <v>512</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0.55616246000000003</v>
      </c>
      <c r="AQ128" s="9">
        <f>SelectedInputs!AQ411</f>
        <v>1.1573850599999957</v>
      </c>
      <c r="AR128" s="7"/>
      <c r="AS128" s="30"/>
      <c r="AT128" s="30"/>
      <c r="AU128" s="30"/>
      <c r="AV128" s="30"/>
      <c r="AW128" s="184"/>
      <c r="AX128" s="184"/>
      <c r="AY128" s="184"/>
      <c r="AZ128" s="184"/>
      <c r="BA128" s="184"/>
      <c r="BB128" s="82"/>
    </row>
    <row r="129" spans="1:54" ht="15">
      <c r="A129" s="82"/>
      <c r="B129" s="82"/>
      <c r="C129" s="82"/>
      <c r="D129" s="82"/>
      <c r="E129" s="346" t="s">
        <v>779</v>
      </c>
      <c r="F129" s="82"/>
      <c r="G129" s="82" t="s">
        <v>302</v>
      </c>
      <c r="H129" s="82" t="s">
        <v>780</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5">
      <c r="A130" s="82"/>
      <c r="B130" s="82"/>
      <c r="C130" s="82"/>
      <c r="D130" s="82"/>
      <c r="E130" s="293" t="s">
        <v>510</v>
      </c>
      <c r="F130" s="82"/>
      <c r="G130" s="82" t="s">
        <v>302</v>
      </c>
      <c r="H130" s="82" t="s">
        <v>781</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0.71565833445342841</v>
      </c>
      <c r="AS130" s="30">
        <f>(AQ128/AQ$13) * AQ$16 * AR$16 * AS$13 + AS129</f>
        <v>1.3719750170526188</v>
      </c>
      <c r="AT130" s="30"/>
      <c r="AU130" s="30"/>
      <c r="AV130" s="30"/>
      <c r="AW130" s="184"/>
      <c r="AX130" s="184"/>
      <c r="AY130" s="184"/>
      <c r="AZ130" s="184"/>
      <c r="BA130" s="184"/>
      <c r="BB130" s="82"/>
    </row>
    <row r="131" spans="1:54" ht="15">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5">
      <c r="A132" s="82"/>
      <c r="B132" s="82"/>
      <c r="C132" s="82"/>
      <c r="D132" s="82"/>
      <c r="E132" s="428" t="s">
        <v>782</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5">
      <c r="A133" s="82"/>
      <c r="B133" s="82"/>
      <c r="C133" s="82"/>
      <c r="D133" s="82"/>
      <c r="E133" s="346" t="s">
        <v>783</v>
      </c>
      <c r="F133" s="82"/>
      <c r="G133" s="82" t="s">
        <v>302</v>
      </c>
      <c r="H133" s="82" t="s">
        <v>515</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0.62224200833333332</v>
      </c>
      <c r="AP133" s="8">
        <f>SelectedInputs!AP413</f>
        <v>2.2745069449999997</v>
      </c>
      <c r="AQ133" s="9">
        <f>SelectedInputs!AQ413</f>
        <v>1.6846693333333343E-2</v>
      </c>
      <c r="AR133" s="30"/>
      <c r="AS133" s="30"/>
      <c r="AT133" s="30"/>
      <c r="AU133" s="30"/>
      <c r="AV133" s="30"/>
      <c r="AW133" s="184"/>
      <c r="AX133" s="184"/>
      <c r="AY133" s="184"/>
      <c r="AZ133" s="184"/>
      <c r="BA133" s="184"/>
      <c r="BB133" s="82"/>
    </row>
    <row r="134" spans="1:54" ht="15">
      <c r="A134" s="82"/>
      <c r="B134" s="82"/>
      <c r="C134" s="82"/>
      <c r="D134" s="82"/>
      <c r="E134" s="346" t="s">
        <v>784</v>
      </c>
      <c r="F134" s="82"/>
      <c r="G134" s="82" t="s">
        <v>302</v>
      </c>
      <c r="H134" s="82" t="s">
        <v>517</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1.3628950000000001E-2</v>
      </c>
      <c r="AP134" s="8">
        <f>SelectedInputs!AP414</f>
        <v>6.9366575E-2</v>
      </c>
      <c r="AQ134" s="9">
        <f>SelectedInputs!AQ414</f>
        <v>7.409898333333334E-2</v>
      </c>
      <c r="AR134" s="30"/>
      <c r="AS134" s="30"/>
      <c r="AT134" s="30"/>
      <c r="AU134" s="30"/>
      <c r="AV134" s="30"/>
      <c r="AW134" s="184"/>
      <c r="AX134" s="184"/>
      <c r="AY134" s="184"/>
      <c r="AZ134" s="184"/>
      <c r="BA134" s="184"/>
      <c r="BB134" s="82"/>
    </row>
    <row r="135" spans="1:54" ht="15">
      <c r="A135" s="82"/>
      <c r="B135" s="82"/>
      <c r="C135" s="82"/>
      <c r="D135" s="82"/>
      <c r="E135" s="293" t="s">
        <v>513</v>
      </c>
      <c r="F135" s="82"/>
      <c r="G135" s="82" t="s">
        <v>302</v>
      </c>
      <c r="H135" s="82" t="s">
        <v>785</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0.85536762507014652</v>
      </c>
      <c r="AS135" s="30">
        <f>((AP133-AP134))/AP$13*AP$16*AQ$16*AR$16*AS$13</f>
        <v>3.0435477129045792</v>
      </c>
      <c r="AT135" s="30">
        <f>((AQ133-AQ134))/AQ$13*AQ$16*AR$16*AS$16*AT$13</f>
        <v>-7.2436987381309395E-2</v>
      </c>
      <c r="AU135" s="30"/>
      <c r="AV135" s="30"/>
      <c r="AW135" s="184"/>
      <c r="AX135" s="184"/>
      <c r="AY135" s="184"/>
      <c r="AZ135" s="184"/>
      <c r="BA135" s="184"/>
      <c r="BB135" s="82"/>
    </row>
    <row r="136" spans="1:54" ht="15">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5">
      <c r="A137" s="82"/>
      <c r="B137" s="82"/>
      <c r="C137" s="82"/>
      <c r="D137" s="82"/>
      <c r="E137" s="428" t="s">
        <v>518</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5">
      <c r="A138" s="82"/>
      <c r="B138" s="82"/>
      <c r="C138" s="82"/>
      <c r="D138" s="82"/>
      <c r="E138" s="346" t="s">
        <v>519</v>
      </c>
      <c r="F138" s="82"/>
      <c r="G138" s="82" t="s">
        <v>302</v>
      </c>
      <c r="H138" s="82" t="s">
        <v>520</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4"/>
      <c r="AX138" s="184"/>
      <c r="AY138" s="184"/>
      <c r="AZ138" s="184"/>
      <c r="BA138" s="184"/>
      <c r="BB138" s="82"/>
    </row>
    <row r="139" spans="1:54" ht="15">
      <c r="A139" s="82"/>
      <c r="B139" s="82"/>
      <c r="C139" s="82"/>
      <c r="D139" s="82"/>
      <c r="E139" s="346" t="s">
        <v>521</v>
      </c>
      <c r="F139" s="82"/>
      <c r="G139" s="82" t="s">
        <v>302</v>
      </c>
      <c r="H139" s="82" t="s">
        <v>522</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4"/>
      <c r="AX139" s="184"/>
      <c r="AY139" s="184"/>
      <c r="AZ139" s="184"/>
      <c r="BA139" s="184"/>
      <c r="BB139" s="82"/>
    </row>
    <row r="140" spans="1:54" ht="15">
      <c r="A140" s="82"/>
      <c r="B140" s="82"/>
      <c r="C140" s="82"/>
      <c r="D140" s="82"/>
      <c r="E140" s="346" t="s">
        <v>523</v>
      </c>
      <c r="F140" s="82"/>
      <c r="G140" s="82" t="s">
        <v>302</v>
      </c>
      <c r="H140" s="82" t="s">
        <v>524</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4"/>
      <c r="AX140" s="184"/>
      <c r="AY140" s="184"/>
      <c r="AZ140" s="184"/>
      <c r="BA140" s="184"/>
      <c r="BB140" s="82"/>
    </row>
    <row r="141" spans="1:54" ht="15">
      <c r="A141" s="82"/>
      <c r="B141" s="82"/>
      <c r="C141" s="82"/>
      <c r="D141" s="82"/>
      <c r="E141" s="293" t="s">
        <v>786</v>
      </c>
      <c r="F141" s="82"/>
      <c r="G141" s="82" t="s">
        <v>302</v>
      </c>
      <c r="H141" s="82" t="s">
        <v>787</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5">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5">
      <c r="A143" s="82"/>
      <c r="B143" s="82"/>
      <c r="C143" s="28" t="s">
        <v>788</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5">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5">
      <c r="A145" s="82"/>
      <c r="B145" s="82"/>
      <c r="C145" s="82"/>
      <c r="D145" s="82"/>
      <c r="E145" s="259" t="s">
        <v>394</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5">
      <c r="A146" s="82"/>
      <c r="B146" s="82"/>
      <c r="C146" s="82"/>
      <c r="D146" s="82"/>
      <c r="E146" s="346" t="s">
        <v>789</v>
      </c>
      <c r="F146" s="82"/>
      <c r="G146" s="2" t="s">
        <v>302</v>
      </c>
      <c r="H146" s="82" t="s">
        <v>790</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1.8436382396153808</v>
      </c>
      <c r="AS146" s="30">
        <f>AS26</f>
        <v>1.9774955726718106</v>
      </c>
      <c r="AT146" s="30">
        <f>AT26</f>
        <v>2.1106426327091921</v>
      </c>
      <c r="AU146" s="30">
        <f>AU26</f>
        <v>2.2458462197069466</v>
      </c>
      <c r="AV146" s="30">
        <f>AV26</f>
        <v>2.3874250251213769</v>
      </c>
      <c r="AW146" s="184"/>
      <c r="AX146" s="184"/>
      <c r="AY146" s="184"/>
      <c r="AZ146" s="184"/>
      <c r="BA146" s="184"/>
      <c r="BB146" s="82"/>
    </row>
    <row r="147" spans="1:54" ht="15">
      <c r="A147" s="82"/>
      <c r="B147" s="82"/>
      <c r="C147" s="82"/>
      <c r="D147" s="82"/>
      <c r="E147" s="346" t="s">
        <v>791</v>
      </c>
      <c r="F147" s="82"/>
      <c r="G147" s="2" t="s">
        <v>302</v>
      </c>
      <c r="H147" s="82" t="s">
        <v>709</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10.92761890233416</v>
      </c>
      <c r="AS147" s="30">
        <f>AS33</f>
        <v>33.143241726016555</v>
      </c>
      <c r="AT147" s="30"/>
      <c r="AU147" s="30"/>
      <c r="AV147" s="30"/>
      <c r="AW147" s="184"/>
      <c r="AX147" s="184"/>
      <c r="AY147" s="184"/>
      <c r="AZ147" s="184"/>
      <c r="BA147" s="184"/>
      <c r="BB147" s="82"/>
    </row>
    <row r="148" spans="1:54" ht="15">
      <c r="A148" s="82"/>
      <c r="B148" s="82"/>
      <c r="C148" s="82"/>
      <c r="D148" s="82"/>
      <c r="E148" s="346" t="s">
        <v>714</v>
      </c>
      <c r="F148" s="82"/>
      <c r="G148" s="2" t="s">
        <v>302</v>
      </c>
      <c r="H148" s="82" t="s">
        <v>717</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-1.4428176689494179</v>
      </c>
      <c r="AS148" s="30"/>
      <c r="AT148" s="30"/>
      <c r="AU148" s="30"/>
      <c r="AV148" s="30"/>
      <c r="AW148" s="184"/>
      <c r="AX148" s="184"/>
      <c r="AY148" s="184"/>
      <c r="AZ148" s="184"/>
      <c r="BA148" s="184"/>
      <c r="BB148" s="82"/>
    </row>
    <row r="149" spans="1:54" ht="15">
      <c r="A149" s="82"/>
      <c r="B149" s="82"/>
      <c r="C149" s="82"/>
      <c r="D149" s="82"/>
      <c r="E149" s="346" t="s">
        <v>432</v>
      </c>
      <c r="F149" s="82"/>
      <c r="G149" s="2" t="s">
        <v>302</v>
      </c>
      <c r="H149" s="82" t="s">
        <v>727</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5">
      <c r="A150" s="82"/>
      <c r="B150" s="82"/>
      <c r="C150" s="82"/>
      <c r="D150" s="82"/>
      <c r="E150" s="259" t="s">
        <v>792</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5">
      <c r="A151" s="82"/>
      <c r="B151" s="82"/>
      <c r="C151" s="82"/>
      <c r="D151" s="82"/>
      <c r="E151" s="346" t="s">
        <v>793</v>
      </c>
      <c r="G151" s="2" t="s">
        <v>302</v>
      </c>
      <c r="H151" s="82" t="s">
        <v>794</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0.87418609570518735</v>
      </c>
      <c r="AS151" s="30">
        <f>AS62</f>
        <v>2.121332078791192</v>
      </c>
      <c r="AT151" s="30"/>
      <c r="AU151" s="30"/>
      <c r="AV151" s="30"/>
      <c r="AW151" s="184"/>
      <c r="AX151" s="184"/>
      <c r="AY151" s="184"/>
      <c r="AZ151" s="184"/>
      <c r="BA151" s="184"/>
      <c r="BB151" s="82"/>
    </row>
    <row r="152" spans="1:54" ht="15">
      <c r="A152" s="82"/>
      <c r="B152" s="82"/>
      <c r="C152" s="82"/>
      <c r="D152" s="82"/>
      <c r="E152" s="346" t="s">
        <v>795</v>
      </c>
      <c r="G152" s="2" t="s">
        <v>302</v>
      </c>
      <c r="H152" s="82" t="s">
        <v>796</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7.5332366673961726</v>
      </c>
      <c r="AS152" s="30">
        <f>AS68</f>
        <v>8.0441632637703648</v>
      </c>
      <c r="AT152" s="30"/>
      <c r="AU152" s="30"/>
      <c r="AV152" s="30"/>
      <c r="AW152" s="184"/>
      <c r="AX152" s="184"/>
      <c r="AY152" s="184"/>
      <c r="AZ152" s="184"/>
      <c r="BA152" s="184"/>
      <c r="BB152" s="82"/>
    </row>
    <row r="153" spans="1:54" ht="15">
      <c r="A153" s="82"/>
      <c r="B153" s="82"/>
      <c r="C153" s="82"/>
      <c r="D153" s="82"/>
      <c r="E153" s="346" t="s">
        <v>797</v>
      </c>
      <c r="G153" s="2" t="s">
        <v>302</v>
      </c>
      <c r="H153" s="82" t="s">
        <v>798</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5">
      <c r="A154" s="82"/>
      <c r="B154" s="82"/>
      <c r="C154" s="82"/>
      <c r="D154" s="82"/>
      <c r="E154" s="346" t="s">
        <v>746</v>
      </c>
      <c r="G154" s="2" t="s">
        <v>302</v>
      </c>
      <c r="H154" s="82" t="s">
        <v>799</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0</v>
      </c>
      <c r="AS154" s="30">
        <f>AS79</f>
        <v>0</v>
      </c>
      <c r="AT154" s="30"/>
      <c r="AU154" s="30"/>
      <c r="AV154" s="30"/>
      <c r="AW154" s="184"/>
      <c r="AX154" s="184"/>
      <c r="AY154" s="184"/>
      <c r="AZ154" s="184"/>
      <c r="BA154" s="184"/>
      <c r="BB154" s="82"/>
    </row>
    <row r="155" spans="1:54" ht="15">
      <c r="A155" s="82"/>
      <c r="B155" s="82"/>
      <c r="C155" s="82"/>
      <c r="D155" s="82"/>
      <c r="E155" s="259" t="s">
        <v>800</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5">
      <c r="A156" s="82"/>
      <c r="B156" s="82"/>
      <c r="C156" s="82"/>
      <c r="D156" s="82"/>
      <c r="E156" s="346" t="s">
        <v>465</v>
      </c>
      <c r="F156" s="82"/>
      <c r="G156" s="2" t="s">
        <v>302</v>
      </c>
      <c r="H156" s="82" t="s">
        <v>753</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0.73355067574662769</v>
      </c>
      <c r="AS156" s="30">
        <f>AS85</f>
        <v>0.61123823219939954</v>
      </c>
      <c r="AT156" s="30"/>
      <c r="AU156" s="30"/>
      <c r="AV156" s="30"/>
      <c r="AW156" s="184"/>
      <c r="AX156" s="184"/>
      <c r="AY156" s="184"/>
      <c r="AZ156" s="184"/>
      <c r="BA156" s="184"/>
      <c r="BB156" s="82"/>
    </row>
    <row r="157" spans="1:54" ht="15">
      <c r="A157" s="82"/>
      <c r="B157" s="82"/>
      <c r="C157" s="82"/>
      <c r="D157" s="82"/>
      <c r="E157" s="346" t="s">
        <v>470</v>
      </c>
      <c r="F157" s="82"/>
      <c r="G157" s="2" t="s">
        <v>302</v>
      </c>
      <c r="H157" s="82" t="s">
        <v>756</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5.0895091089673929</v>
      </c>
      <c r="AS157" s="30">
        <f>AS90</f>
        <v>2.1073579389465298</v>
      </c>
      <c r="AT157" s="30"/>
      <c r="AU157" s="30"/>
      <c r="AV157" s="30"/>
      <c r="AW157" s="184"/>
      <c r="AX157" s="184"/>
      <c r="AY157" s="184"/>
      <c r="AZ157" s="184"/>
      <c r="BA157" s="184"/>
      <c r="BB157" s="82"/>
    </row>
    <row r="158" spans="1:54" ht="15">
      <c r="A158" s="82"/>
      <c r="B158" s="82"/>
      <c r="C158" s="82"/>
      <c r="D158" s="82"/>
      <c r="E158" s="346" t="s">
        <v>475</v>
      </c>
      <c r="F158" s="82"/>
      <c r="G158" s="2" t="s">
        <v>302</v>
      </c>
      <c r="H158" s="82" t="s">
        <v>759</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-4.5706440143658904</v>
      </c>
      <c r="AS158" s="30">
        <f>AS95</f>
        <v>-1.8882078704386205</v>
      </c>
      <c r="AT158" s="30"/>
      <c r="AU158" s="30"/>
      <c r="AV158" s="30"/>
      <c r="AW158" s="184"/>
      <c r="AX158" s="184"/>
      <c r="AY158" s="184"/>
      <c r="AZ158" s="184"/>
      <c r="BA158" s="184"/>
      <c r="BB158" s="82"/>
    </row>
    <row r="159" spans="1:54" ht="15">
      <c r="A159" s="82"/>
      <c r="B159" s="82"/>
      <c r="C159" s="82"/>
      <c r="D159" s="82"/>
      <c r="E159" s="346" t="s">
        <v>480</v>
      </c>
      <c r="F159" s="82"/>
      <c r="G159" s="2" t="s">
        <v>302</v>
      </c>
      <c r="H159" s="82" t="s">
        <v>762</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2.2536689900420246</v>
      </c>
      <c r="AS159" s="30">
        <f>AS100</f>
        <v>2.2186371936629312</v>
      </c>
      <c r="AT159" s="30"/>
      <c r="AU159" s="30"/>
      <c r="AV159" s="30"/>
      <c r="AW159" s="184"/>
      <c r="AX159" s="184"/>
      <c r="AY159" s="184"/>
      <c r="AZ159" s="184"/>
      <c r="BA159" s="184"/>
      <c r="BB159" s="82"/>
    </row>
    <row r="160" spans="1:54" ht="15">
      <c r="A160" s="82"/>
      <c r="B160" s="82"/>
      <c r="C160" s="82"/>
      <c r="D160" s="82"/>
      <c r="E160" s="346" t="s">
        <v>485</v>
      </c>
      <c r="F160" s="82"/>
      <c r="G160" s="2" t="s">
        <v>302</v>
      </c>
      <c r="H160" s="82" t="s">
        <v>765</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1.3084546414642424</v>
      </c>
      <c r="AS160" s="30">
        <f>AS105</f>
        <v>0.92148044645802119</v>
      </c>
      <c r="AT160" s="30"/>
      <c r="AU160" s="30"/>
      <c r="AV160" s="30"/>
      <c r="AW160" s="184"/>
      <c r="AX160" s="184"/>
      <c r="AY160" s="184"/>
      <c r="AZ160" s="184"/>
      <c r="BA160" s="184"/>
      <c r="BB160" s="82"/>
    </row>
    <row r="161" spans="1:54" ht="15">
      <c r="A161" s="82"/>
      <c r="B161" s="82"/>
      <c r="C161" s="82"/>
      <c r="D161" s="82"/>
      <c r="E161" s="346" t="s">
        <v>801</v>
      </c>
      <c r="F161" s="82"/>
      <c r="G161" s="2" t="s">
        <v>302</v>
      </c>
      <c r="H161" s="82" t="s">
        <v>768</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4.3824408404241399E-2</v>
      </c>
      <c r="AS161" s="30">
        <f>AS110</f>
        <v>4.2712395354564385E-2</v>
      </c>
      <c r="AT161" s="30"/>
      <c r="AU161" s="30"/>
      <c r="AV161" s="30"/>
      <c r="AW161" s="184"/>
      <c r="AX161" s="184"/>
      <c r="AY161" s="184"/>
      <c r="AZ161" s="184"/>
      <c r="BA161" s="184"/>
      <c r="BB161" s="82"/>
    </row>
    <row r="162" spans="1:54" ht="15">
      <c r="A162" s="82"/>
      <c r="B162" s="82"/>
      <c r="C162" s="82"/>
      <c r="D162" s="82"/>
      <c r="E162" s="346" t="s">
        <v>802</v>
      </c>
      <c r="F162" s="82"/>
      <c r="G162" s="2" t="s">
        <v>302</v>
      </c>
      <c r="H162" s="82" t="s">
        <v>771</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5">
      <c r="A163" s="82"/>
      <c r="B163" s="82"/>
      <c r="C163" s="82"/>
      <c r="D163" s="82"/>
      <c r="E163" s="346" t="s">
        <v>500</v>
      </c>
      <c r="F163" s="82"/>
      <c r="G163" s="2" t="s">
        <v>302</v>
      </c>
      <c r="H163" s="82" t="s">
        <v>774</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5">
      <c r="A164" s="82"/>
      <c r="B164" s="82"/>
      <c r="C164" s="82"/>
      <c r="D164" s="82"/>
      <c r="E164" s="346" t="s">
        <v>505</v>
      </c>
      <c r="F164" s="82"/>
      <c r="G164" s="2" t="s">
        <v>302</v>
      </c>
      <c r="H164" s="82" t="s">
        <v>777</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5">
      <c r="A165" s="82"/>
      <c r="B165" s="82"/>
      <c r="C165" s="82"/>
      <c r="D165" s="82"/>
      <c r="E165" s="346" t="s">
        <v>803</v>
      </c>
      <c r="F165" s="82"/>
      <c r="G165" s="2" t="s">
        <v>302</v>
      </c>
      <c r="H165" s="82" t="s">
        <v>781</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0.71565833445342841</v>
      </c>
      <c r="AS165" s="30">
        <f>AS130</f>
        <v>1.3719750170526188</v>
      </c>
      <c r="AT165" s="30"/>
      <c r="AU165" s="30"/>
      <c r="AV165" s="30"/>
      <c r="AW165" s="184"/>
      <c r="AX165" s="184"/>
      <c r="AY165" s="184"/>
      <c r="AZ165" s="184"/>
      <c r="BA165" s="184"/>
      <c r="BB165" s="82"/>
    </row>
    <row r="166" spans="1:54" ht="15">
      <c r="A166" s="82"/>
      <c r="B166" s="82"/>
      <c r="C166" s="82"/>
      <c r="D166" s="82"/>
      <c r="E166" s="346" t="s">
        <v>804</v>
      </c>
      <c r="F166" s="82"/>
      <c r="G166" s="2" t="s">
        <v>302</v>
      </c>
      <c r="H166" s="82" t="s">
        <v>785</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0.85536762507014652</v>
      </c>
      <c r="AS166" s="30">
        <f>AS135</f>
        <v>3.0435477129045792</v>
      </c>
      <c r="AT166" s="30">
        <f>AT135</f>
        <v>-7.2436987381309395E-2</v>
      </c>
      <c r="AU166" s="30"/>
      <c r="AV166" s="30"/>
      <c r="AW166" s="184"/>
      <c r="AX166" s="184"/>
      <c r="AY166" s="184"/>
      <c r="AZ166" s="184"/>
      <c r="BA166" s="184"/>
      <c r="BB166" s="82"/>
    </row>
    <row r="167" spans="1:54" ht="15">
      <c r="A167" s="82"/>
      <c r="B167" s="82"/>
      <c r="C167" s="82"/>
      <c r="D167" s="82"/>
      <c r="E167" s="346" t="s">
        <v>805</v>
      </c>
      <c r="F167" s="82"/>
      <c r="G167" s="2" t="s">
        <v>302</v>
      </c>
      <c r="H167" s="82" t="s">
        <v>787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5">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5">
      <c r="B169" s="37" t="s">
        <v>79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1" priority="4" operator="equal">
      <formula>FALSE()</formula>
    </cfRule>
  </conditionalFormatting>
  <conditionalFormatting sqref="AM3">
    <cfRule type="expression" dxfId="90" priority="12">
      <formula>$AM$3="OK"</formula>
    </cfRule>
  </conditionalFormatting>
  <conditionalFormatting sqref="AW6:BA6">
    <cfRule type="cellIs" dxfId="89" priority="2" operator="equal">
      <formula>FALSE()</formula>
    </cfRule>
  </conditionalFormatting>
  <conditionalFormatting sqref="AW8:BA167">
    <cfRule type="cellIs" dxfId="88"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50.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49</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5">
      <c r="A8" s="2"/>
      <c r="B8" s="2"/>
      <c r="C8" s="20" t="s">
        <v>806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10" t="s">
        <v>807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5">
      <c r="A12" s="2"/>
      <c r="B12" s="2"/>
      <c r="C12" s="2"/>
      <c r="D12" s="2"/>
      <c r="E12" s="7" t="s">
        <v>808</v>
      </c>
      <c r="F12" s="2"/>
      <c r="G12" s="2" t="s">
        <v>105</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16.143021833887886</v>
      </c>
      <c r="AS12" s="8">
        <f>(InputSummary!AS31 + InputSummary!AS41)</f>
        <v>17.78596466976369</v>
      </c>
      <c r="AT12" s="8">
        <f>(InputSummary!AT31 + InputSummary!AT41)</f>
        <v>11.316919273349475</v>
      </c>
      <c r="AU12" s="8">
        <f>(InputSummary!AU31 + InputSummary!AU41)</f>
        <v>13.533426285520063</v>
      </c>
      <c r="AV12" s="8">
        <f>(InputSummary!AV31 + InputSummary!AV41)</f>
        <v>11.922539179843531</v>
      </c>
      <c r="AW12" s="2"/>
    </row>
    <row r="13" spans="1:49" ht="15">
      <c r="A13" s="2"/>
      <c r="B13" s="2"/>
      <c r="C13" s="2"/>
      <c r="D13" s="2"/>
      <c r="E13" s="7" t="s">
        <v>809</v>
      </c>
      <c r="F13" s="2"/>
      <c r="G13" s="2" t="s">
        <v>105</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57.467222203495268</v>
      </c>
      <c r="AS13" s="8">
        <f>(InputSummary!AS32 + InputSummary!AS42)</f>
        <v>61.006717073317731</v>
      </c>
      <c r="AT13" s="8">
        <f>(InputSummary!AT32 + InputSummary!AT42)</f>
        <v>62.297622907746828</v>
      </c>
      <c r="AU13" s="8">
        <f>(InputSummary!AU32 + InputSummary!AU42)</f>
        <v>67.482813403850059</v>
      </c>
      <c r="AV13" s="8">
        <f>(InputSummary!AV32 + InputSummary!AV42)</f>
        <v>70.569943280809611</v>
      </c>
      <c r="AW13" s="2"/>
    </row>
    <row r="14" spans="1:49" ht="15">
      <c r="A14" s="2"/>
      <c r="B14" s="2"/>
      <c r="C14" s="2"/>
      <c r="D14" s="2"/>
      <c r="E14" s="7" t="s">
        <v>810</v>
      </c>
      <c r="F14" s="2"/>
      <c r="G14" s="2" t="s">
        <v>105</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20.784541901435745</v>
      </c>
      <c r="AS14" s="8">
        <f>(InputSummary!AS33 + InputSummary!AS43)</f>
        <v>25.926733936142263</v>
      </c>
      <c r="AT14" s="8">
        <f>(InputSummary!AT33 + InputSummary!AT43)</f>
        <v>23.065876721073316</v>
      </c>
      <c r="AU14" s="8">
        <f>(InputSummary!AU33 + InputSummary!AU43)</f>
        <v>23.284643453582827</v>
      </c>
      <c r="AV14" s="8">
        <f>(InputSummary!AV33 + InputSummary!AV43)</f>
        <v>23.149813799634412</v>
      </c>
      <c r="AW14" s="2"/>
    </row>
    <row r="15" spans="1:49" ht="15">
      <c r="A15" s="2"/>
      <c r="B15" s="2"/>
      <c r="C15" s="2"/>
      <c r="D15" s="2"/>
      <c r="E15" s="7" t="s">
        <v>811</v>
      </c>
      <c r="F15" s="2"/>
      <c r="G15" s="2" t="s">
        <v>105</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22.559211591068891</v>
      </c>
      <c r="AS15" s="8">
        <f>(InputSummary!AS34 + InputSummary!AS44)</f>
        <v>22.999308481867814</v>
      </c>
      <c r="AT15" s="8">
        <f>(InputSummary!AT34 + InputSummary!AT44)</f>
        <v>23.29233672080311</v>
      </c>
      <c r="AU15" s="8">
        <f>(InputSummary!AU34 + InputSummary!AU44)</f>
        <v>24.212111357616813</v>
      </c>
      <c r="AV15" s="8">
        <f>(InputSummary!AV34 + InputSummary!AV44)</f>
        <v>23.989311737178049</v>
      </c>
      <c r="AW15" s="2"/>
    </row>
    <row r="16" spans="1:49" ht="15">
      <c r="A16" s="2"/>
      <c r="B16" s="2"/>
      <c r="C16" s="2"/>
      <c r="D16" s="2"/>
      <c r="E16" s="7" t="s">
        <v>812</v>
      </c>
      <c r="F16" s="2"/>
      <c r="G16" s="2" t="s">
        <v>105</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3.697800136490113</v>
      </c>
      <c r="AS16" s="8">
        <f>(InputSummary!AS35 + InputSummary!AS45)</f>
        <v>3.4516162022635544</v>
      </c>
      <c r="AT16" s="8">
        <f>(InputSummary!AT35 + InputSummary!AT45)</f>
        <v>3.4851011488651902</v>
      </c>
      <c r="AU16" s="8">
        <f>(InputSummary!AU35 + InputSummary!AU45)</f>
        <v>3.7996491995341835</v>
      </c>
      <c r="AV16" s="8">
        <f>(InputSummary!AV35 + InputSummary!AV45)</f>
        <v>3.5499474058449789</v>
      </c>
      <c r="AW16" s="2"/>
    </row>
    <row r="17" spans="1:49" ht="15">
      <c r="A17" s="2"/>
      <c r="B17" s="2"/>
      <c r="C17" s="2"/>
      <c r="D17" s="2"/>
      <c r="E17" s="7" t="s">
        <v>813</v>
      </c>
      <c r="F17" s="2"/>
      <c r="G17" s="2" t="s">
        <v>105</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6.082792343682665</v>
      </c>
      <c r="AS17" s="8">
        <f>(InputSummary!AS36 + InputSummary!AS46)</f>
        <v>6.1911570453121776</v>
      </c>
      <c r="AT17" s="8">
        <f>(InputSummary!AT36 + InputSummary!AT46)</f>
        <v>6.1562097126089474</v>
      </c>
      <c r="AU17" s="8">
        <f>(InputSummary!AU36 + InputSummary!AU46)</f>
        <v>6.3385783211419717</v>
      </c>
      <c r="AV17" s="8">
        <f>(InputSummary!AV36 + InputSummary!AV46)</f>
        <v>6.2708713874935231</v>
      </c>
      <c r="AW17" s="2"/>
    </row>
    <row r="18" spans="1:49" ht="15">
      <c r="A18" s="2"/>
      <c r="B18" s="2"/>
      <c r="C18" s="2"/>
      <c r="D18" s="2"/>
      <c r="E18" s="7" t="s">
        <v>814</v>
      </c>
      <c r="F18" s="2"/>
      <c r="G18" s="2" t="s">
        <v>105</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72.509493101722555</v>
      </c>
      <c r="AS18" s="8">
        <f>(InputSummary!AS37 + InputSummary!AS47)</f>
        <v>73.456063076311565</v>
      </c>
      <c r="AT18" s="8">
        <f>(InputSummary!AT37 + InputSummary!AT47)</f>
        <v>71.372170065005307</v>
      </c>
      <c r="AU18" s="8">
        <f>(InputSummary!AU37 + InputSummary!AU47)</f>
        <v>72.937149497038959</v>
      </c>
      <c r="AV18" s="8">
        <f>(InputSummary!AV37 + InputSummary!AV47)</f>
        <v>71.953524193645791</v>
      </c>
      <c r="AW18" s="2"/>
    </row>
    <row r="19" spans="1:49" ht="15">
      <c r="A19" s="2"/>
      <c r="B19" s="2"/>
      <c r="C19" s="2"/>
      <c r="D19" s="2"/>
      <c r="E19" s="7" t="s">
        <v>815</v>
      </c>
      <c r="F19" s="2"/>
      <c r="G19" s="2" t="s">
        <v>105</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199.24408311178314</v>
      </c>
      <c r="AS19" s="431">
        <f t="shared" si="0"/>
        <v>210.8175604849788</v>
      </c>
      <c r="AT19" s="431">
        <f t="shared" si="0"/>
        <v>200.98623654945214</v>
      </c>
      <c r="AU19" s="431">
        <f t="shared" si="0"/>
        <v>211.58837151828487</v>
      </c>
      <c r="AV19" s="431">
        <f t="shared" si="0"/>
        <v>211.4059509844499</v>
      </c>
      <c r="AW19" s="2"/>
    </row>
    <row r="20" spans="1:49" ht="15">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5">
      <c r="A21" s="2"/>
      <c r="B21" s="2"/>
      <c r="C21" s="2"/>
      <c r="D21" s="10" t="s">
        <v>816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5">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5">
      <c r="A23" s="2"/>
      <c r="B23" s="2"/>
      <c r="C23" s="2"/>
      <c r="D23" s="2"/>
      <c r="E23" s="7" t="s">
        <v>808</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11.109508885725045</v>
      </c>
      <c r="AS23" s="8">
        <f>InputSummary!AS51</f>
        <v>11.362149074725234</v>
      </c>
      <c r="AT23" s="8">
        <f>InputSummary!AT51</f>
        <v>14.868853789553159</v>
      </c>
      <c r="AU23" s="8">
        <f>InputSummary!AU51</f>
        <v>16.378078089363097</v>
      </c>
      <c r="AV23" s="8">
        <f>InputSummary!AV51</f>
        <v>17.248389827127642</v>
      </c>
      <c r="AW23" s="2"/>
    </row>
    <row r="24" spans="1:49" ht="15">
      <c r="A24" s="2"/>
      <c r="B24" s="2"/>
      <c r="C24" s="2"/>
      <c r="D24" s="2"/>
      <c r="E24" s="7" t="s">
        <v>809</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3.0681071497348982</v>
      </c>
      <c r="AS24" s="8">
        <f>InputSummary!AS52</f>
        <v>6.4995191196677577</v>
      </c>
      <c r="AT24" s="8">
        <f>InputSummary!AT52</f>
        <v>8.4248160609864655</v>
      </c>
      <c r="AU24" s="8">
        <f>InputSummary!AU52</f>
        <v>-3.4018277184195977E-2</v>
      </c>
      <c r="AV24" s="8">
        <f>InputSummary!AV52</f>
        <v>5.3226245026731345E-2</v>
      </c>
      <c r="AW24" s="2"/>
    </row>
    <row r="25" spans="1:49" ht="15">
      <c r="A25" s="2"/>
      <c r="B25" s="2"/>
      <c r="C25" s="2"/>
      <c r="D25" s="2"/>
      <c r="E25" s="7" t="s">
        <v>810</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1.3567828843754117</v>
      </c>
      <c r="AS25" s="8">
        <f>InputSummary!AS53</f>
        <v>5.8228996376647384</v>
      </c>
      <c r="AT25" s="8">
        <f>InputSummary!AT53</f>
        <v>3.6844292058871524</v>
      </c>
      <c r="AU25" s="8">
        <f>InputSummary!AU53</f>
        <v>1.2534731346989161</v>
      </c>
      <c r="AV25" s="8">
        <f>InputSummary!AV53</f>
        <v>1.0120070437258475</v>
      </c>
      <c r="AW25" s="2"/>
    </row>
    <row r="26" spans="1:49" ht="15">
      <c r="A26" s="2"/>
      <c r="B26" s="2"/>
      <c r="C26" s="2"/>
      <c r="D26" s="2"/>
      <c r="E26" s="7" t="s">
        <v>811</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7.3691932467225369E-3</v>
      </c>
      <c r="AS26" s="8">
        <f>InputSummary!AS54</f>
        <v>0.11527752235129568</v>
      </c>
      <c r="AT26" s="8">
        <f>InputSummary!AT54</f>
        <v>1.2534244697641355</v>
      </c>
      <c r="AU26" s="8">
        <f>InputSummary!AU54</f>
        <v>12.246446609108023</v>
      </c>
      <c r="AV26" s="8">
        <f>InputSummary!AV54</f>
        <v>12.243548653127828</v>
      </c>
      <c r="AW26" s="2"/>
    </row>
    <row r="27" spans="1:49" ht="15">
      <c r="A27" s="2"/>
      <c r="B27" s="2"/>
      <c r="C27" s="2"/>
      <c r="D27" s="2"/>
      <c r="E27" s="7" t="s">
        <v>812</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5">
      <c r="A28" s="2"/>
      <c r="B28" s="2"/>
      <c r="C28" s="2"/>
      <c r="D28" s="2"/>
      <c r="E28" s="7" t="s">
        <v>813</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5">
      <c r="A29" s="2"/>
      <c r="B29" s="2"/>
      <c r="C29" s="2"/>
      <c r="D29" s="2"/>
      <c r="E29" s="7" t="s">
        <v>814</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1.4614422850754316</v>
      </c>
      <c r="AS29" s="8">
        <f>InputSummary!AS57</f>
        <v>1.2608755353959884</v>
      </c>
      <c r="AT29" s="8">
        <f>InputSummary!AT57</f>
        <v>2.3017574069711797</v>
      </c>
      <c r="AU29" s="8">
        <f>InputSummary!AU57</f>
        <v>2.1202227018493569</v>
      </c>
      <c r="AV29" s="8">
        <f>InputSummary!AV57</f>
        <v>2.3321880596392819</v>
      </c>
      <c r="AW29" s="2"/>
    </row>
    <row r="30" spans="1:49" ht="15">
      <c r="A30" s="2"/>
      <c r="B30" s="2"/>
      <c r="C30" s="2"/>
      <c r="D30" s="2"/>
      <c r="E30" s="7" t="s">
        <v>817</v>
      </c>
      <c r="F30" s="2"/>
      <c r="G30" s="2" t="s">
        <v>105</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17.003210398157506</v>
      </c>
      <c r="AS30" s="431">
        <f t="shared" si="1"/>
        <v>25.060720889805015</v>
      </c>
      <c r="AT30" s="431">
        <f t="shared" si="1"/>
        <v>30.533280933162089</v>
      </c>
      <c r="AU30" s="431">
        <f t="shared" si="1"/>
        <v>31.964202257835197</v>
      </c>
      <c r="AV30" s="431">
        <f t="shared" si="1"/>
        <v>32.889359828647329</v>
      </c>
      <c r="AW30" s="2"/>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5">
      <c r="A32" s="2"/>
      <c r="B32" s="2"/>
      <c r="C32" s="2"/>
      <c r="D32" s="10" t="s">
        <v>818</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
      <c r="D34" s="2"/>
      <c r="E34" s="13" t="s">
        <v>819</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27.252530719612931</v>
      </c>
      <c r="AS34" s="2">
        <f t="shared" ref="AS34:AV34" si="2">AS12 + AS23</f>
        <v>29.148113744488924</v>
      </c>
      <c r="AT34" s="2">
        <f t="shared" si="2"/>
        <v>26.185773062902634</v>
      </c>
      <c r="AU34" s="2">
        <f t="shared" si="2"/>
        <v>29.911504374883158</v>
      </c>
      <c r="AV34" s="2">
        <f t="shared" si="2"/>
        <v>29.170929006971171</v>
      </c>
      <c r="AW34" s="2"/>
    </row>
    <row r="35" spans="1:49" ht="15">
      <c r="A35" s="2"/>
      <c r="B35" s="2"/>
      <c r="C35" s="2"/>
      <c r="D35" s="2"/>
      <c r="E35" s="13" t="s">
        <v>820</v>
      </c>
      <c r="F35" s="2"/>
      <c r="G35" s="2" t="s">
        <v>105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60.535329353230168</v>
      </c>
      <c r="AS35" s="2">
        <f t="shared" ref="AS35:AV35" si="4">AS13 + AS24</f>
        <v>67.506236192985483</v>
      </c>
      <c r="AT35" s="2">
        <f t="shared" si="4"/>
        <v>70.722438968733286</v>
      </c>
      <c r="AU35" s="2">
        <f t="shared" si="4"/>
        <v>67.448795126665857</v>
      </c>
      <c r="AV35" s="2">
        <f t="shared" si="4"/>
        <v>70.623169525836346</v>
      </c>
      <c r="AW35" s="2"/>
    </row>
    <row r="36" spans="1:49" ht="15">
      <c r="A36" s="2"/>
      <c r="B36" s="2"/>
      <c r="C36" s="2"/>
      <c r="D36" s="2"/>
      <c r="E36" s="13" t="s">
        <v>821</v>
      </c>
      <c r="F36" s="2"/>
      <c r="G36" s="2" t="s">
        <v>105</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22.141324785811157</v>
      </c>
      <c r="AS36" s="2">
        <f t="shared" ref="AS36:AV36" si="6">AS14 + AS25</f>
        <v>31.749633573807003</v>
      </c>
      <c r="AT36" s="2">
        <f t="shared" si="6"/>
        <v>26.750305926960468</v>
      </c>
      <c r="AU36" s="2">
        <f t="shared" si="6"/>
        <v>24.538116588281742</v>
      </c>
      <c r="AV36" s="2">
        <f t="shared" si="6"/>
        <v>24.16182084336026</v>
      </c>
      <c r="AW36" s="2"/>
    </row>
    <row r="37" spans="1:49" ht="15">
      <c r="A37" s="2"/>
      <c r="B37" s="2"/>
      <c r="C37" s="2"/>
      <c r="D37" s="2"/>
      <c r="E37" s="13" t="s">
        <v>822</v>
      </c>
      <c r="F37" s="2"/>
      <c r="G37" s="2" t="s">
        <v>105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22.566580784315615</v>
      </c>
      <c r="AS37" s="2">
        <f t="shared" ref="AS37:AV37" si="8">AS15 + AS26</f>
        <v>23.11458600421911</v>
      </c>
      <c r="AT37" s="2">
        <f t="shared" si="8"/>
        <v>24.545761190567244</v>
      </c>
      <c r="AU37" s="2">
        <f t="shared" si="8"/>
        <v>36.45855796672484</v>
      </c>
      <c r="AV37" s="2">
        <f t="shared" si="8"/>
        <v>36.232860390305873</v>
      </c>
      <c r="AW37" s="2"/>
    </row>
    <row r="38" spans="1:49" ht="15">
      <c r="A38" s="2"/>
      <c r="B38" s="2"/>
      <c r="C38" s="2"/>
      <c r="D38" s="2"/>
      <c r="E38" s="13" t="s">
        <v>823</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3.697800136490113</v>
      </c>
      <c r="AS38" s="2">
        <f t="shared" ref="AS38:AV38" si="10">AS16 + AS27</f>
        <v>3.4516162022635544</v>
      </c>
      <c r="AT38" s="2">
        <f t="shared" si="10"/>
        <v>3.4851011488651902</v>
      </c>
      <c r="AU38" s="2">
        <f t="shared" si="10"/>
        <v>3.7996491995341835</v>
      </c>
      <c r="AV38" s="2">
        <f t="shared" si="10"/>
        <v>3.5499474058449789</v>
      </c>
      <c r="AW38" s="2"/>
    </row>
    <row r="39" spans="1:49" ht="15">
      <c r="A39" s="2"/>
      <c r="B39" s="2"/>
      <c r="C39" s="2"/>
      <c r="D39" s="2"/>
      <c r="E39" s="13" t="s">
        <v>824</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6.082792343682665</v>
      </c>
      <c r="AS39" s="2">
        <f t="shared" ref="AS39:AV39" si="12">AS17 + AS28</f>
        <v>6.1911570453121776</v>
      </c>
      <c r="AT39" s="2">
        <f t="shared" si="12"/>
        <v>6.1562097126089474</v>
      </c>
      <c r="AU39" s="2">
        <f t="shared" si="12"/>
        <v>6.3385783211419717</v>
      </c>
      <c r="AV39" s="2">
        <f t="shared" si="12"/>
        <v>6.2708713874935231</v>
      </c>
      <c r="AW39" s="2"/>
    </row>
    <row r="40" spans="1:49" ht="15">
      <c r="A40" s="2"/>
      <c r="B40" s="2"/>
      <c r="C40" s="2"/>
      <c r="D40" s="2"/>
      <c r="E40" s="13" t="s">
        <v>825</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73.97093538679799</v>
      </c>
      <c r="AS40" s="2">
        <f t="shared" ref="AS40:AV40" si="14">AS18 + AS29</f>
        <v>74.716938611707548</v>
      </c>
      <c r="AT40" s="2">
        <f t="shared" si="14"/>
        <v>73.673927471976484</v>
      </c>
      <c r="AU40" s="2">
        <f t="shared" si="14"/>
        <v>75.057372198888316</v>
      </c>
      <c r="AV40" s="2">
        <f t="shared" si="14"/>
        <v>74.28571225328507</v>
      </c>
      <c r="AW40" s="2"/>
    </row>
    <row r="41" spans="1:49" ht="15">
      <c r="A41" s="2"/>
      <c r="B41" s="2"/>
      <c r="C41" s="2"/>
      <c r="D41" s="2"/>
      <c r="E41" s="2" t="s">
        <v>826</v>
      </c>
      <c r="F41" s="2"/>
      <c r="G41" s="2" t="s">
        <v>105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216.24729350994062</v>
      </c>
      <c r="AS41" s="432">
        <f t="shared" ref="AS41:AV41" si="16">SUM(AS34:AS40)</f>
        <v>235.8782813747838</v>
      </c>
      <c r="AT41" s="432">
        <f t="shared" si="16"/>
        <v>231.51951748261428</v>
      </c>
      <c r="AU41" s="432">
        <f t="shared" si="16"/>
        <v>243.55257377612006</v>
      </c>
      <c r="AV41" s="432">
        <f t="shared" si="16"/>
        <v>244.29531081309722</v>
      </c>
      <c r="AW41" s="2"/>
    </row>
    <row r="42" spans="1:49" ht="15">
      <c r="A42" s="2"/>
      <c r="B42" s="2"/>
      <c r="C42" s="2"/>
      <c r="D42" s="2"/>
      <c r="E42" s="2" t="s">
        <v>21</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5">
      <c r="C44" s="20" t="s">
        <v>127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5">
      <c r="C45" s="12" t="s">
        <v>827</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5">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5">
      <c r="A47" s="2"/>
      <c r="B47" s="2"/>
      <c r="C47" s="2"/>
      <c r="D47" s="10" t="s">
        <v>828</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5">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5">
      <c r="E49" s="13" t="s">
        <v>829</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5">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5">
      <c r="E51" s="7" t="s">
        <v>129</v>
      </c>
      <c r="G51" s="2" t="s">
        <v>105</v>
      </c>
      <c r="AJ51" s="8"/>
      <c r="AK51" s="8"/>
      <c r="AL51" s="8"/>
      <c r="AM51" s="8"/>
      <c r="AN51" s="8"/>
      <c r="AO51" s="8"/>
      <c r="AP51" s="8"/>
      <c r="AQ51" s="9"/>
      <c r="AR51" s="8">
        <f>(InputSummary!AR61 *  AR$49 + AR12 *  (1-AR$49))</f>
        <v>2.8140856308726772</v>
      </c>
      <c r="AS51" s="8">
        <f>(InputSummary!AS61 *  AS$49 + AS12 *  (1-AS$49))</f>
        <v>6.3904257744694846</v>
      </c>
      <c r="AT51" s="8">
        <f>(InputSummary!AT61 *  AT$49 + AT12 *  (1-AT$49))</f>
        <v>18.405639178876747</v>
      </c>
      <c r="AU51" s="8">
        <f>(InputSummary!AU61 *  AU$49 + AU12 *  (1-AU$49))</f>
        <v>23.541823364144673</v>
      </c>
      <c r="AV51" s="8">
        <f>(InputSummary!AV61 *  AV$49 + AV12 *  (1-AV$49))</f>
        <v>25.439452135175944</v>
      </c>
    </row>
    <row r="52" spans="1:49" ht="15">
      <c r="E52" s="7" t="s">
        <v>131</v>
      </c>
      <c r="G52" s="2" t="s">
        <v>105</v>
      </c>
      <c r="AJ52" s="8"/>
      <c r="AK52" s="8"/>
      <c r="AL52" s="8"/>
      <c r="AM52" s="8"/>
      <c r="AN52" s="8"/>
      <c r="AO52" s="8"/>
      <c r="AP52" s="8"/>
      <c r="AQ52" s="9"/>
      <c r="AR52" s="8">
        <f>(InputSummary!AR62 *  AR$49 + AR13 *  (1-AR$49))</f>
        <v>27.319845513636757</v>
      </c>
      <c r="AS52" s="8">
        <f>(InputSummary!AS62 *  AS$49 + AS13 *  (1-AS$49))</f>
        <v>64.534836989577983</v>
      </c>
      <c r="AT52" s="8">
        <f>(InputSummary!AT62 *  AT$49 + AT13 *  (1-AT$49))</f>
        <v>60.774380008401863</v>
      </c>
      <c r="AU52" s="8">
        <f>(InputSummary!AU62 *  AU$49 + AU13 *  (1-AU$49))</f>
        <v>73.823018281954816</v>
      </c>
      <c r="AV52" s="8">
        <f>(InputSummary!AV62 *  AV$49 + AV13 *  (1-AV$49))</f>
        <v>65.864720590509279</v>
      </c>
    </row>
    <row r="53" spans="1:49" ht="15">
      <c r="E53" s="7" t="s">
        <v>133</v>
      </c>
      <c r="G53" s="2" t="s">
        <v>105</v>
      </c>
      <c r="AJ53" s="8"/>
      <c r="AK53" s="8"/>
      <c r="AL53" s="8"/>
      <c r="AM53" s="8"/>
      <c r="AN53" s="8"/>
      <c r="AO53" s="8"/>
      <c r="AP53" s="8"/>
      <c r="AQ53" s="9"/>
      <c r="AR53" s="8">
        <f>(InputSummary!AR63 *  AR$49 + AR14 *  (1-AR$49))</f>
        <v>11.565316967991961</v>
      </c>
      <c r="AS53" s="8">
        <f>(InputSummary!AS63 *  AS$49 + AS14 *  (1-AS$49))</f>
        <v>28.919879323767866</v>
      </c>
      <c r="AT53" s="8">
        <f>(InputSummary!AT63 *  AT$49 + AT14 *  (1-AT$49))</f>
        <v>27.729811663215745</v>
      </c>
      <c r="AU53" s="8">
        <f>(InputSummary!AU63 *  AU$49 + AU14 *  (1-AU$49))</f>
        <v>20.811019180538889</v>
      </c>
      <c r="AV53" s="8">
        <f>(InputSummary!AV63 *  AV$49 + AV14 *  (1-AV$49))</f>
        <v>15.591372787257452</v>
      </c>
    </row>
    <row r="54" spans="1:49" ht="15">
      <c r="E54" s="7" t="s">
        <v>135</v>
      </c>
      <c r="G54" s="2" t="s">
        <v>105</v>
      </c>
      <c r="AJ54" s="8"/>
      <c r="AK54" s="8"/>
      <c r="AL54" s="8"/>
      <c r="AM54" s="8"/>
      <c r="AN54" s="8"/>
      <c r="AO54" s="8"/>
      <c r="AP54" s="8"/>
      <c r="AQ54" s="9"/>
      <c r="AR54" s="8">
        <f>(InputSummary!AR64 *  AR$49 + AR15 *  (1-AR$49))</f>
        <v>36.658867752890153</v>
      </c>
      <c r="AS54" s="8">
        <f>(InputSummary!AS64 *  AS$49 + AS15 *  (1-AS$49))</f>
        <v>29.396527159817936</v>
      </c>
      <c r="AT54" s="8">
        <f>(InputSummary!AT64 *  AT$49 + AT15 *  (1-AT$49))</f>
        <v>29.517895030126866</v>
      </c>
      <c r="AU54" s="8">
        <f>(InputSummary!AU64 *  AU$49 + AU15 *  (1-AU$49))</f>
        <v>29.52019485561727</v>
      </c>
      <c r="AV54" s="8">
        <f>(InputSummary!AV64 *  AV$49 + AV15 *  (1-AV$49))</f>
        <v>29.522714097147016</v>
      </c>
    </row>
    <row r="55" spans="1:49" ht="15">
      <c r="E55" s="7" t="s">
        <v>137</v>
      </c>
      <c r="G55" s="2" t="s">
        <v>105</v>
      </c>
      <c r="AJ55" s="8"/>
      <c r="AK55" s="8"/>
      <c r="AL55" s="8"/>
      <c r="AM55" s="8"/>
      <c r="AN55" s="8"/>
      <c r="AO55" s="8"/>
      <c r="AP55" s="8"/>
      <c r="AQ55" s="9"/>
      <c r="AR55" s="8">
        <f>(InputSummary!AR65 *  AR$49 + AR16 *  (1-AR$49))</f>
        <v>3.0548757455097566</v>
      </c>
      <c r="AS55" s="8">
        <f>(InputSummary!AS65 *  AS$49 + AS16 *  (1-AS$49))</f>
        <v>5.6362769798234789</v>
      </c>
      <c r="AT55" s="8">
        <f>(InputSummary!AT65 *  AT$49 + AT16 *  (1-AT$49))</f>
        <v>6.0190972115841674</v>
      </c>
      <c r="AU55" s="8">
        <f>(InputSummary!AU65 *  AU$49 + AU16 *  (1-AU$49))</f>
        <v>3.9089394138452325</v>
      </c>
      <c r="AV55" s="8">
        <f>(InputSummary!AV65 *  AV$49 + AV16 *  (1-AV$49))</f>
        <v>4.1546816265198752</v>
      </c>
    </row>
    <row r="56" spans="1:49" ht="15">
      <c r="E56" s="7" t="s">
        <v>139</v>
      </c>
      <c r="G56" s="2" t="s">
        <v>105</v>
      </c>
      <c r="AJ56" s="8"/>
      <c r="AK56" s="8"/>
      <c r="AL56" s="8"/>
      <c r="AM56" s="8"/>
      <c r="AN56" s="8"/>
      <c r="AO56" s="8"/>
      <c r="AP56" s="8"/>
      <c r="AQ56" s="9"/>
      <c r="AR56" s="8">
        <f>(InputSummary!AR66 *  AR$49 + AR17 *  (1-AR$49))</f>
        <v>5.6778773372069278</v>
      </c>
      <c r="AS56" s="8">
        <f>(InputSummary!AS66 *  AS$49 + AS17 *  (1-AS$49))</f>
        <v>5.6924363314947737</v>
      </c>
      <c r="AT56" s="8">
        <f>(InputSummary!AT66 *  AT$49 + AT17 *  (1-AT$49))</f>
        <v>5.6924363314947737</v>
      </c>
      <c r="AU56" s="8">
        <f>(InputSummary!AU66 *  AU$49 + AU17 *  (1-AU$49))</f>
        <v>5.6924363314947719</v>
      </c>
      <c r="AV56" s="8">
        <f>(InputSummary!AV66 *  AV$49 + AV17 *  (1-AV$49))</f>
        <v>5.6924363314947719</v>
      </c>
    </row>
    <row r="57" spans="1:49" ht="15">
      <c r="E57" s="7" t="s">
        <v>141</v>
      </c>
      <c r="G57" s="2" t="s">
        <v>105</v>
      </c>
      <c r="AJ57" s="8"/>
      <c r="AK57" s="8"/>
      <c r="AL57" s="8"/>
      <c r="AM57" s="8"/>
      <c r="AN57" s="8"/>
      <c r="AO57" s="8"/>
      <c r="AP57" s="8"/>
      <c r="AQ57" s="9"/>
      <c r="AR57" s="8">
        <f>(InputSummary!AR67 *  AR$49 + AR18 *  (1-AR$49))</f>
        <v>61.817145365584103</v>
      </c>
      <c r="AS57" s="8">
        <f>(InputSummary!AS67 *  AS$49 + AS18 *  (1-AS$49))</f>
        <v>70.462727372389111</v>
      </c>
      <c r="AT57" s="8">
        <f>(InputSummary!AT67 *  AT$49 + AT18 *  (1-AT$49))</f>
        <v>70.569924706974305</v>
      </c>
      <c r="AU57" s="8">
        <f>(InputSummary!AU67 *  AU$49 + AU18 *  (1-AU$49))</f>
        <v>70.270957358762999</v>
      </c>
      <c r="AV57" s="8">
        <f>(InputSummary!AV67 *  AV$49 + AV18 *  (1-AV$49))</f>
        <v>70.243173260459372</v>
      </c>
    </row>
    <row r="58" spans="1:49" ht="15">
      <c r="A58" s="2"/>
      <c r="B58" s="2"/>
      <c r="C58" s="2"/>
      <c r="D58" s="2"/>
      <c r="E58" s="7" t="s">
        <v>830</v>
      </c>
      <c r="F58" s="2"/>
      <c r="G58" s="2" t="s">
        <v>105</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148.90801431369232</v>
      </c>
      <c r="AS58" s="431">
        <f t="shared" si="17"/>
        <v>211.03310993134065</v>
      </c>
      <c r="AT58" s="431">
        <f t="shared" si="17"/>
        <v>218.70918413067443</v>
      </c>
      <c r="AU58" s="431">
        <f t="shared" si="17"/>
        <v>227.5683887863587</v>
      </c>
      <c r="AV58" s="431">
        <f t="shared" si="17"/>
        <v>216.50855082856373</v>
      </c>
      <c r="AW58" s="2"/>
    </row>
    <row r="59" spans="1:49" ht="15">
      <c r="E59" s="13"/>
      <c r="G59" s="2"/>
      <c r="AJ59" s="8"/>
      <c r="AK59" s="8"/>
      <c r="AL59" s="8"/>
      <c r="AM59" s="8"/>
      <c r="AN59" s="8"/>
      <c r="AO59" s="8"/>
      <c r="AP59" s="8"/>
      <c r="AQ59" s="9"/>
      <c r="AR59" s="379"/>
      <c r="AS59" s="379"/>
      <c r="AT59" s="379"/>
      <c r="AU59" s="379"/>
      <c r="AV59" s="379"/>
    </row>
    <row r="60" spans="1:49" ht="15">
      <c r="A60" s="2"/>
      <c r="B60" s="2"/>
      <c r="C60" s="2"/>
      <c r="D60" s="10" t="s">
        <v>831</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5">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5">
      <c r="E62" s="13" t="s">
        <v>829</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5">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5">
      <c r="E64" s="7" t="s">
        <v>129</v>
      </c>
      <c r="G64" s="2" t="s">
        <v>105</v>
      </c>
      <c r="AJ64" s="8"/>
      <c r="AK64" s="8"/>
      <c r="AL64" s="8"/>
      <c r="AM64" s="8"/>
      <c r="AN64" s="8"/>
      <c r="AO64" s="8"/>
      <c r="AP64" s="8"/>
      <c r="AQ64" s="9"/>
      <c r="AR64" s="8">
        <f>((InputSummary!AR72)*  AR$62 + AR23 *  (1-AR$62))</f>
        <v>11.29665380092912</v>
      </c>
      <c r="AS64" s="8">
        <f>((InputSummary!AS72)*  AS$62 + AS23 *  (1-AS$62))</f>
        <v>11.472829587295291</v>
      </c>
      <c r="AT64" s="8">
        <f>((InputSummary!AT72)*  AT$62 + AT23 *  (1-AT$62))</f>
        <v>15.133875573730423</v>
      </c>
      <c r="AU64" s="8">
        <f>((InputSummary!AU72)*  AU$62 + AU23 *  (1-AU$62))</f>
        <v>17.780157568350855</v>
      </c>
      <c r="AV64" s="8">
        <f>((InputSummary!AV72)*  AV$62 + AV23 *  (1-AV$62))</f>
        <v>18.670952862020624</v>
      </c>
    </row>
    <row r="65" spans="1:49" ht="15">
      <c r="E65" s="7" t="s">
        <v>131</v>
      </c>
      <c r="G65" s="2" t="s">
        <v>105</v>
      </c>
      <c r="AJ65" s="8"/>
      <c r="AK65" s="8"/>
      <c r="AL65" s="8"/>
      <c r="AM65" s="8"/>
      <c r="AN65" s="8"/>
      <c r="AO65" s="8"/>
      <c r="AP65" s="8"/>
      <c r="AQ65" s="9"/>
      <c r="AR65" s="8">
        <f>((InputSummary!AR73)*  AR$62 + AR24 *  (1-AR$62))</f>
        <v>3.0528335064589873</v>
      </c>
      <c r="AS65" s="8">
        <f>((InputSummary!AS73)*  AS$62 + AS24 *  (1-AS$62))</f>
        <v>6.3618183259846379</v>
      </c>
      <c r="AT65" s="8">
        <f>((InputSummary!AT73)*  AT$62 + AT24 *  (1-AT$62))</f>
        <v>8.9006180965567658</v>
      </c>
      <c r="AU65" s="8">
        <f>((InputSummary!AU73)*  AU$62 + AU24 *  (1-AU$62))</f>
        <v>9.5399499834123098</v>
      </c>
      <c r="AV65" s="8">
        <f>((InputSummary!AV73)*  AV$62 + AV24 *  (1-AV$62))</f>
        <v>9.6041136164505687</v>
      </c>
    </row>
    <row r="66" spans="1:49" ht="15">
      <c r="E66" s="7" t="s">
        <v>133</v>
      </c>
      <c r="G66" s="2" t="s">
        <v>105</v>
      </c>
      <c r="AJ66" s="8"/>
      <c r="AK66" s="8"/>
      <c r="AL66" s="8"/>
      <c r="AM66" s="8"/>
      <c r="AN66" s="8"/>
      <c r="AO66" s="8"/>
      <c r="AP66" s="8"/>
      <c r="AQ66" s="9"/>
      <c r="AR66" s="8">
        <f>((InputSummary!AR74)*  AR$62 + AR25 *  (1-AR$62))</f>
        <v>0.45533489636974073</v>
      </c>
      <c r="AS66" s="8">
        <f>((InputSummary!AS74)*  AS$62 + AS25 *  (1-AS$62))</f>
        <v>2.6743738989793688</v>
      </c>
      <c r="AT66" s="8">
        <f>((InputSummary!AT74)*  AT$62 + AT25 *  (1-AT$62))</f>
        <v>4.4158542724364525</v>
      </c>
      <c r="AU66" s="8">
        <f>((InputSummary!AU74)*  AU$62 + AU25 *  (1-AU$62))</f>
        <v>2.0365141789795858</v>
      </c>
      <c r="AV66" s="8">
        <f>((InputSummary!AV74)*  AV$62 + AV25 *  (1-AV$62))</f>
        <v>0.94328840592104912</v>
      </c>
    </row>
    <row r="67" spans="1:49" ht="15">
      <c r="E67" s="7" t="s">
        <v>135</v>
      </c>
      <c r="G67" s="2" t="s">
        <v>105</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5">
      <c r="E68" s="7" t="s">
        <v>137</v>
      </c>
      <c r="G68" s="2" t="s">
        <v>105</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5">
      <c r="E69" s="7" t="s">
        <v>139</v>
      </c>
      <c r="G69" s="2" t="s">
        <v>105</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5">
      <c r="E70" s="7" t="s">
        <v>141</v>
      </c>
      <c r="G70" s="2" t="s">
        <v>105</v>
      </c>
      <c r="AJ70" s="8"/>
      <c r="AK70" s="8"/>
      <c r="AL70" s="8"/>
      <c r="AM70" s="8"/>
      <c r="AN70" s="8"/>
      <c r="AO70" s="8"/>
      <c r="AP70" s="8"/>
      <c r="AQ70" s="9"/>
      <c r="AR70" s="8">
        <f>((InputSummary!AR78)*  AR$62 + AR29 *  (1-AR$62))</f>
        <v>0.8971457410428717</v>
      </c>
      <c r="AS70" s="8">
        <f>((InputSummary!AS78)*  AS$62 + AS29 *  (1-AS$62))</f>
        <v>2.1379186504283112</v>
      </c>
      <c r="AT70" s="8">
        <f>((InputSummary!AT78)*  AT$62 + AT29 *  (1-AT$62))</f>
        <v>3.61204853553562</v>
      </c>
      <c r="AU70" s="8">
        <f>((InputSummary!AU78)*  AU$62 + AU29 *  (1-AU$62))</f>
        <v>4.1961651518546859</v>
      </c>
      <c r="AV70" s="8">
        <f>((InputSummary!AV78)*  AV$62 + AV29 *  (1-AV$62))</f>
        <v>3.6250077422828069</v>
      </c>
    </row>
    <row r="71" spans="1:49" ht="15">
      <c r="A71" s="2"/>
      <c r="B71" s="2"/>
      <c r="C71" s="2"/>
      <c r="D71" s="2"/>
      <c r="E71" s="7" t="s">
        <v>832</v>
      </c>
      <c r="F71" s="2"/>
      <c r="G71" s="2" t="s">
        <v>105</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15.701967944800717</v>
      </c>
      <c r="AS71" s="431">
        <f t="shared" si="18"/>
        <v>22.64694046268761</v>
      </c>
      <c r="AT71" s="431">
        <f t="shared" si="18"/>
        <v>32.062396478259259</v>
      </c>
      <c r="AU71" s="431">
        <f t="shared" si="18"/>
        <v>33.552786882597438</v>
      </c>
      <c r="AV71" s="431">
        <f t="shared" si="18"/>
        <v>32.843362626675045</v>
      </c>
      <c r="AW71" s="2"/>
    </row>
    <row r="72" spans="1:49" ht="15">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5">
      <c r="A73" s="2"/>
      <c r="B73" s="2"/>
      <c r="C73" s="2"/>
      <c r="D73" s="10" t="s">
        <v>833</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5">
      <c r="E74" s="13"/>
      <c r="G74" s="2"/>
      <c r="AJ74" s="8"/>
      <c r="AK74" s="8"/>
      <c r="AL74" s="8"/>
      <c r="AM74" s="8"/>
      <c r="AN74" s="8"/>
      <c r="AO74" s="8"/>
      <c r="AP74" s="8"/>
      <c r="AQ74" s="9"/>
      <c r="AR74" s="8"/>
      <c r="AS74" s="8"/>
      <c r="AT74" s="8"/>
      <c r="AU74" s="8"/>
      <c r="AV74" s="8"/>
    </row>
    <row r="75" spans="1:49" ht="15">
      <c r="E75" s="7" t="s">
        <v>834</v>
      </c>
      <c r="G75" s="2" t="s">
        <v>105</v>
      </c>
      <c r="AJ75" s="7"/>
      <c r="AK75" s="7"/>
      <c r="AL75" s="7"/>
      <c r="AM75" s="7"/>
      <c r="AN75" s="7"/>
      <c r="AO75" s="7"/>
      <c r="AP75" s="7"/>
      <c r="AQ75" s="65"/>
      <c r="AR75" s="7">
        <f>AR51+AR64</f>
        <v>14.110739431801797</v>
      </c>
      <c r="AS75" s="7">
        <f t="shared" ref="AS75:AV75" si="19">AS51+AS64</f>
        <v>17.863255361764775</v>
      </c>
      <c r="AT75" s="7">
        <f t="shared" si="19"/>
        <v>33.539514752607168</v>
      </c>
      <c r="AU75" s="7">
        <f t="shared" si="19"/>
        <v>41.321980932495528</v>
      </c>
      <c r="AV75" s="7">
        <f t="shared" si="19"/>
        <v>44.110404997196568</v>
      </c>
    </row>
    <row r="76" spans="1:49" ht="15">
      <c r="E76" s="7" t="s">
        <v>835</v>
      </c>
      <c r="G76" s="2" t="s">
        <v>105</v>
      </c>
      <c r="AJ76" s="7"/>
      <c r="AK76" s="7"/>
      <c r="AL76" s="7"/>
      <c r="AM76" s="7"/>
      <c r="AN76" s="7"/>
      <c r="AO76" s="7"/>
      <c r="AP76" s="7"/>
      <c r="AQ76" s="65"/>
      <c r="AR76" s="7">
        <f t="shared" ref="AR76" si="20">AR52+AR65</f>
        <v>30.372679020095745</v>
      </c>
      <c r="AS76" s="7">
        <f t="shared" ref="AS76:AV76" si="21">AS52+AS65</f>
        <v>70.896655315562626</v>
      </c>
      <c r="AT76" s="7">
        <f t="shared" si="21"/>
        <v>69.674998104958632</v>
      </c>
      <c r="AU76" s="7">
        <f t="shared" si="21"/>
        <v>83.36296826536713</v>
      </c>
      <c r="AV76" s="7">
        <f t="shared" si="21"/>
        <v>75.468834206959855</v>
      </c>
    </row>
    <row r="77" spans="1:49" ht="15">
      <c r="E77" s="7" t="s">
        <v>836</v>
      </c>
      <c r="G77" s="2" t="s">
        <v>105</v>
      </c>
      <c r="AJ77" s="7"/>
      <c r="AK77" s="7"/>
      <c r="AL77" s="7"/>
      <c r="AM77" s="7"/>
      <c r="AN77" s="7"/>
      <c r="AO77" s="7"/>
      <c r="AP77" s="7"/>
      <c r="AQ77" s="65"/>
      <c r="AR77" s="7">
        <f t="shared" ref="AR77" si="22">AR53+AR66</f>
        <v>12.020651864361701</v>
      </c>
      <c r="AS77" s="7">
        <f t="shared" ref="AS77:AV77" si="23">AS53+AS66</f>
        <v>31.594253222747234</v>
      </c>
      <c r="AT77" s="7">
        <f t="shared" si="23"/>
        <v>32.145665935652197</v>
      </c>
      <c r="AU77" s="7">
        <f t="shared" si="23"/>
        <v>22.847533359518476</v>
      </c>
      <c r="AV77" s="7">
        <f t="shared" si="23"/>
        <v>16.534661193178501</v>
      </c>
    </row>
    <row r="78" spans="1:49" ht="15">
      <c r="E78" s="7" t="s">
        <v>837</v>
      </c>
      <c r="G78" s="2" t="s">
        <v>105</v>
      </c>
      <c r="AJ78" s="7"/>
      <c r="AK78" s="7"/>
      <c r="AL78" s="7"/>
      <c r="AM78" s="7"/>
      <c r="AN78" s="7"/>
      <c r="AO78" s="7"/>
      <c r="AP78" s="7"/>
      <c r="AQ78" s="65"/>
      <c r="AR78" s="7">
        <f t="shared" ref="AR78" si="24">AR54+AR67</f>
        <v>36.658867752890153</v>
      </c>
      <c r="AS78" s="7">
        <f t="shared" ref="AS78:AV78" si="25">AS54+AS67</f>
        <v>29.396527159817936</v>
      </c>
      <c r="AT78" s="7">
        <f t="shared" si="25"/>
        <v>29.517895030126866</v>
      </c>
      <c r="AU78" s="7">
        <f t="shared" si="25"/>
        <v>29.52019485561727</v>
      </c>
      <c r="AV78" s="7">
        <f t="shared" si="25"/>
        <v>29.522714097147016</v>
      </c>
    </row>
    <row r="79" spans="1:49" ht="15">
      <c r="E79" s="7" t="s">
        <v>838</v>
      </c>
      <c r="G79" s="2" t="s">
        <v>105</v>
      </c>
      <c r="AJ79" s="7"/>
      <c r="AK79" s="7"/>
      <c r="AL79" s="7"/>
      <c r="AM79" s="7"/>
      <c r="AN79" s="7"/>
      <c r="AO79" s="7"/>
      <c r="AP79" s="7"/>
      <c r="AQ79" s="65"/>
      <c r="AR79" s="7">
        <f t="shared" ref="AR79" si="26">AR55+AR68</f>
        <v>3.0548757455097566</v>
      </c>
      <c r="AS79" s="7">
        <f t="shared" ref="AS79:AV79" si="27">AS55+AS68</f>
        <v>5.6362769798234789</v>
      </c>
      <c r="AT79" s="7">
        <f t="shared" si="27"/>
        <v>6.0190972115841674</v>
      </c>
      <c r="AU79" s="7">
        <f t="shared" si="27"/>
        <v>3.9089394138452325</v>
      </c>
      <c r="AV79" s="7">
        <f t="shared" si="27"/>
        <v>4.1546816265198752</v>
      </c>
    </row>
    <row r="80" spans="1:49" ht="15">
      <c r="E80" s="7" t="s">
        <v>839</v>
      </c>
      <c r="G80" s="2" t="s">
        <v>105</v>
      </c>
      <c r="AJ80" s="7"/>
      <c r="AK80" s="7"/>
      <c r="AL80" s="7"/>
      <c r="AM80" s="7"/>
      <c r="AN80" s="7"/>
      <c r="AO80" s="7"/>
      <c r="AP80" s="7"/>
      <c r="AQ80" s="65"/>
      <c r="AR80" s="7">
        <f t="shared" ref="AR80" si="28">AR56+AR69</f>
        <v>5.6778773372069278</v>
      </c>
      <c r="AS80" s="7">
        <f t="shared" ref="AS80:AV80" si="29">AS56+AS69</f>
        <v>5.6924363314947737</v>
      </c>
      <c r="AT80" s="7">
        <f t="shared" si="29"/>
        <v>5.6924363314947737</v>
      </c>
      <c r="AU80" s="7">
        <f t="shared" si="29"/>
        <v>5.6924363314947719</v>
      </c>
      <c r="AV80" s="7">
        <f t="shared" si="29"/>
        <v>5.6924363314947719</v>
      </c>
    </row>
    <row r="81" spans="2:49" ht="15">
      <c r="E81" s="7" t="s">
        <v>840</v>
      </c>
      <c r="G81" s="2" t="s">
        <v>105</v>
      </c>
      <c r="AJ81" s="7"/>
      <c r="AK81" s="7"/>
      <c r="AL81" s="7"/>
      <c r="AM81" s="7"/>
      <c r="AN81" s="7"/>
      <c r="AO81" s="7"/>
      <c r="AP81" s="7"/>
      <c r="AQ81" s="65"/>
      <c r="AR81" s="7">
        <f t="shared" ref="AR81" si="30">AR57+AR70</f>
        <v>62.714291106626973</v>
      </c>
      <c r="AS81" s="7">
        <f t="shared" ref="AS81:AV81" si="31">AS57+AS70</f>
        <v>72.600646022817415</v>
      </c>
      <c r="AT81" s="7">
        <f t="shared" si="31"/>
        <v>74.181973242509926</v>
      </c>
      <c r="AU81" s="7">
        <f t="shared" si="31"/>
        <v>74.467122510617685</v>
      </c>
      <c r="AV81" s="7">
        <f t="shared" si="31"/>
        <v>73.868181002742176</v>
      </c>
    </row>
    <row r="82" spans="2:49" ht="15">
      <c r="E82" s="13" t="s">
        <v>841</v>
      </c>
      <c r="G82" s="2" t="s">
        <v>105</v>
      </c>
      <c r="AJ82" s="432"/>
      <c r="AK82" s="432"/>
      <c r="AL82" s="432"/>
      <c r="AM82" s="432"/>
      <c r="AN82" s="432"/>
      <c r="AO82" s="432"/>
      <c r="AP82" s="432"/>
      <c r="AQ82" s="534"/>
      <c r="AR82" s="432">
        <f t="shared" ref="AR82" si="32">SUM(AR75:AR81)</f>
        <v>164.60998225849306</v>
      </c>
      <c r="AS82" s="432">
        <f t="shared" ref="AS82:AV82" si="33">SUM(AS75:AS81)</f>
        <v>233.68005039402826</v>
      </c>
      <c r="AT82" s="432">
        <f t="shared" si="33"/>
        <v>250.77158060893373</v>
      </c>
      <c r="AU82" s="432">
        <f t="shared" si="33"/>
        <v>261.12117566895608</v>
      </c>
      <c r="AV82" s="432">
        <f t="shared" si="33"/>
        <v>249.35191345523876</v>
      </c>
    </row>
    <row r="83" spans="2:49" ht="15">
      <c r="E83" s="13" t="s">
        <v>21</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5">
      <c r="E84" s="13"/>
      <c r="AJ84" s="7"/>
      <c r="AK84" s="7"/>
      <c r="AL84" s="7"/>
      <c r="AM84" s="7"/>
      <c r="AN84" s="7"/>
      <c r="AO84" s="7"/>
      <c r="AP84" s="7"/>
      <c r="AQ84" s="7"/>
      <c r="AR84" s="7"/>
      <c r="AS84" s="7"/>
      <c r="AT84" s="7"/>
      <c r="AU84" s="7"/>
      <c r="AV84" s="7"/>
      <c r="AW84" s="7"/>
    </row>
    <row r="85" spans="2:49" ht="15">
      <c r="B85" s="37" t="s">
        <v>79</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87" priority="6" operator="equal">
      <formula>FALSE()</formula>
    </cfRule>
  </conditionalFormatting>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142875</xdr:colOff>
                    <xdr:row>0</xdr:row>
                    <xdr:rowOff>28575</xdr:rowOff>
                  </from>
                  <to>
                    <xdr:col>7</xdr:col>
                    <xdr:colOff>161925</xdr:colOff>
                    <xdr:row>0</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6"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842</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843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844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845</v>
      </c>
      <c r="F10" s="2"/>
      <c r="G10" s="2" t="s">
        <v>209</v>
      </c>
      <c r="H10" s="2"/>
      <c r="I10" s="302">
        <f>InputSummary!I212</f>
        <v>0.499</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2"/>
      <c r="E11" s="2" t="s">
        <v>846</v>
      </c>
      <c r="F11" s="2"/>
      <c r="G11" s="2" t="s">
        <v>209</v>
      </c>
      <c r="H11" s="2"/>
      <c r="I11" s="303">
        <f>1-I10</f>
        <v>0.501</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5">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5">
      <c r="A13" s="2"/>
      <c r="B13" s="2"/>
      <c r="C13" s="2"/>
      <c r="D13" s="2"/>
      <c r="E13" s="2" t="s">
        <v>127</v>
      </c>
      <c r="F13" s="2"/>
      <c r="G13" s="2" t="s">
        <v>105</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148.90801431369232</v>
      </c>
      <c r="AS13" s="8">
        <f>Totex!AS58</f>
        <v>211.03310993134065</v>
      </c>
      <c r="AT13" s="8">
        <f>Totex!AT58</f>
        <v>218.70918413067443</v>
      </c>
      <c r="AU13" s="8">
        <f>Totex!AU58</f>
        <v>227.5683887863587</v>
      </c>
      <c r="AV13" s="8">
        <f>Totex!AV58</f>
        <v>216.50855082856373</v>
      </c>
      <c r="AW13" s="2"/>
    </row>
    <row r="14" spans="1:49" ht="15">
      <c r="A14" s="2"/>
      <c r="B14" s="2"/>
      <c r="C14" s="2"/>
      <c r="D14" s="2"/>
      <c r="E14" s="2" t="s">
        <v>847</v>
      </c>
      <c r="F14" s="2"/>
      <c r="G14" s="2" t="s">
        <v>105</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-199.24408311178314</v>
      </c>
      <c r="AS14" s="8">
        <f>- Totex!AS19</f>
        <v>-210.8175604849788</v>
      </c>
      <c r="AT14" s="8">
        <f>- Totex!AT19</f>
        <v>-200.98623654945214</v>
      </c>
      <c r="AU14" s="8">
        <f>- Totex!AU19</f>
        <v>-211.58837151828487</v>
      </c>
      <c r="AV14" s="8">
        <f>- Totex!AV19</f>
        <v>-211.4059509844499</v>
      </c>
      <c r="AW14" s="2"/>
    </row>
    <row r="15" spans="1:49" ht="15">
      <c r="A15" s="2"/>
      <c r="B15" s="2"/>
      <c r="C15" s="2"/>
      <c r="D15" s="2"/>
      <c r="E15" s="2" t="s">
        <v>848</v>
      </c>
      <c r="F15" s="2"/>
      <c r="G15" s="2" t="s">
        <v>105</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-50.336068798090821</v>
      </c>
      <c r="AS15" s="432">
        <f t="shared" si="0"/>
        <v>0.21554944636184814</v>
      </c>
      <c r="AT15" s="432">
        <f t="shared" si="0"/>
        <v>17.722947581222286</v>
      </c>
      <c r="AU15" s="432">
        <f t="shared" si="0"/>
        <v>15.980017268073823</v>
      </c>
      <c r="AV15" s="432">
        <f t="shared" si="0"/>
        <v>5.1025998441138256</v>
      </c>
      <c r="AW15" s="2"/>
    </row>
    <row r="16" spans="1:49" ht="15">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5">
      <c r="A17" s="2"/>
      <c r="B17" s="2"/>
      <c r="C17" s="2"/>
      <c r="D17" s="2"/>
      <c r="E17" s="2" t="s">
        <v>846</v>
      </c>
      <c r="F17" s="2"/>
      <c r="G17" s="2" t="s">
        <v>209</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0.501</v>
      </c>
      <c r="AS17" s="210">
        <f t="shared" ref="AS17:AV17" si="1">$I11</f>
        <v>0.501</v>
      </c>
      <c r="AT17" s="210">
        <f t="shared" si="1"/>
        <v>0.501</v>
      </c>
      <c r="AU17" s="210">
        <f t="shared" si="1"/>
        <v>0.501</v>
      </c>
      <c r="AV17" s="210">
        <f t="shared" si="1"/>
        <v>0.501</v>
      </c>
      <c r="AW17" s="2"/>
    </row>
    <row r="18" spans="1:49" ht="15">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
      <c r="D19" s="2"/>
      <c r="E19" s="2" t="s">
        <v>849</v>
      </c>
      <c r="F19" s="2"/>
      <c r="G19" s="2" t="s">
        <v>105</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-25.218370467843503</v>
      </c>
      <c r="AS19" s="464">
        <f t="shared" si="2"/>
        <v>0.10799027262728592</v>
      </c>
      <c r="AT19" s="464">
        <f t="shared" si="2"/>
        <v>8.8791967381923644</v>
      </c>
      <c r="AU19" s="464">
        <f t="shared" si="2"/>
        <v>8.0059886513049854</v>
      </c>
      <c r="AV19" s="464">
        <f t="shared" si="2"/>
        <v>2.5564025219010267</v>
      </c>
      <c r="AW19" s="2"/>
    </row>
    <row r="20" spans="1:49" ht="15">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5">
      <c r="A21" s="2"/>
      <c r="B21" s="2"/>
      <c r="C21" s="20" t="s">
        <v>850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5">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845</v>
      </c>
      <c r="F23" s="2"/>
      <c r="G23" s="2" t="s">
        <v>209</v>
      </c>
      <c r="H23" s="2"/>
      <c r="I23" s="303">
        <f>I10</f>
        <v>0.499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2" t="s">
        <v>846</v>
      </c>
      <c r="F24" s="2"/>
      <c r="G24" s="2" t="s">
        <v>209</v>
      </c>
      <c r="H24" s="2"/>
      <c r="I24" s="303">
        <f>1-I23</f>
        <v>0.501</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5">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5">
      <c r="A26" s="2"/>
      <c r="B26" s="2"/>
      <c r="C26" s="2"/>
      <c r="D26" s="2"/>
      <c r="E26" s="2" t="s">
        <v>127</v>
      </c>
      <c r="F26" s="2"/>
      <c r="G26" s="2" t="s">
        <v>105</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15.701967944800717</v>
      </c>
      <c r="AS26" s="8">
        <f>Totex!AS71</f>
        <v>22.64694046268761</v>
      </c>
      <c r="AT26" s="8">
        <f>Totex!AT71</f>
        <v>32.062396478259259</v>
      </c>
      <c r="AU26" s="8">
        <f>Totex!AU71</f>
        <v>33.552786882597438</v>
      </c>
      <c r="AV26" s="8">
        <f>Totex!AV71</f>
        <v>32.843362626675045</v>
      </c>
      <c r="AW26" s="2"/>
    </row>
    <row r="27" spans="1:49" ht="15">
      <c r="A27" s="2"/>
      <c r="B27" s="2"/>
      <c r="C27" s="2"/>
      <c r="D27" s="2"/>
      <c r="E27" s="2" t="s">
        <v>847</v>
      </c>
      <c r="F27" s="2"/>
      <c r="G27" s="2" t="s">
        <v>105</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-17.003210398157506</v>
      </c>
      <c r="AS27" s="8">
        <f>- Totex!AS30</f>
        <v>-25.060720889805015</v>
      </c>
      <c r="AT27" s="8">
        <f>- Totex!AT30</f>
        <v>-30.533280933162089</v>
      </c>
      <c r="AU27" s="8">
        <f>- Totex!AU30</f>
        <v>-31.964202257835197</v>
      </c>
      <c r="AV27" s="8">
        <f>- Totex!AV30</f>
        <v>-32.889359828647329</v>
      </c>
      <c r="AW27" s="2"/>
    </row>
    <row r="28" spans="1:49" ht="15">
      <c r="A28" s="2"/>
      <c r="B28" s="2"/>
      <c r="C28" s="2"/>
      <c r="D28" s="2"/>
      <c r="E28" s="2" t="s">
        <v>848</v>
      </c>
      <c r="F28" s="2"/>
      <c r="G28" s="2" t="s">
        <v>105</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-1.3012424533567888</v>
      </c>
      <c r="AS28" s="432">
        <f t="shared" si="3"/>
        <v>-2.4137804271174055</v>
      </c>
      <c r="AT28" s="432">
        <f t="shared" si="3"/>
        <v>1.5291155450971701</v>
      </c>
      <c r="AU28" s="432">
        <f t="shared" si="3"/>
        <v>1.588584624762241</v>
      </c>
      <c r="AV28" s="432">
        <f t="shared" si="3"/>
        <v>-4.5997201972284074E-2</v>
      </c>
      <c r="AW28" s="2"/>
    </row>
    <row r="29" spans="1:49" ht="15">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5">
      <c r="A30" s="2"/>
      <c r="B30" s="2"/>
      <c r="C30" s="2"/>
      <c r="D30" s="2"/>
      <c r="E30" s="2" t="s">
        <v>846</v>
      </c>
      <c r="F30" s="2"/>
      <c r="G30" s="2" t="s">
        <v>209</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0.501</v>
      </c>
      <c r="AS30" s="210">
        <f t="shared" ref="AS30:AV30" si="4">$I24</f>
        <v>0.501</v>
      </c>
      <c r="AT30" s="210">
        <f t="shared" si="4"/>
        <v>0.501</v>
      </c>
      <c r="AU30" s="210">
        <f t="shared" si="4"/>
        <v>0.501</v>
      </c>
      <c r="AV30" s="210">
        <f t="shared" si="4"/>
        <v>0.501</v>
      </c>
      <c r="AW30" s="2"/>
    </row>
    <row r="31" spans="1:49" ht="15">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5">
      <c r="A32" s="2"/>
      <c r="B32" s="2"/>
      <c r="C32" s="2"/>
      <c r="D32" s="2"/>
      <c r="E32" s="2" t="s">
        <v>849</v>
      </c>
      <c r="F32" s="2"/>
      <c r="G32" s="2" t="s">
        <v>105</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-0.65192246913175123</v>
      </c>
      <c r="AS32" s="537">
        <f t="shared" si="5"/>
        <v>-1.2093039939858201</v>
      </c>
      <c r="AT32" s="537">
        <f t="shared" si="5"/>
        <v>0.76608688809368219</v>
      </c>
      <c r="AU32" s="537">
        <f t="shared" si="5"/>
        <v>0.79588089700588271</v>
      </c>
      <c r="AV32" s="537">
        <f t="shared" si="5"/>
        <v>-2.3044598188114322E-2</v>
      </c>
      <c r="AW32" s="2"/>
    </row>
    <row r="33" spans="1:49" ht="15">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5">
      <c r="A34" s="2"/>
      <c r="B34" s="22" t="s">
        <v>851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5">
      <c r="A36" s="2"/>
      <c r="B36" s="2"/>
      <c r="C36" s="20" t="s">
        <v>844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5">
      <c r="A38" s="2"/>
      <c r="B38" s="2"/>
      <c r="C38" s="2"/>
      <c r="D38" s="2"/>
      <c r="E38" s="2" t="s">
        <v>852</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199.24408311178314</v>
      </c>
      <c r="AS38" s="2">
        <f>-AS14</f>
        <v>210.8175604849788</v>
      </c>
      <c r="AT38" s="2">
        <f>-AT14</f>
        <v>200.98623654945214</v>
      </c>
      <c r="AU38" s="2">
        <f>-AU14</f>
        <v>211.58837151828487</v>
      </c>
      <c r="AV38" s="2">
        <f>-AV14</f>
        <v>211.4059509844499</v>
      </c>
      <c r="AW38" s="2"/>
    </row>
    <row r="39" spans="1:49" ht="15">
      <c r="A39" s="2"/>
      <c r="B39" s="2"/>
      <c r="C39" s="2"/>
      <c r="D39" s="2"/>
      <c r="E39" s="2" t="s">
        <v>849</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-25.218370467843503</v>
      </c>
      <c r="AS39" s="2">
        <f>AS19</f>
        <v>0.10799027262728592</v>
      </c>
      <c r="AT39" s="2">
        <f>AT19</f>
        <v>8.8791967381923644</v>
      </c>
      <c r="AU39" s="2">
        <f>AU19</f>
        <v>8.0059886513049854</v>
      </c>
      <c r="AV39" s="2">
        <f>AV19</f>
        <v>2.5564025219010267</v>
      </c>
      <c r="AW39" s="2"/>
    </row>
    <row r="40" spans="1:49" ht="15">
      <c r="A40" s="2"/>
      <c r="B40" s="2"/>
      <c r="C40" s="2"/>
      <c r="D40" s="2"/>
      <c r="E40" s="2" t="s">
        <v>851</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174.02571264393964</v>
      </c>
      <c r="AS40" s="432">
        <f t="shared" si="6"/>
        <v>210.92555075760609</v>
      </c>
      <c r="AT40" s="432">
        <f t="shared" si="6"/>
        <v>209.86543328764452</v>
      </c>
      <c r="AU40" s="432">
        <f t="shared" si="6"/>
        <v>219.59436016958986</v>
      </c>
      <c r="AV40" s="432">
        <f t="shared" si="6"/>
        <v>213.96235350635092</v>
      </c>
      <c r="AW40" s="2"/>
    </row>
    <row r="41" spans="1:49" ht="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5">
      <c r="A42" s="2"/>
      <c r="B42" s="2"/>
      <c r="C42" s="20" t="s">
        <v>850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5">
      <c r="A44" s="2"/>
      <c r="B44" s="2"/>
      <c r="C44" s="2"/>
      <c r="D44" s="2"/>
      <c r="E44" s="2" t="s">
        <v>852</v>
      </c>
      <c r="F44" s="2"/>
      <c r="G44" s="2" t="s">
        <v>105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17.003210398157506</v>
      </c>
      <c r="AS44" s="2">
        <f>-AS27</f>
        <v>25.060720889805015</v>
      </c>
      <c r="AT44" s="2">
        <f>-AT27</f>
        <v>30.533280933162089</v>
      </c>
      <c r="AU44" s="2">
        <f>-AU27</f>
        <v>31.964202257835197</v>
      </c>
      <c r="AV44" s="2">
        <f>-AV27</f>
        <v>32.889359828647329</v>
      </c>
      <c r="AW44" s="2"/>
    </row>
    <row r="45" spans="1:49" ht="15">
      <c r="A45" s="2"/>
      <c r="B45" s="2"/>
      <c r="C45" s="2"/>
      <c r="D45" s="2"/>
      <c r="E45" s="2" t="s">
        <v>849</v>
      </c>
      <c r="F45" s="2"/>
      <c r="G45" s="2" t="s">
        <v>105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-0.65192246913175123</v>
      </c>
      <c r="AS45" s="2">
        <f>AS32</f>
        <v>-1.2093039939858201</v>
      </c>
      <c r="AT45" s="2">
        <f>AT32</f>
        <v>0.76608688809368219</v>
      </c>
      <c r="AU45" s="2">
        <f>AU32</f>
        <v>0.79588089700588271</v>
      </c>
      <c r="AV45" s="2">
        <f>AV32</f>
        <v>-2.3044598188114322E-2</v>
      </c>
      <c r="AW45" s="2"/>
    </row>
    <row r="46" spans="1:49" ht="15">
      <c r="A46" s="2"/>
      <c r="B46" s="2"/>
      <c r="C46" s="2"/>
      <c r="D46" s="2"/>
      <c r="E46" s="2" t="s">
        <v>851</v>
      </c>
      <c r="F46" s="2"/>
      <c r="G46" s="2" t="s">
        <v>105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16.351287929025755</v>
      </c>
      <c r="AS46" s="432">
        <f t="shared" si="7"/>
        <v>23.851416895819195</v>
      </c>
      <c r="AT46" s="432">
        <f t="shared" si="7"/>
        <v>31.299367821255771</v>
      </c>
      <c r="AU46" s="432">
        <f t="shared" si="7"/>
        <v>32.760083154841077</v>
      </c>
      <c r="AV46" s="432">
        <f t="shared" si="7"/>
        <v>32.866315230459215</v>
      </c>
      <c r="AW46" s="2"/>
    </row>
    <row r="47" spans="1:49" ht="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5">
      <c r="A48" s="2"/>
      <c r="B48" s="22" t="s">
        <v>853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5">
      <c r="A50" s="2"/>
      <c r="B50" s="2"/>
      <c r="C50" s="20" t="s">
        <v>854</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5">
      <c r="A52" s="2"/>
      <c r="B52" s="2"/>
      <c r="C52" s="2"/>
      <c r="D52" s="2"/>
      <c r="E52" s="2" t="s">
        <v>851</v>
      </c>
      <c r="F52" s="2"/>
      <c r="G52" s="2" t="s">
        <v>105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174.02571264393964</v>
      </c>
      <c r="AS52" s="2">
        <f>AS40</f>
        <v>210.92555075760609</v>
      </c>
      <c r="AT52" s="2">
        <f>AT40</f>
        <v>209.86543328764452</v>
      </c>
      <c r="AU52" s="2">
        <f>AU40</f>
        <v>219.59436016958986</v>
      </c>
      <c r="AV52" s="2">
        <f>AV40</f>
        <v>213.96235350635092</v>
      </c>
      <c r="AW52" s="2"/>
    </row>
    <row r="53" spans="1:49" ht="15">
      <c r="A53" s="2"/>
      <c r="B53" s="2"/>
      <c r="C53" s="2"/>
      <c r="D53" s="2"/>
      <c r="E53" s="2" t="s">
        <v>855</v>
      </c>
      <c r="F53" s="2"/>
      <c r="G53" s="2" t="s">
        <v>209</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0.73</v>
      </c>
      <c r="AS53" s="201">
        <f>InputSummary!AS209</f>
        <v>0.73</v>
      </c>
      <c r="AT53" s="201">
        <f>InputSummary!AT209</f>
        <v>0.73</v>
      </c>
      <c r="AU53" s="201">
        <f>InputSummary!AU209</f>
        <v>0.73</v>
      </c>
      <c r="AV53" s="201">
        <f>InputSummary!AV209</f>
        <v>0.73</v>
      </c>
      <c r="AW53" s="2"/>
    </row>
    <row r="54" spans="1:49" ht="15">
      <c r="A54" s="2"/>
      <c r="B54" s="2"/>
      <c r="C54" s="2"/>
      <c r="D54" s="2"/>
      <c r="E54" s="2" t="s">
        <v>525</v>
      </c>
      <c r="F54" s="2"/>
      <c r="G54" s="2" t="s">
        <v>105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46.986942413863709</v>
      </c>
      <c r="AS54" s="432">
        <f t="shared" si="8"/>
        <v>56.949898704553647</v>
      </c>
      <c r="AT54" s="432">
        <f t="shared" si="8"/>
        <v>56.663666987664023</v>
      </c>
      <c r="AU54" s="432">
        <f t="shared" si="8"/>
        <v>59.290477245789269</v>
      </c>
      <c r="AV54" s="432">
        <f t="shared" si="8"/>
        <v>57.769835446714751</v>
      </c>
      <c r="AW54" s="2"/>
    </row>
    <row r="55" spans="1:49" ht="15">
      <c r="A55" s="2"/>
      <c r="B55" s="2"/>
      <c r="C55" s="2"/>
      <c r="D55" s="2"/>
      <c r="E55" s="2" t="s">
        <v>856</v>
      </c>
      <c r="F55" s="2"/>
      <c r="G55" s="2" t="s">
        <v>105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127.03877023007594</v>
      </c>
      <c r="AS55" s="2">
        <f t="shared" si="9"/>
        <v>153.97565205305244</v>
      </c>
      <c r="AT55" s="2">
        <f t="shared" si="9"/>
        <v>153.20176629998051</v>
      </c>
      <c r="AU55" s="2">
        <f t="shared" si="9"/>
        <v>160.30388292380059</v>
      </c>
      <c r="AV55" s="2">
        <f t="shared" si="9"/>
        <v>156.19251805963617</v>
      </c>
      <c r="AW55" s="2"/>
    </row>
    <row r="56" spans="1:49" ht="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5">
      <c r="A57" s="2"/>
      <c r="B57" s="2"/>
      <c r="C57" s="20" t="s">
        <v>857</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5">
      <c r="A59" s="2"/>
      <c r="B59" s="2"/>
      <c r="C59" s="2"/>
      <c r="D59" s="2"/>
      <c r="E59" s="2" t="s">
        <v>851</v>
      </c>
      <c r="F59" s="2"/>
      <c r="G59" s="2" t="s">
        <v>105</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16.351287929025755</v>
      </c>
      <c r="AS59" s="2">
        <f>AS46</f>
        <v>23.851416895819195</v>
      </c>
      <c r="AT59" s="2">
        <f>AT46</f>
        <v>31.299367821255771</v>
      </c>
      <c r="AU59" s="2">
        <f>AU46</f>
        <v>32.760083154841077</v>
      </c>
      <c r="AV59" s="2">
        <f>AV46</f>
        <v>32.866315230459215</v>
      </c>
      <c r="AW59" s="2"/>
    </row>
    <row r="60" spans="1:49" ht="15">
      <c r="A60" s="2"/>
      <c r="B60" s="2"/>
      <c r="C60" s="2"/>
      <c r="D60" s="2"/>
      <c r="E60" s="2" t="s">
        <v>855</v>
      </c>
      <c r="F60" s="2"/>
      <c r="G60" s="2" t="s">
        <v>209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5">
      <c r="A61" s="2"/>
      <c r="B61" s="2"/>
      <c r="C61" s="2"/>
      <c r="D61" s="2"/>
      <c r="E61" s="2" t="s">
        <v>525</v>
      </c>
      <c r="F61" s="2"/>
      <c r="G61" s="2" t="s">
        <v>105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2.4526931893538637</v>
      </c>
      <c r="AS61" s="432">
        <f t="shared" si="10"/>
        <v>3.5777125343728797</v>
      </c>
      <c r="AT61" s="432">
        <f t="shared" si="10"/>
        <v>4.6949051731883662</v>
      </c>
      <c r="AU61" s="432">
        <f t="shared" si="10"/>
        <v>4.9140124732261619</v>
      </c>
      <c r="AV61" s="432">
        <f t="shared" si="10"/>
        <v>4.9299472845688825</v>
      </c>
      <c r="AW61" s="2"/>
    </row>
    <row r="62" spans="1:49" ht="15">
      <c r="A62" s="2"/>
      <c r="B62" s="2"/>
      <c r="C62" s="2"/>
      <c r="D62" s="2"/>
      <c r="E62" s="2" t="s">
        <v>856</v>
      </c>
      <c r="F62" s="2"/>
      <c r="G62" s="2"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13.898594739671891</v>
      </c>
      <c r="AS62" s="2">
        <f t="shared" si="11"/>
        <v>20.273704361446317</v>
      </c>
      <c r="AT62" s="2">
        <f t="shared" si="11"/>
        <v>26.604462648067404</v>
      </c>
      <c r="AU62" s="2">
        <f t="shared" si="11"/>
        <v>27.846070681614915</v>
      </c>
      <c r="AV62" s="2">
        <f t="shared" si="11"/>
        <v>27.936367945890332</v>
      </c>
      <c r="AW62" s="2"/>
    </row>
    <row r="63" spans="1:49" ht="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5">
      <c r="A64" s="2"/>
      <c r="B64" s="2"/>
      <c r="C64" s="28" t="s">
        <v>858</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5">
      <c r="C66" s="2"/>
      <c r="D66" s="2"/>
      <c r="E66" s="2" t="s">
        <v>525</v>
      </c>
      <c r="F66" s="2"/>
      <c r="G66" s="2" t="s">
        <v>105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49.439635603217575</v>
      </c>
      <c r="AS66" s="538">
        <f t="shared" ref="AS66:AV66" si="12">AS54+AS61</f>
        <v>60.527611238926525</v>
      </c>
      <c r="AT66" s="538">
        <f t="shared" si="12"/>
        <v>61.35857216085239</v>
      </c>
      <c r="AU66" s="538">
        <f t="shared" si="12"/>
        <v>64.204489719015427</v>
      </c>
      <c r="AV66" s="538">
        <f t="shared" si="12"/>
        <v>62.699782731283634</v>
      </c>
    </row>
    <row r="67" spans="1:49">
      <c r="AQ67" s="220"/>
    </row>
    <row r="68" spans="1:49" ht="15">
      <c r="C68" s="2"/>
      <c r="D68" s="2"/>
      <c r="E68" s="2" t="s">
        <v>856</v>
      </c>
      <c r="F68" s="2"/>
      <c r="G68" s="2" t="s">
        <v>105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140.93736496974782</v>
      </c>
      <c r="AS68" s="538">
        <f t="shared" ref="AS68:AV68" si="13">AS55+AS62</f>
        <v>174.24935641449875</v>
      </c>
      <c r="AT68" s="538">
        <f t="shared" si="13"/>
        <v>179.8062289480479</v>
      </c>
      <c r="AU68" s="538">
        <f t="shared" si="13"/>
        <v>188.1499536054155</v>
      </c>
      <c r="AV68" s="538">
        <f t="shared" si="13"/>
        <v>184.12888600552651</v>
      </c>
    </row>
    <row r="69" spans="1:49" ht="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5">
      <c r="A70" s="72"/>
      <c r="B70" s="72"/>
      <c r="C70" s="72"/>
      <c r="D70" s="72"/>
      <c r="E70" s="72" t="s">
        <v>859</v>
      </c>
      <c r="F70" s="72"/>
      <c r="G70" s="72" t="s">
        <v>209</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0.74030667856714683</v>
      </c>
      <c r="AS70" s="304">
        <f t="shared" si="14"/>
        <v>0.74219101710063562</v>
      </c>
      <c r="AT70" s="304">
        <f t="shared" si="14"/>
        <v>0.74557409755188386</v>
      </c>
      <c r="AU70" s="304">
        <f t="shared" si="14"/>
        <v>0.74557812863047912</v>
      </c>
      <c r="AV70" s="304">
        <f t="shared" si="14"/>
        <v>0.7459785240824699</v>
      </c>
      <c r="AW70" s="72"/>
    </row>
    <row r="71" spans="1:49" ht="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5">
      <c r="B72" s="22" t="s">
        <v>529</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5">
      <c r="B74" s="2"/>
      <c r="C74" s="28" t="s">
        <v>860</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5">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5">
      <c r="B76" s="2"/>
      <c r="C76" s="2"/>
      <c r="D76" s="2"/>
      <c r="E76" s="82" t="s">
        <v>194</v>
      </c>
      <c r="F76" s="2"/>
      <c r="G76" s="2" t="s">
        <v>105</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0</v>
      </c>
      <c r="AS76" s="30">
        <f>InputSummary!AS113</f>
        <v>0</v>
      </c>
      <c r="AT76" s="30">
        <f>InputSummary!AT113</f>
        <v>0</v>
      </c>
      <c r="AU76" s="30">
        <f>InputSummary!AU113</f>
        <v>0</v>
      </c>
      <c r="AV76" s="30">
        <f>InputSummary!AV113</f>
        <v>0</v>
      </c>
      <c r="AW76" s="7"/>
    </row>
    <row r="77" spans="1:49" ht="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5">
      <c r="B78" s="37" t="s">
        <v>79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Row="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0" width="9.625" hidden="1" customWidth="1" outlineLevel="1"/>
    <col min="31" max="31" width="12.625" hidden="1" customWidth="1" outlineLevel="1"/>
    <col min="32" max="35" width="9.625" hidden="1" customWidth="1" outlineLevel="1"/>
    <col min="36" max="48" width="9.625" customWidth="1"/>
    <col min="49" max="49" width="3" customWidth="1"/>
    <col min="50" max="53" width="9" hidden="1" customWidth="1"/>
    <col min="54" max="54" width="10.75" hidden="1" customWidth="1"/>
    <col min="55" max="99" width="0" hidden="1" customWidth="1"/>
    <col min="100" max="103" width="9" hidden="1" customWidth="1"/>
    <col min="104" max="104" width="10.75" hidden="1" customWidth="1"/>
    <col min="105" max="16384" width="9" hidden="1"/>
  </cols>
  <sheetData>
    <row r="1" spans="1:49" ht="19.5">
      <c r="A1" s="195" t="s">
        <v>861</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862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541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276</v>
      </c>
      <c r="F10" s="2"/>
      <c r="G10" s="2" t="s">
        <v>277</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5">
      <c r="A11" s="2"/>
      <c r="B11" s="2"/>
      <c r="C11" s="2"/>
      <c r="D11" s="2"/>
      <c r="E11" s="2" t="s">
        <v>280</v>
      </c>
      <c r="F11" s="2"/>
      <c r="G11" s="2" t="s">
        <v>281</v>
      </c>
      <c r="H11" s="2"/>
      <c r="I11" s="8">
        <f>InputSummary!I218</f>
        <v>14</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5">
      <c r="A12" s="2"/>
      <c r="B12" s="2"/>
      <c r="C12" s="2"/>
      <c r="D12" s="2"/>
      <c r="E12" s="2" t="s">
        <v>863</v>
      </c>
      <c r="F12" s="2"/>
      <c r="G12" s="2" t="s">
        <v>279</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5">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5">
      <c r="A14" s="2"/>
      <c r="B14" s="2"/>
      <c r="C14" s="2"/>
      <c r="D14" s="2"/>
      <c r="E14" s="2" t="s">
        <v>546</v>
      </c>
      <c r="F14" s="2"/>
      <c r="G14" s="2" t="s">
        <v>547</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5">
      <c r="A15" s="2"/>
      <c r="B15" s="2"/>
      <c r="C15" s="2"/>
      <c r="D15" s="2"/>
      <c r="E15" s="2" t="s">
        <v>548</v>
      </c>
      <c r="F15" s="2"/>
      <c r="G15" s="2" t="s">
        <v>547</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5">
      <c r="A16" s="2"/>
      <c r="B16" s="2"/>
      <c r="C16" s="2"/>
      <c r="D16" s="2"/>
      <c r="E16" s="2" t="s">
        <v>549</v>
      </c>
      <c r="F16" s="2"/>
      <c r="G16" s="2" t="s">
        <v>547</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5">
      <c r="A17" s="2"/>
      <c r="B17" s="2"/>
      <c r="C17" s="2"/>
      <c r="D17" s="2"/>
      <c r="E17" s="2" t="s">
        <v>864</v>
      </c>
      <c r="F17" s="2"/>
      <c r="G17" s="2" t="s">
        <v>865</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0</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5">
      <c r="A18" s="2"/>
      <c r="B18" s="2"/>
      <c r="C18" s="2"/>
      <c r="D18" s="2"/>
      <c r="E18" s="2" t="s">
        <v>866</v>
      </c>
      <c r="F18" s="2"/>
      <c r="G18" s="2" t="s">
        <v>865</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1</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5">
      <c r="A20" s="2"/>
      <c r="B20" s="2"/>
      <c r="C20" s="20" t="s">
        <v>867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5">
      <c r="A21" s="2"/>
      <c r="B21" s="2"/>
      <c r="C21" s="4" t="s">
        <v>868</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869</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56" t="s">
        <v>870</v>
      </c>
      <c r="F24" s="7"/>
      <c r="G24" s="2" t="s">
        <v>105</v>
      </c>
      <c r="H24" s="7"/>
      <c r="I24" s="7"/>
      <c r="J24" s="2"/>
      <c r="K24" s="8">
        <f>InputSummary!K229 + InputSummary!K231</f>
        <v>24.265624180091308</v>
      </c>
      <c r="L24" s="8">
        <f>InputSummary!L229 + InputSummary!L231</f>
        <v>75.575379125780543</v>
      </c>
      <c r="M24" s="8">
        <f>InputSummary!M229 + InputSummary!M231</f>
        <v>78.539119483654289</v>
      </c>
      <c r="N24" s="8">
        <f>InputSummary!N229 + InputSummary!N231</f>
        <v>89.097444508579528</v>
      </c>
      <c r="O24" s="8">
        <f>InputSummary!O229 + InputSummary!O231</f>
        <v>105.21278270451801</v>
      </c>
      <c r="P24" s="8">
        <f>InputSummary!P229 + InputSummary!P231</f>
        <v>77.61295062181874</v>
      </c>
      <c r="Q24" s="8">
        <f>InputSummary!Q229 + InputSummary!Q231</f>
        <v>83.169963792832021</v>
      </c>
      <c r="R24" s="8">
        <f>InputSummary!R229 + InputSummary!R231</f>
        <v>76.316314215248994</v>
      </c>
      <c r="S24" s="8">
        <f>InputSummary!S229 + InputSummary!S231</f>
        <v>81.374484759045359</v>
      </c>
      <c r="T24" s="8">
        <f>InputSummary!T229 + InputSummary!T231</f>
        <v>86.472798316801928</v>
      </c>
      <c r="U24" s="8">
        <f>InputSummary!U229 + InputSummary!U231</f>
        <v>88.773713396244773</v>
      </c>
      <c r="V24" s="8">
        <f>InputSummary!V229 + InputSummary!V231</f>
        <v>99.987059669302653</v>
      </c>
      <c r="W24" s="8">
        <f>InputSummary!W229 + InputSummary!W231</f>
        <v>92.334630861645195</v>
      </c>
      <c r="X24" s="8">
        <f>InputSummary!X229 + InputSummary!X231</f>
        <v>97.405183056914325</v>
      </c>
      <c r="Y24" s="8">
        <f>InputSummary!Y229 + InputSummary!Y231</f>
        <v>91.254455029953064</v>
      </c>
      <c r="Z24" s="8">
        <f>InputSummary!Z229 + InputSummary!Z231</f>
        <v>107.8513973764981</v>
      </c>
      <c r="AA24" s="8">
        <f>InputSummary!AA229 + InputSummary!AA231</f>
        <v>112.7814106362575</v>
      </c>
      <c r="AB24" s="8">
        <f>InputSummary!AB229 + InputSummary!AB231</f>
        <v>129.46104758722427</v>
      </c>
      <c r="AC24" s="8">
        <f>InputSummary!AC229 + InputSummary!AC231</f>
        <v>128.05734461084816</v>
      </c>
      <c r="AD24" s="8">
        <f>InputSummary!AD229 + InputSummary!AD231</f>
        <v>124.36188074160526</v>
      </c>
      <c r="AE24" s="8">
        <f>InputSummary!AE229 + InputSummary!AE231</f>
        <v>110.51366635320358</v>
      </c>
      <c r="AF24" s="8">
        <f>InputSummary!AF229 + InputSummary!AF231</f>
        <v>110.87417588734979</v>
      </c>
      <c r="AG24" s="8">
        <f>InputSummary!AG229 + InputSummary!AG231</f>
        <v>159.43632367418397</v>
      </c>
      <c r="AH24" s="8">
        <f>InputSummary!AH229 + InputSummary!AH231</f>
        <v>178.78617238698774</v>
      </c>
      <c r="AI24" s="8">
        <f>InputSummary!AI229 + InputSummary!AI231</f>
        <v>189.91789599238535</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5">
      <c r="A25" s="2"/>
      <c r="B25" s="2"/>
      <c r="C25" s="2"/>
      <c r="D25" s="2"/>
      <c r="E25" s="56" t="s">
        <v>871</v>
      </c>
      <c r="F25" s="7"/>
      <c r="G25" s="2" t="s">
        <v>105</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152.19899361527973</v>
      </c>
      <c r="AK25" s="8">
        <f>InputSummary!AK235</f>
        <v>149.2499241158919</v>
      </c>
      <c r="AL25" s="8">
        <f>InputSummary!AL235</f>
        <v>137.44824217505581</v>
      </c>
      <c r="AM25" s="8">
        <f>InputSummary!AM235</f>
        <v>137.88772970021392</v>
      </c>
      <c r="AN25" s="8">
        <f>InputSummary!AN235</f>
        <v>144.58958014338717</v>
      </c>
      <c r="AO25" s="8">
        <f>InputSummary!AO235</f>
        <v>137.63932832006341</v>
      </c>
      <c r="AP25" s="8">
        <f>InputSummary!AP235</f>
        <v>127.41891356475148</v>
      </c>
      <c r="AQ25" s="9">
        <f>InputSummary!AQ235</f>
        <v>115.32547935840009</v>
      </c>
      <c r="AR25" s="8">
        <f>InputSummary!AR235</f>
        <v>0</v>
      </c>
      <c r="AS25" s="8">
        <f>InputSummary!AS235</f>
        <v>0</v>
      </c>
      <c r="AT25" s="8">
        <f>InputSummary!AT235</f>
        <v>0</v>
      </c>
      <c r="AU25" s="8">
        <f>InputSummary!AU235</f>
        <v>0</v>
      </c>
      <c r="AV25" s="8">
        <f>InputSummary!AV235</f>
        <v>0</v>
      </c>
      <c r="AW25" s="2"/>
    </row>
    <row r="26" spans="1:49" ht="15">
      <c r="A26" s="2"/>
      <c r="B26" s="2"/>
      <c r="C26" s="2"/>
      <c r="D26" s="2"/>
      <c r="E26" s="56" t="s">
        <v>872</v>
      </c>
      <c r="F26" s="7"/>
      <c r="G26" s="2" t="s">
        <v>105</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140.93736496974782</v>
      </c>
      <c r="AS26" s="8">
        <f>TIM!AS68*AS16</f>
        <v>174.24935641449875</v>
      </c>
      <c r="AT26" s="8">
        <f>TIM!AT68*AT16</f>
        <v>179.8062289480479</v>
      </c>
      <c r="AU26" s="8">
        <f>TIM!AU68*AU16</f>
        <v>188.1499536054155</v>
      </c>
      <c r="AV26" s="8">
        <f>TIM!AV68*AV16</f>
        <v>184.12888600552651</v>
      </c>
      <c r="AW26" s="2"/>
    </row>
    <row r="27" spans="1:49" ht="15">
      <c r="A27" s="2"/>
      <c r="B27" s="2"/>
      <c r="C27" s="2"/>
      <c r="D27" s="2"/>
      <c r="E27" s="56" t="s">
        <v>873</v>
      </c>
      <c r="F27" s="7"/>
      <c r="G27" s="2" t="s">
        <v>105</v>
      </c>
      <c r="H27" s="7"/>
      <c r="I27" s="7"/>
      <c r="J27" s="2"/>
      <c r="K27" s="432">
        <f t="shared" ref="K27:L27" si="2">SUM(K24:K26)</f>
        <v>24.265624180091308</v>
      </c>
      <c r="L27" s="432">
        <f t="shared" si="2"/>
        <v>75.575379125780543</v>
      </c>
      <c r="M27" s="432">
        <f t="shared" ref="M27" si="3">SUM(M24:M26)</f>
        <v>78.539119483654289</v>
      </c>
      <c r="N27" s="432">
        <f t="shared" ref="N27" si="4">SUM(N24:N26)</f>
        <v>89.097444508579528</v>
      </c>
      <c r="O27" s="432">
        <f t="shared" ref="O27" si="5">SUM(O24:O26)</f>
        <v>105.21278270451801</v>
      </c>
      <c r="P27" s="432">
        <f t="shared" ref="P27" si="6">SUM(P24:P26)</f>
        <v>77.61295062181874</v>
      </c>
      <c r="Q27" s="432">
        <f t="shared" ref="Q27" si="7">SUM(Q24:Q26)</f>
        <v>83.169963792832021</v>
      </c>
      <c r="R27" s="432">
        <f t="shared" ref="R27" si="8">SUM(R24:R26)</f>
        <v>76.316314215248994</v>
      </c>
      <c r="S27" s="432">
        <f t="shared" ref="S27" si="9">SUM(S24:S26)</f>
        <v>81.374484759045359</v>
      </c>
      <c r="T27" s="432">
        <f t="shared" ref="T27" si="10">SUM(T24:T26)</f>
        <v>86.472798316801928</v>
      </c>
      <c r="U27" s="432">
        <f t="shared" ref="U27" si="11">SUM(U24:U26)</f>
        <v>88.773713396244773</v>
      </c>
      <c r="V27" s="432">
        <f t="shared" ref="V27" si="12">SUM(V24:V26)</f>
        <v>99.987059669302653</v>
      </c>
      <c r="W27" s="432">
        <f t="shared" ref="W27" si="13">SUM(W24:W26)</f>
        <v>92.334630861645195</v>
      </c>
      <c r="X27" s="432">
        <f t="shared" ref="X27" si="14">SUM(X24:X26)</f>
        <v>97.405183056914325</v>
      </c>
      <c r="Y27" s="432">
        <f t="shared" ref="Y27" si="15">SUM(Y24:Y26)</f>
        <v>91.254455029953064</v>
      </c>
      <c r="Z27" s="432">
        <f t="shared" ref="Z27" si="16">SUM(Z24:Z26)</f>
        <v>107.8513973764981</v>
      </c>
      <c r="AA27" s="432">
        <f t="shared" ref="AA27" si="17">SUM(AA24:AA26)</f>
        <v>112.7814106362575</v>
      </c>
      <c r="AB27" s="432">
        <f t="shared" ref="AB27" si="18">SUM(AB24:AB26)</f>
        <v>129.46104758722427</v>
      </c>
      <c r="AC27" s="432">
        <f t="shared" ref="AC27" si="19">SUM(AC24:AC26)</f>
        <v>128.05734461084816</v>
      </c>
      <c r="AD27" s="432">
        <f t="shared" ref="AD27" si="20">SUM(AD24:AD26)</f>
        <v>124.36188074160526</v>
      </c>
      <c r="AE27" s="432">
        <f t="shared" ref="AE27" si="21">SUM(AE24:AE26)</f>
        <v>110.51366635320358</v>
      </c>
      <c r="AF27" s="432">
        <f t="shared" ref="AF27" si="22">SUM(AF24:AF26)</f>
        <v>110.87417588734979</v>
      </c>
      <c r="AG27" s="432">
        <f t="shared" ref="AG27" si="23">SUM(AG24:AG26)</f>
        <v>159.43632367418397</v>
      </c>
      <c r="AH27" s="432">
        <f t="shared" ref="AH27" si="24">SUM(AH24:AH26)</f>
        <v>178.78617238698774</v>
      </c>
      <c r="AI27" s="432">
        <f t="shared" ref="AI27" si="25">SUM(AI24:AI26)</f>
        <v>189.91789599238535</v>
      </c>
      <c r="AJ27" s="432">
        <f>SUM(AJ24:AJ26)</f>
        <v>152.19899361527973</v>
      </c>
      <c r="AK27" s="432">
        <f t="shared" ref="AK27" si="26">SUM(AK24:AK26)</f>
        <v>149.2499241158919</v>
      </c>
      <c r="AL27" s="432">
        <f t="shared" ref="AL27" si="27">SUM(AL24:AL26)</f>
        <v>137.44824217505581</v>
      </c>
      <c r="AM27" s="432">
        <f t="shared" ref="AM27" si="28">SUM(AM24:AM26)</f>
        <v>137.88772970021392</v>
      </c>
      <c r="AN27" s="432">
        <f t="shared" ref="AN27" si="29">SUM(AN24:AN26)</f>
        <v>144.58958014338717</v>
      </c>
      <c r="AO27" s="432">
        <f t="shared" ref="AO27" si="30">SUM(AO24:AO26)</f>
        <v>137.63932832006341</v>
      </c>
      <c r="AP27" s="432">
        <f t="shared" ref="AP27" si="31">SUM(AP24:AP26)</f>
        <v>127.41891356475148</v>
      </c>
      <c r="AQ27" s="534">
        <f t="shared" ref="AQ27" si="32">SUM(AQ24:AQ26)</f>
        <v>115.32547935840009</v>
      </c>
      <c r="AR27" s="432">
        <f t="shared" ref="AR27" si="33">SUM(AR24:AR26)</f>
        <v>140.93736496974782</v>
      </c>
      <c r="AS27" s="432">
        <f t="shared" ref="AS27" si="34">SUM(AS24:AS26)</f>
        <v>174.24935641449875</v>
      </c>
      <c r="AT27" s="432">
        <f t="shared" ref="AT27:AV27" si="35">SUM(AT24:AT26)</f>
        <v>179.8062289480479</v>
      </c>
      <c r="AU27" s="432">
        <f t="shared" si="35"/>
        <v>188.1499536054155</v>
      </c>
      <c r="AV27" s="432">
        <f t="shared" si="35"/>
        <v>184.12888600552651</v>
      </c>
      <c r="AW27" s="2"/>
    </row>
    <row r="28" spans="1:49" ht="15">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5">
      <c r="A29" s="2"/>
      <c r="B29" s="2"/>
      <c r="C29" s="2"/>
      <c r="D29" s="2"/>
      <c r="E29" s="56" t="s">
        <v>874</v>
      </c>
      <c r="F29" s="7"/>
      <c r="G29" s="2" t="s">
        <v>105</v>
      </c>
      <c r="H29" s="7"/>
      <c r="I29" s="7"/>
      <c r="J29" s="2"/>
      <c r="K29" s="2">
        <f t="shared" ref="K29:AV29" si="36">K59</f>
        <v>0</v>
      </c>
      <c r="L29" s="2">
        <f t="shared" si="36"/>
        <v>0.72869742282556493</v>
      </c>
      <c r="M29" s="2">
        <f t="shared" si="36"/>
        <v>2.9982283275036599</v>
      </c>
      <c r="N29" s="2">
        <f t="shared" si="36"/>
        <v>5.3567604441299146</v>
      </c>
      <c r="O29" s="2">
        <f t="shared" si="36"/>
        <v>8.0323593783214928</v>
      </c>
      <c r="P29" s="2">
        <f t="shared" si="36"/>
        <v>11.191902402481194</v>
      </c>
      <c r="Q29" s="2">
        <f t="shared" si="36"/>
        <v>13.522621640373648</v>
      </c>
      <c r="R29" s="2">
        <f t="shared" si="36"/>
        <v>16.020218150668903</v>
      </c>
      <c r="S29" s="2">
        <f t="shared" si="36"/>
        <v>18.311999358334038</v>
      </c>
      <c r="T29" s="2">
        <f t="shared" si="36"/>
        <v>20.755677579326392</v>
      </c>
      <c r="U29" s="2">
        <f t="shared" si="36"/>
        <v>23.352458309560685</v>
      </c>
      <c r="V29" s="2">
        <f t="shared" si="36"/>
        <v>26.018335588727194</v>
      </c>
      <c r="W29" s="2">
        <f t="shared" si="36"/>
        <v>29.020949993210756</v>
      </c>
      <c r="X29" s="2">
        <f t="shared" si="36"/>
        <v>31.793761730797698</v>
      </c>
      <c r="Y29" s="2">
        <f t="shared" si="36"/>
        <v>34.718842303077409</v>
      </c>
      <c r="Z29" s="2">
        <f t="shared" si="36"/>
        <v>73.090406546022223</v>
      </c>
      <c r="AA29" s="2">
        <f t="shared" si="36"/>
        <v>78.48297641484713</v>
      </c>
      <c r="AB29" s="2">
        <f t="shared" si="36"/>
        <v>84.122046946660006</v>
      </c>
      <c r="AC29" s="2">
        <f t="shared" si="36"/>
        <v>90.595099326021213</v>
      </c>
      <c r="AD29" s="2">
        <f t="shared" si="36"/>
        <v>96.997966556563625</v>
      </c>
      <c r="AE29" s="2">
        <f t="shared" si="36"/>
        <v>103.21606059364389</v>
      </c>
      <c r="AF29" s="2">
        <f t="shared" si="36"/>
        <v>107.52846270229952</v>
      </c>
      <c r="AG29" s="2">
        <f t="shared" si="36"/>
        <v>109.29340254037794</v>
      </c>
      <c r="AH29" s="2">
        <f t="shared" si="36"/>
        <v>113.33826274990446</v>
      </c>
      <c r="AI29" s="2">
        <f>AI59</f>
        <v>117.82269914382485</v>
      </c>
      <c r="AJ29" s="2">
        <f t="shared" si="36"/>
        <v>122.05795480821823</v>
      </c>
      <c r="AK29" s="2">
        <f t="shared" si="36"/>
        <v>118.17730727712728</v>
      </c>
      <c r="AL29" s="2">
        <f t="shared" si="36"/>
        <v>114.01880908748568</v>
      </c>
      <c r="AM29" s="2">
        <f t="shared" si="36"/>
        <v>110.20299337672323</v>
      </c>
      <c r="AN29" s="2">
        <f t="shared" si="36"/>
        <v>106.13426913877096</v>
      </c>
      <c r="AO29" s="2">
        <f t="shared" si="36"/>
        <v>91.089817863030206</v>
      </c>
      <c r="AP29" s="2">
        <f t="shared" si="36"/>
        <v>86.651132193217947</v>
      </c>
      <c r="AQ29" s="57">
        <f>AQ59</f>
        <v>81.651779209752817</v>
      </c>
      <c r="AR29" s="2">
        <f>AR59</f>
        <v>77.035047666670536</v>
      </c>
      <c r="AS29" s="2">
        <f t="shared" si="36"/>
        <v>72.164788513824831</v>
      </c>
      <c r="AT29" s="2">
        <f t="shared" si="36"/>
        <v>67.602065762327172</v>
      </c>
      <c r="AU29" s="2">
        <f t="shared" si="36"/>
        <v>62.209495893502279</v>
      </c>
      <c r="AV29" s="2">
        <f t="shared" si="36"/>
        <v>56.570425361689416</v>
      </c>
      <c r="AW29" s="2"/>
    </row>
    <row r="30" spans="1:49" ht="15">
      <c r="A30" s="2"/>
      <c r="B30" s="2"/>
      <c r="C30" s="2"/>
      <c r="D30" s="2"/>
      <c r="E30" s="56" t="s">
        <v>875</v>
      </c>
      <c r="F30" s="7"/>
      <c r="G30" s="2" t="s">
        <v>105</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6.5815781022823669</v>
      </c>
      <c r="AL30" s="2">
        <f t="shared" si="38"/>
        <v>12.267289497173486</v>
      </c>
      <c r="AM30" s="2">
        <f t="shared" si="38"/>
        <v>16.946378592494536</v>
      </c>
      <c r="AN30" s="2">
        <f t="shared" si="38"/>
        <v>21.189077967885733</v>
      </c>
      <c r="AO30" s="2">
        <f t="shared" si="38"/>
        <v>25.24773284910362</v>
      </c>
      <c r="AP30" s="2">
        <f t="shared" si="38"/>
        <v>28.799715515427838</v>
      </c>
      <c r="AQ30" s="57">
        <f t="shared" si="38"/>
        <v>31.842555242347277</v>
      </c>
      <c r="AR30" s="2">
        <f t="shared" si="38"/>
        <v>34.405343672533945</v>
      </c>
      <c r="AS30" s="2">
        <f t="shared" si="38"/>
        <v>34.405343672533945</v>
      </c>
      <c r="AT30" s="2">
        <f t="shared" si="38"/>
        <v>34.405343672533945</v>
      </c>
      <c r="AU30" s="2">
        <f t="shared" si="38"/>
        <v>34.405343672533945</v>
      </c>
      <c r="AV30" s="2">
        <f t="shared" si="38"/>
        <v>34.405343672533945</v>
      </c>
      <c r="AW30" s="2"/>
    </row>
    <row r="31" spans="1:49" ht="15">
      <c r="A31" s="2"/>
      <c r="B31" s="2"/>
      <c r="C31" s="2"/>
      <c r="D31" s="2"/>
      <c r="E31" s="56" t="s">
        <v>876</v>
      </c>
      <c r="F31" s="7"/>
      <c r="G31" s="2" t="s">
        <v>105</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3.131941443772174</v>
      </c>
      <c r="AT31" s="2">
        <f t="shared" si="40"/>
        <v>7.0041493640943688</v>
      </c>
      <c r="AU31" s="2">
        <f t="shared" si="40"/>
        <v>10.999843340717655</v>
      </c>
      <c r="AV31" s="2">
        <f t="shared" si="40"/>
        <v>15.180953420838</v>
      </c>
      <c r="AW31" s="2"/>
    </row>
    <row r="32" spans="1:49" ht="15">
      <c r="A32" s="2"/>
      <c r="B32" s="2"/>
      <c r="C32" s="2"/>
      <c r="D32" s="2"/>
      <c r="E32" s="56" t="s">
        <v>877</v>
      </c>
      <c r="F32" s="7"/>
      <c r="G32" s="2" t="s">
        <v>105</v>
      </c>
      <c r="H32" s="7"/>
      <c r="I32" s="7"/>
      <c r="J32" s="2"/>
      <c r="K32" s="464">
        <f t="shared" ref="K32:AV32" si="41">SUM(K29:K31)</f>
        <v>0</v>
      </c>
      <c r="L32" s="464">
        <f t="shared" si="41"/>
        <v>0.72869742282556493</v>
      </c>
      <c r="M32" s="464">
        <f t="shared" si="41"/>
        <v>2.9982283275036599</v>
      </c>
      <c r="N32" s="464">
        <f t="shared" si="41"/>
        <v>5.3567604441299146</v>
      </c>
      <c r="O32" s="464">
        <f t="shared" si="41"/>
        <v>8.0323593783214928</v>
      </c>
      <c r="P32" s="464">
        <f t="shared" si="41"/>
        <v>11.191902402481194</v>
      </c>
      <c r="Q32" s="464">
        <f t="shared" si="41"/>
        <v>13.522621640373648</v>
      </c>
      <c r="R32" s="464">
        <f t="shared" si="41"/>
        <v>16.020218150668903</v>
      </c>
      <c r="S32" s="464">
        <f t="shared" si="41"/>
        <v>18.311999358334038</v>
      </c>
      <c r="T32" s="464">
        <f t="shared" si="41"/>
        <v>20.755677579326392</v>
      </c>
      <c r="U32" s="464">
        <f t="shared" si="41"/>
        <v>23.352458309560685</v>
      </c>
      <c r="V32" s="464">
        <f t="shared" si="41"/>
        <v>26.018335588727194</v>
      </c>
      <c r="W32" s="464">
        <f t="shared" si="41"/>
        <v>29.020949993210756</v>
      </c>
      <c r="X32" s="464">
        <f t="shared" si="41"/>
        <v>31.793761730797698</v>
      </c>
      <c r="Y32" s="464">
        <f t="shared" si="41"/>
        <v>34.718842303077409</v>
      </c>
      <c r="Z32" s="464">
        <f t="shared" si="41"/>
        <v>73.090406546022223</v>
      </c>
      <c r="AA32" s="464">
        <f t="shared" si="41"/>
        <v>78.48297641484713</v>
      </c>
      <c r="AB32" s="464">
        <f t="shared" si="41"/>
        <v>84.122046946660006</v>
      </c>
      <c r="AC32" s="464">
        <f t="shared" si="41"/>
        <v>90.595099326021213</v>
      </c>
      <c r="AD32" s="464">
        <f t="shared" si="41"/>
        <v>96.997966556563625</v>
      </c>
      <c r="AE32" s="464">
        <f t="shared" si="41"/>
        <v>103.21606059364389</v>
      </c>
      <c r="AF32" s="464">
        <f t="shared" si="41"/>
        <v>107.52846270229952</v>
      </c>
      <c r="AG32" s="464">
        <f t="shared" si="41"/>
        <v>109.29340254037794</v>
      </c>
      <c r="AH32" s="464">
        <f t="shared" si="41"/>
        <v>113.33826274990446</v>
      </c>
      <c r="AI32" s="464">
        <f t="shared" si="41"/>
        <v>117.82269914382485</v>
      </c>
      <c r="AJ32" s="464">
        <f t="shared" si="41"/>
        <v>122.05795480821823</v>
      </c>
      <c r="AK32" s="464">
        <f t="shared" si="41"/>
        <v>124.75888537940965</v>
      </c>
      <c r="AL32" s="464">
        <f t="shared" si="41"/>
        <v>126.28609858465916</v>
      </c>
      <c r="AM32" s="464">
        <f t="shared" si="41"/>
        <v>127.14937196921777</v>
      </c>
      <c r="AN32" s="464">
        <f t="shared" si="41"/>
        <v>127.3233471066567</v>
      </c>
      <c r="AO32" s="464">
        <f t="shared" si="41"/>
        <v>116.33755071213383</v>
      </c>
      <c r="AP32" s="464">
        <f t="shared" si="41"/>
        <v>115.45084770864578</v>
      </c>
      <c r="AQ32" s="382">
        <f t="shared" si="41"/>
        <v>113.49433445210009</v>
      </c>
      <c r="AR32" s="464">
        <f t="shared" si="41"/>
        <v>111.44039133920448</v>
      </c>
      <c r="AS32" s="464">
        <f t="shared" si="41"/>
        <v>109.70207363013095</v>
      </c>
      <c r="AT32" s="464">
        <f t="shared" si="41"/>
        <v>109.01155879895549</v>
      </c>
      <c r="AU32" s="464">
        <f t="shared" si="41"/>
        <v>107.61468290675388</v>
      </c>
      <c r="AV32" s="464">
        <f t="shared" si="41"/>
        <v>106.15672245506136</v>
      </c>
      <c r="AW32" s="2"/>
    </row>
    <row r="33" spans="1:49" ht="15">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0" t="s">
        <v>878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5">
      <c r="A35" s="2"/>
      <c r="B35" s="2"/>
      <c r="C35" s="4" t="s">
        <v>879</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5">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5">
      <c r="A37" s="2"/>
      <c r="B37" s="2"/>
      <c r="C37" s="2"/>
      <c r="D37" s="2"/>
      <c r="E37" s="34" t="s">
        <v>542</v>
      </c>
      <c r="F37" s="34"/>
      <c r="G37" s="2" t="s">
        <v>547</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5">
      <c r="A38" s="2"/>
      <c r="B38" s="2"/>
      <c r="C38" s="2"/>
      <c r="D38" s="2"/>
      <c r="E38" s="34" t="s">
        <v>880</v>
      </c>
      <c r="F38" s="34"/>
      <c r="G38" s="2" t="s">
        <v>547</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5">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5">
      <c r="A40" s="2"/>
      <c r="B40" s="2"/>
      <c r="C40" s="2"/>
      <c r="D40" s="2"/>
      <c r="E40" s="41" t="s">
        <v>881</v>
      </c>
      <c r="F40" s="34"/>
      <c r="G40" s="2" t="s">
        <v>105</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5">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5">
      <c r="A42" s="2"/>
      <c r="B42" s="2"/>
      <c r="C42" s="2"/>
      <c r="D42" s="2"/>
      <c r="E42" s="7" t="s">
        <v>882</v>
      </c>
      <c r="F42" s="7"/>
      <c r="G42" s="2" t="s">
        <v>105</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2599.433218968974</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5">
      <c r="A43" s="2"/>
      <c r="B43" s="2"/>
      <c r="C43" s="2"/>
      <c r="D43" s="2"/>
      <c r="E43" s="7" t="s">
        <v>883</v>
      </c>
      <c r="F43" s="2"/>
      <c r="G43" s="2" t="s">
        <v>105</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1216.3101961495033</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5">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5">
      <c r="A45" s="2"/>
      <c r="B45" s="2"/>
      <c r="C45" s="2"/>
      <c r="D45" s="2"/>
      <c r="E45" s="7" t="s">
        <v>884</v>
      </c>
      <c r="F45" s="2"/>
      <c r="G45" s="2" t="s">
        <v>105</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2599.433218968974</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5">
      <c r="A46" s="2"/>
      <c r="B46" s="2"/>
      <c r="C46" s="2"/>
      <c r="D46" s="2"/>
      <c r="E46" s="7" t="s">
        <v>885</v>
      </c>
      <c r="F46" s="2"/>
      <c r="G46" s="2" t="s">
        <v>105</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1216.3101961495033</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5">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5">
      <c r="A49" s="2"/>
      <c r="B49" s="22" t="s">
        <v>886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5">
      <c r="B50" s="4" t="s">
        <v>887</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5">
      <c r="B52" s="34"/>
      <c r="C52" s="20" t="s">
        <v>888</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5"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5" outlineLevel="1">
      <c r="B54" s="34"/>
      <c r="C54" s="34"/>
      <c r="D54" s="34"/>
      <c r="E54" s="34" t="s">
        <v>889</v>
      </c>
      <c r="F54" s="34"/>
      <c r="G54" s="2" t="s">
        <v>281</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5" outlineLevel="1">
      <c r="B55" s="34"/>
      <c r="C55" s="34"/>
      <c r="D55" s="34"/>
      <c r="E55" s="34" t="s">
        <v>890</v>
      </c>
      <c r="F55" s="34"/>
      <c r="G55" s="7" t="s">
        <v>209</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5" outlineLevel="1">
      <c r="B56" s="34"/>
      <c r="C56" s="34"/>
      <c r="D56" s="34"/>
      <c r="E56" s="34" t="s">
        <v>891</v>
      </c>
      <c r="F56" s="34"/>
      <c r="G56" s="2" t="s">
        <v>281</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5" outlineLevel="1">
      <c r="B57" s="34"/>
      <c r="C57" s="34"/>
      <c r="D57" s="34"/>
      <c r="E57" s="34" t="s">
        <v>890</v>
      </c>
      <c r="F57" s="34"/>
      <c r="G57" s="7" t="s">
        <v>209</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5"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5">
      <c r="B59" s="34"/>
      <c r="C59" s="34"/>
      <c r="D59" s="34"/>
      <c r="E59" s="34" t="s">
        <v>892</v>
      </c>
      <c r="F59" s="34"/>
      <c r="G59" s="2" t="s">
        <v>105</v>
      </c>
      <c r="H59" s="7"/>
      <c r="I59" s="46"/>
      <c r="J59" s="34"/>
      <c r="K59" s="34">
        <f>K64 * SUM(K66:K103) + K108 * SUM(K110:K147) + SUM(K156:K193)</f>
        <v>0</v>
      </c>
      <c r="L59" s="34">
        <f t="shared" ref="L59:AV59" si="60">L64 * SUM(L66:L103) + L108 * SUM(L110:L147) + SUM(L156:L193)</f>
        <v>0.72869742282556493</v>
      </c>
      <c r="M59" s="34">
        <f t="shared" si="60"/>
        <v>2.9982283275036599</v>
      </c>
      <c r="N59" s="34">
        <f t="shared" si="60"/>
        <v>5.3567604441299146</v>
      </c>
      <c r="O59" s="34">
        <f t="shared" si="60"/>
        <v>8.0323593783214928</v>
      </c>
      <c r="P59" s="34">
        <f>P64 * SUM(P66:P103) + P108 * SUM(P110:P147) + SUM(P156:P193)</f>
        <v>11.191902402481194</v>
      </c>
      <c r="Q59" s="34">
        <f t="shared" si="60"/>
        <v>13.522621640373648</v>
      </c>
      <c r="R59" s="34">
        <f t="shared" si="60"/>
        <v>16.020218150668903</v>
      </c>
      <c r="S59" s="34">
        <f t="shared" si="60"/>
        <v>18.311999358334038</v>
      </c>
      <c r="T59" s="34">
        <f t="shared" si="60"/>
        <v>20.755677579326392</v>
      </c>
      <c r="U59" s="34">
        <f t="shared" si="60"/>
        <v>23.352458309560685</v>
      </c>
      <c r="V59" s="34">
        <f t="shared" si="60"/>
        <v>26.018335588727194</v>
      </c>
      <c r="W59" s="34">
        <f t="shared" si="60"/>
        <v>29.020949993210756</v>
      </c>
      <c r="X59" s="34">
        <f t="shared" si="60"/>
        <v>31.793761730797698</v>
      </c>
      <c r="Y59" s="34">
        <f t="shared" si="60"/>
        <v>34.718842303077409</v>
      </c>
      <c r="Z59" s="34">
        <f t="shared" si="60"/>
        <v>73.090406546022223</v>
      </c>
      <c r="AA59" s="34">
        <f t="shared" si="60"/>
        <v>78.48297641484713</v>
      </c>
      <c r="AB59" s="34">
        <f t="shared" si="60"/>
        <v>84.122046946660006</v>
      </c>
      <c r="AC59" s="34">
        <f t="shared" si="60"/>
        <v>90.595099326021213</v>
      </c>
      <c r="AD59" s="34">
        <f t="shared" si="60"/>
        <v>96.997966556563625</v>
      </c>
      <c r="AE59" s="34">
        <f t="shared" si="60"/>
        <v>103.21606059364389</v>
      </c>
      <c r="AF59" s="34">
        <f t="shared" si="60"/>
        <v>107.52846270229952</v>
      </c>
      <c r="AG59" s="34">
        <f t="shared" si="60"/>
        <v>109.29340254037794</v>
      </c>
      <c r="AH59" s="34">
        <f t="shared" si="60"/>
        <v>113.33826274990446</v>
      </c>
      <c r="AI59" s="34">
        <f>AI64 * SUM(AI66:AI103) + AI108 * SUM(AI110:AI147) + SUM(AI156:AI193)</f>
        <v>117.82269914382485</v>
      </c>
      <c r="AJ59" s="34">
        <f t="shared" si="60"/>
        <v>122.05795480821823</v>
      </c>
      <c r="AK59" s="34">
        <f t="shared" si="60"/>
        <v>118.17730727712728</v>
      </c>
      <c r="AL59" s="34">
        <f t="shared" si="60"/>
        <v>114.01880908748568</v>
      </c>
      <c r="AM59" s="34">
        <f t="shared" si="60"/>
        <v>110.20299337672323</v>
      </c>
      <c r="AN59" s="34">
        <f t="shared" si="60"/>
        <v>106.13426913877096</v>
      </c>
      <c r="AO59" s="34">
        <f t="shared" si="60"/>
        <v>91.089817863030206</v>
      </c>
      <c r="AP59" s="34">
        <f t="shared" si="60"/>
        <v>86.651132193217947</v>
      </c>
      <c r="AQ59" s="36">
        <f t="shared" si="60"/>
        <v>81.651779209752817</v>
      </c>
      <c r="AR59" s="34">
        <f t="shared" si="60"/>
        <v>77.035047666670536</v>
      </c>
      <c r="AS59" s="34">
        <f t="shared" si="60"/>
        <v>72.164788513824831</v>
      </c>
      <c r="AT59" s="34">
        <f t="shared" si="60"/>
        <v>67.602065762327172</v>
      </c>
      <c r="AU59" s="34">
        <f t="shared" si="60"/>
        <v>62.209495893502279</v>
      </c>
      <c r="AV59" s="34">
        <f t="shared" si="60"/>
        <v>56.570425361689416</v>
      </c>
    </row>
    <row r="60" spans="1:49">
      <c r="AQ60" s="220"/>
    </row>
    <row r="61" spans="1:49" ht="15">
      <c r="A61" s="2"/>
      <c r="B61" s="2"/>
      <c r="C61" s="20" t="s">
        <v>893</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5">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5" outlineLevel="1">
      <c r="E64" s="44" t="s">
        <v>894</v>
      </c>
      <c r="G64" s="2" t="s">
        <v>547</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0</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5" outlineLevel="1">
      <c r="E66" s="44">
        <f>INDEX($K$4:$AV$4,,COUNT(E65:E$65)+1)</f>
        <v>33328</v>
      </c>
      <c r="G66" s="2" t="s">
        <v>105</v>
      </c>
      <c r="I66" s="2">
        <f t="shared" ref="I66:I103" si="62">INDEX($K$24:$AV$24,,MATCH(E66,$K$4:$AV$4,0))</f>
        <v>24.265624180091308</v>
      </c>
      <c r="K66" s="2">
        <f>IF(J$4=$E66, $I66*J$55,0) + IF(J$4&gt;$E66,MIN(J66,$I66-SUM($J66:J66)))</f>
        <v>0</v>
      </c>
      <c r="L66" s="2">
        <f>IF(K$4=$E66, $I66*K$55,0) + IF(K$4&gt;$E66,MIN(K66,$I66-SUM($J66:K66)))</f>
        <v>0.72869742282556493</v>
      </c>
      <c r="M66" s="2">
        <f>IF(L$4=$E66, $I66*L$55,0) + IF(L$4&gt;$E66,MIN(L66,$I66-SUM($J66:L66)))</f>
        <v>0.72869742282556493</v>
      </c>
      <c r="N66" s="2">
        <f>IF(M$4=$E66, $I66*M$55,0) + IF(M$4&gt;$E66,MIN(M66,$I66-SUM($J66:M66)))</f>
        <v>0.72869742282556493</v>
      </c>
      <c r="O66" s="2">
        <f>IF(N$4=$E66, $I66*N$55,0) + IF(N$4&gt;$E66,MIN(N66,$I66-SUM($J66:N66)))</f>
        <v>0.72869742282556493</v>
      </c>
      <c r="P66" s="2">
        <f>IF(O$4=$E66, $I66*O$55,0) + IF(O$4&gt;$E66,MIN(O66,$I66-SUM($J66:O66)))</f>
        <v>0.72869742282556493</v>
      </c>
      <c r="Q66" s="2">
        <f>IF(P$4=$E66, $I66*P$55,0) + IF(P$4&gt;$E66,MIN(P66,$I66-SUM($J66:P66)))</f>
        <v>0.72869742282556493</v>
      </c>
      <c r="R66" s="2">
        <f>IF(Q$4=$E66, $I66*Q$55,0) + IF(Q$4&gt;$E66,MIN(Q66,$I66-SUM($J66:Q66)))</f>
        <v>0.72869742282556493</v>
      </c>
      <c r="S66" s="2">
        <f>IF(R$4=$E66, $I66*R$55,0) + IF(R$4&gt;$E66,MIN(R66,$I66-SUM($J66:R66)))</f>
        <v>0.72869742282556493</v>
      </c>
      <c r="T66" s="2">
        <f>IF(S$4=$E66, $I66*S$55,0) + IF(S$4&gt;$E66,MIN(S66,$I66-SUM($J66:S66)))</f>
        <v>0.72869742282556493</v>
      </c>
      <c r="U66" s="2">
        <f>IF(T$4=$E66, $I66*T$55,0) + IF(T$4&gt;$E66,MIN(T66,$I66-SUM($J66:T66)))</f>
        <v>0.72869742282556493</v>
      </c>
      <c r="V66" s="2">
        <f>IF(U$4=$E66, $I66*U$55,0) + IF(U$4&gt;$E66,MIN(U66,$I66-SUM($J66:U66)))</f>
        <v>0.72869742282556493</v>
      </c>
      <c r="W66" s="2">
        <f>IF(V$4=$E66, $I66*V$55,0) + IF(V$4&gt;$E66,MIN(V66,$I66-SUM($J66:V66)))</f>
        <v>0.72869742282556493</v>
      </c>
      <c r="X66" s="2">
        <f>IF(W$4=$E66, $I66*W$55,0) + IF(W$4&gt;$E66,MIN(W66,$I66-SUM($J66:W66)))</f>
        <v>0.72869742282556493</v>
      </c>
      <c r="Y66" s="2">
        <f>IF(X$4=$E66, $I66*X$55,0) + IF(X$4&gt;$E66,MIN(X66,$I66-SUM($J66:X66)))</f>
        <v>0.72869742282556493</v>
      </c>
      <c r="Z66" s="2">
        <f>IF(Y$4=$E66, $I66*Y$55,0) + IF(Y$4&gt;$E66,MIN(Y66,$I66-SUM($J66:Y66)))</f>
        <v>0.72869742282556493</v>
      </c>
      <c r="AA66" s="2">
        <f>IF(Z$4=$E66, $I66*Z$55,0) + IF(Z$4&gt;$E66,MIN(Z66,$I66-SUM($J66:Z66)))</f>
        <v>0.72869742282556493</v>
      </c>
      <c r="AB66" s="2">
        <f>IF(AA$4=$E66, $I66*AA$55,0) + IF(AA$4&gt;$E66,MIN(AA66,$I66-SUM($J66:AA66)))</f>
        <v>0.72869742282556493</v>
      </c>
      <c r="AC66" s="2">
        <f>IF(AB$4=$E66, $I66*AB$55,0) + IF(AB$4&gt;$E66,MIN(AB66,$I66-SUM($J66:AB66)))</f>
        <v>0.72869742282556493</v>
      </c>
      <c r="AD66" s="2">
        <f>IF(AC$4=$E66, $I66*AC$55,0) + IF(AC$4&gt;$E66,MIN(AC66,$I66-SUM($J66:AC66)))</f>
        <v>0.72869742282556493</v>
      </c>
      <c r="AE66" s="2">
        <f>IF(AD$4=$E66, $I66*AD$55,0) + IF(AD$4&gt;$E66,MIN(AD66,$I66-SUM($J66:AD66)))</f>
        <v>0.72869742282556493</v>
      </c>
      <c r="AF66" s="2">
        <f>IF(AE$4=$E66, $I66*AE$55,0) + IF(AE$4&gt;$E66,MIN(AE66,$I66-SUM($J66:AE66)))</f>
        <v>0.72869742282556493</v>
      </c>
      <c r="AG66" s="2">
        <f>IF(AF$4=$E66, $I66*AF$55,0) + IF(AF$4&gt;$E66,MIN(AF66,$I66-SUM($J66:AF66)))</f>
        <v>0.72869742282556493</v>
      </c>
      <c r="AH66" s="2">
        <f>IF(AG$4=$E66, $I66*AG$55,0) + IF(AG$4&gt;$E66,MIN(AG66,$I66-SUM($J66:AG66)))</f>
        <v>0.72869742282556493</v>
      </c>
      <c r="AI66" s="2">
        <f>IF(AH$4=$E66, $I66*AH$55,0) + IF(AH$4&gt;$E66,MIN(AH66,$I66-SUM($J66:AH66)))</f>
        <v>0.72869742282556493</v>
      </c>
      <c r="AJ66" s="2">
        <f>IF(AI$4=$E66, $I66*AI$55,0) + IF(AI$4&gt;$E66,MIN(AI66,$I66-SUM($J66:AI66)))</f>
        <v>0.72869742282556493</v>
      </c>
      <c r="AK66" s="2">
        <f>IF(AJ$4=$E66, $I66*AJ$55,0) + IF(AJ$4&gt;$E66,MIN(AJ66,$I66-SUM($J66:AJ66)))</f>
        <v>0.72869742282556493</v>
      </c>
      <c r="AL66" s="2">
        <f>IF(AK$4=$E66, $I66*AK$55,0) + IF(AK$4&gt;$E66,MIN(AK66,$I66-SUM($J66:AK66)))</f>
        <v>0.72869742282556493</v>
      </c>
      <c r="AM66" s="2">
        <f>IF(AL$4=$E66, $I66*AL$55,0) + IF(AL$4&gt;$E66,MIN(AL66,$I66-SUM($J66:AL66)))</f>
        <v>0.72869742282556493</v>
      </c>
      <c r="AN66" s="2">
        <f>IF(AM$4=$E66, $I66*AM$55,0) + IF(AM$4&gt;$E66,MIN(AM66,$I66-SUM($J66:AM66)))</f>
        <v>0.72869742282556493</v>
      </c>
      <c r="AO66" s="2">
        <f>IF(AN$4=$E66, $I66*AN$55,0) + IF(AN$4&gt;$E66,MIN(AN66,$I66-SUM($J66:AN66)))</f>
        <v>0.72869742282556493</v>
      </c>
      <c r="AP66" s="2">
        <f>IF(AO$4=$E66, $I66*AO$55,0) + IF(AO$4&gt;$E66,MIN(AO66,$I66-SUM($J66:AO66)))</f>
        <v>0.72869742282556493</v>
      </c>
      <c r="AQ66" s="57">
        <f>IF(AP$4=$E66, $I66*AP$55,0) + IF(AP$4&gt;$E66,MIN(AP66,$I66-SUM($J66:AP66)))</f>
        <v>0.72869742282556493</v>
      </c>
      <c r="AR66" s="2">
        <f>IF(AQ$4=$E66, $I66*AQ$55,0) + IF(AQ$4&gt;$E66,MIN(AQ66,$I66-SUM($J66:AQ66)))</f>
        <v>0.72869742282556493</v>
      </c>
      <c r="AS66" s="2">
        <f>IF(AR$4=$E66, $I66*AR$55,0) + IF(AR$4&gt;$E66,MIN(AR66,$I66-SUM($J66:AR66)))</f>
        <v>0.21860922684766138</v>
      </c>
      <c r="AT66" s="2">
        <f>IF(AS$4=$E66, $I66*AS$55,0) + IF(AS$4&gt;$E66,MIN(AS66,$I66-SUM($J66:AS66)))</f>
        <v>0</v>
      </c>
      <c r="AU66" s="2">
        <f>IF(AT$4=$E66, $I66*AT$55,0) + IF(AT$4&gt;$E66,MIN(AT66,$I66-SUM($J66:AT66)))</f>
        <v>0</v>
      </c>
      <c r="AV66" s="2">
        <f>IF(AU$4=$E66, $I66*AU$55,0) + IF(AU$4&gt;$E66,MIN(AU66,$I66-SUM($J66:AU66)))</f>
        <v>0</v>
      </c>
      <c r="AW66" s="2"/>
    </row>
    <row r="67" spans="5:49" ht="15" outlineLevel="1">
      <c r="E67" s="44">
        <f>INDEX($K$4:$AV$4,,COUNT(E$65:E66)+1)</f>
        <v>33694</v>
      </c>
      <c r="G67" s="2" t="s">
        <v>105</v>
      </c>
      <c r="I67" s="2">
        <f t="shared" si="62"/>
        <v>75.575379125780543</v>
      </c>
      <c r="K67" s="2">
        <f>IF(J$4=$E67, $I67*J$55,0) + IF(J$4&gt;$E67,MIN(J67,$I67-SUM($J67:J67)))</f>
        <v>0</v>
      </c>
      <c r="L67" s="2">
        <f>IF(K$4=$E67, $I67*K$55,0) + IF(K$4&gt;$E67,MIN(K67,$I67-SUM($J67:K67)))</f>
        <v>0</v>
      </c>
      <c r="M67" s="2">
        <f>IF(L$4=$E67, $I67*L$55,0) + IF(L$4&gt;$E67,MIN(L67,$I67-SUM($J67:L67)))</f>
        <v>2.2695309046780947</v>
      </c>
      <c r="N67" s="2">
        <f>IF(M$4=$E67, $I67*M$55,0) + IF(M$4&gt;$E67,MIN(M67,$I67-SUM($J67:M67)))</f>
        <v>2.2695309046780947</v>
      </c>
      <c r="O67" s="2">
        <f>IF(N$4=$E67, $I67*N$55,0) + IF(N$4&gt;$E67,MIN(N67,$I67-SUM($J67:N67)))</f>
        <v>2.2695309046780947</v>
      </c>
      <c r="P67" s="2">
        <f>IF(O$4=$E67, $I67*O$55,0) + IF(O$4&gt;$E67,MIN(O67,$I67-SUM($J67:O67)))</f>
        <v>2.2695309046780947</v>
      </c>
      <c r="Q67" s="2">
        <f>IF(P$4=$E67, $I67*P$55,0) + IF(P$4&gt;$E67,MIN(P67,$I67-SUM($J67:P67)))</f>
        <v>2.2695309046780947</v>
      </c>
      <c r="R67" s="2">
        <f>IF(Q$4=$E67, $I67*Q$55,0) + IF(Q$4&gt;$E67,MIN(Q67,$I67-SUM($J67:Q67)))</f>
        <v>2.2695309046780947</v>
      </c>
      <c r="S67" s="2">
        <f>IF(R$4=$E67, $I67*R$55,0) + IF(R$4&gt;$E67,MIN(R67,$I67-SUM($J67:R67)))</f>
        <v>2.2695309046780947</v>
      </c>
      <c r="T67" s="2">
        <f>IF(S$4=$E67, $I67*S$55,0) + IF(S$4&gt;$E67,MIN(S67,$I67-SUM($J67:S67)))</f>
        <v>2.2695309046780947</v>
      </c>
      <c r="U67" s="2">
        <f>IF(T$4=$E67, $I67*T$55,0) + IF(T$4&gt;$E67,MIN(T67,$I67-SUM($J67:T67)))</f>
        <v>2.2695309046780947</v>
      </c>
      <c r="V67" s="2">
        <f>IF(U$4=$E67, $I67*U$55,0) + IF(U$4&gt;$E67,MIN(U67,$I67-SUM($J67:U67)))</f>
        <v>2.2695309046780947</v>
      </c>
      <c r="W67" s="2">
        <f>IF(V$4=$E67, $I67*V$55,0) + IF(V$4&gt;$E67,MIN(V67,$I67-SUM($J67:V67)))</f>
        <v>2.2695309046780947</v>
      </c>
      <c r="X67" s="2">
        <f>IF(W$4=$E67, $I67*W$55,0) + IF(W$4&gt;$E67,MIN(W67,$I67-SUM($J67:W67)))</f>
        <v>2.2695309046780947</v>
      </c>
      <c r="Y67" s="2">
        <f>IF(X$4=$E67, $I67*X$55,0) + IF(X$4&gt;$E67,MIN(X67,$I67-SUM($J67:X67)))</f>
        <v>2.2695309046780947</v>
      </c>
      <c r="Z67" s="2">
        <f>IF(Y$4=$E67, $I67*Y$55,0) + IF(Y$4&gt;$E67,MIN(Y67,$I67-SUM($J67:Y67)))</f>
        <v>2.2695309046780947</v>
      </c>
      <c r="AA67" s="2">
        <f>IF(Z$4=$E67, $I67*Z$55,0) + IF(Z$4&gt;$E67,MIN(Z67,$I67-SUM($J67:Z67)))</f>
        <v>2.2695309046780947</v>
      </c>
      <c r="AB67" s="2">
        <f>IF(AA$4=$E67, $I67*AA$55,0) + IF(AA$4&gt;$E67,MIN(AA67,$I67-SUM($J67:AA67)))</f>
        <v>2.2695309046780947</v>
      </c>
      <c r="AC67" s="2">
        <f>IF(AB$4=$E67, $I67*AB$55,0) + IF(AB$4&gt;$E67,MIN(AB67,$I67-SUM($J67:AB67)))</f>
        <v>2.2695309046780947</v>
      </c>
      <c r="AD67" s="2">
        <f>IF(AC$4=$E67, $I67*AC$55,0) + IF(AC$4&gt;$E67,MIN(AC67,$I67-SUM($J67:AC67)))</f>
        <v>2.2695309046780947</v>
      </c>
      <c r="AE67" s="2">
        <f>IF(AD$4=$E67, $I67*AD$55,0) + IF(AD$4&gt;$E67,MIN(AD67,$I67-SUM($J67:AD67)))</f>
        <v>2.2695309046780947</v>
      </c>
      <c r="AF67" s="2">
        <f>IF(AE$4=$E67, $I67*AE$55,0) + IF(AE$4&gt;$E67,MIN(AE67,$I67-SUM($J67:AE67)))</f>
        <v>2.2695309046780947</v>
      </c>
      <c r="AG67" s="2">
        <f>IF(AF$4=$E67, $I67*AF$55,0) + IF(AF$4&gt;$E67,MIN(AF67,$I67-SUM($J67:AF67)))</f>
        <v>2.2695309046780947</v>
      </c>
      <c r="AH67" s="2">
        <f>IF(AG$4=$E67, $I67*AG$55,0) + IF(AG$4&gt;$E67,MIN(AG67,$I67-SUM($J67:AG67)))</f>
        <v>2.2695309046780947</v>
      </c>
      <c r="AI67" s="2">
        <f>IF(AH$4=$E67, $I67*AH$55,0) + IF(AH$4&gt;$E67,MIN(AH67,$I67-SUM($J67:AH67)))</f>
        <v>2.2695309046780947</v>
      </c>
      <c r="AJ67" s="2">
        <f>IF(AI$4=$E67, $I67*AI$55,0) + IF(AI$4&gt;$E67,MIN(AI67,$I67-SUM($J67:AI67)))</f>
        <v>2.2695309046780947</v>
      </c>
      <c r="AK67" s="2">
        <f>IF(AJ$4=$E67, $I67*AJ$55,0) + IF(AJ$4&gt;$E67,MIN(AJ67,$I67-SUM($J67:AJ67)))</f>
        <v>2.2695309046780947</v>
      </c>
      <c r="AL67" s="2">
        <f>IF(AK$4=$E67, $I67*AK$55,0) + IF(AK$4&gt;$E67,MIN(AK67,$I67-SUM($J67:AK67)))</f>
        <v>2.2695309046780947</v>
      </c>
      <c r="AM67" s="2">
        <f>IF(AL$4=$E67, $I67*AL$55,0) + IF(AL$4&gt;$E67,MIN(AL67,$I67-SUM($J67:AL67)))</f>
        <v>2.2695309046780947</v>
      </c>
      <c r="AN67" s="2">
        <f>IF(AM$4=$E67, $I67*AM$55,0) + IF(AM$4&gt;$E67,MIN(AM67,$I67-SUM($J67:AM67)))</f>
        <v>2.2695309046780947</v>
      </c>
      <c r="AO67" s="2">
        <f>IF(AN$4=$E67, $I67*AN$55,0) + IF(AN$4&gt;$E67,MIN(AN67,$I67-SUM($J67:AN67)))</f>
        <v>2.2695309046780947</v>
      </c>
      <c r="AP67" s="2">
        <f>IF(AO$4=$E67, $I67*AO$55,0) + IF(AO$4&gt;$E67,MIN(AO67,$I67-SUM($J67:AO67)))</f>
        <v>2.2695309046780947</v>
      </c>
      <c r="AQ67" s="57">
        <f>IF(AP$4=$E67, $I67*AP$55,0) + IF(AP$4&gt;$E67,MIN(AP67,$I67-SUM($J67:AP67)))</f>
        <v>2.2695309046780947</v>
      </c>
      <c r="AR67" s="2">
        <f>IF(AQ$4=$E67, $I67*AQ$55,0) + IF(AQ$4&gt;$E67,MIN(AQ67,$I67-SUM($J67:AQ67)))</f>
        <v>2.2695309046780947</v>
      </c>
      <c r="AS67" s="2">
        <f>IF(AR$4=$E67, $I67*AR$55,0) + IF(AR$4&gt;$E67,MIN(AR67,$I67-SUM($J67:AR67)))</f>
        <v>2.2695309046780947</v>
      </c>
      <c r="AT67" s="2">
        <f>IF(AS$4=$E67, $I67*AS$55,0) + IF(AS$4&gt;$E67,MIN(AS67,$I67-SUM($J67:AS67)))</f>
        <v>0.68085927140344893</v>
      </c>
      <c r="AU67" s="2">
        <f>IF(AT$4=$E67, $I67*AT$55,0) + IF(AT$4&gt;$E67,MIN(AT67,$I67-SUM($J67:AT67)))</f>
        <v>0</v>
      </c>
      <c r="AV67" s="2">
        <f>IF(AU$4=$E67, $I67*AU$55,0) + IF(AU$4&gt;$E67,MIN(AU67,$I67-SUM($J67:AU67)))</f>
        <v>0</v>
      </c>
      <c r="AW67" s="2"/>
    </row>
    <row r="68" spans="5:49" ht="15" outlineLevel="1">
      <c r="E68" s="44">
        <f>INDEX($K$4:$AV$4,,COUNT(E$65:E67)+1)</f>
        <v>34059</v>
      </c>
      <c r="G68" s="2" t="s">
        <v>105</v>
      </c>
      <c r="I68" s="2">
        <f t="shared" si="62"/>
        <v>78.539119483654289</v>
      </c>
      <c r="K68" s="2">
        <f>IF(J$4=$E68, $I68*J$55,0) + IF(J$4&gt;$E68,MIN(J68,$I68-SUM($J68:J68)))</f>
        <v>0</v>
      </c>
      <c r="L68" s="2">
        <f>IF(K$4=$E68, $I68*K$55,0) + IF(K$4&gt;$E68,MIN(K68,$I68-SUM($J68:K68)))</f>
        <v>0</v>
      </c>
      <c r="M68" s="2">
        <f>IF(L$4=$E68, $I68*L$55,0) + IF(L$4&gt;$E68,MIN(L68,$I68-SUM($J68:L68)))</f>
        <v>0</v>
      </c>
      <c r="N68" s="2">
        <f>IF(M$4=$E68, $I68*M$55,0) + IF(M$4&gt;$E68,MIN(M68,$I68-SUM($J68:M68)))</f>
        <v>2.3585321166262552</v>
      </c>
      <c r="O68" s="2">
        <f>IF(N$4=$E68, $I68*N$55,0) + IF(N$4&gt;$E68,MIN(N68,$I68-SUM($J68:N68)))</f>
        <v>2.3585321166262552</v>
      </c>
      <c r="P68" s="2">
        <f>IF(O$4=$E68, $I68*O$55,0) + IF(O$4&gt;$E68,MIN(O68,$I68-SUM($J68:O68)))</f>
        <v>2.3585321166262552</v>
      </c>
      <c r="Q68" s="2">
        <f>IF(P$4=$E68, $I68*P$55,0) + IF(P$4&gt;$E68,MIN(P68,$I68-SUM($J68:P68)))</f>
        <v>2.3585321166262552</v>
      </c>
      <c r="R68" s="2">
        <f>IF(Q$4=$E68, $I68*Q$55,0) + IF(Q$4&gt;$E68,MIN(Q68,$I68-SUM($J68:Q68)))</f>
        <v>2.3585321166262552</v>
      </c>
      <c r="S68" s="2">
        <f>IF(R$4=$E68, $I68*R$55,0) + IF(R$4&gt;$E68,MIN(R68,$I68-SUM($J68:R68)))</f>
        <v>2.3585321166262552</v>
      </c>
      <c r="T68" s="2">
        <f>IF(S$4=$E68, $I68*S$55,0) + IF(S$4&gt;$E68,MIN(S68,$I68-SUM($J68:S68)))</f>
        <v>2.3585321166262552</v>
      </c>
      <c r="U68" s="2">
        <f>IF(T$4=$E68, $I68*T$55,0) + IF(T$4&gt;$E68,MIN(T68,$I68-SUM($J68:T68)))</f>
        <v>2.3585321166262552</v>
      </c>
      <c r="V68" s="2">
        <f>IF(U$4=$E68, $I68*U$55,0) + IF(U$4&gt;$E68,MIN(U68,$I68-SUM($J68:U68)))</f>
        <v>2.3585321166262552</v>
      </c>
      <c r="W68" s="2">
        <f>IF(V$4=$E68, $I68*V$55,0) + IF(V$4&gt;$E68,MIN(V68,$I68-SUM($J68:V68)))</f>
        <v>2.3585321166262552</v>
      </c>
      <c r="X68" s="2">
        <f>IF(W$4=$E68, $I68*W$55,0) + IF(W$4&gt;$E68,MIN(W68,$I68-SUM($J68:W68)))</f>
        <v>2.3585321166262552</v>
      </c>
      <c r="Y68" s="2">
        <f>IF(X$4=$E68, $I68*X$55,0) + IF(X$4&gt;$E68,MIN(X68,$I68-SUM($J68:X68)))</f>
        <v>2.3585321166262552</v>
      </c>
      <c r="Z68" s="2">
        <f>IF(Y$4=$E68, $I68*Y$55,0) + IF(Y$4&gt;$E68,MIN(Y68,$I68-SUM($J68:Y68)))</f>
        <v>2.3585321166262552</v>
      </c>
      <c r="AA68" s="2">
        <f>IF(Z$4=$E68, $I68*Z$55,0) + IF(Z$4&gt;$E68,MIN(Z68,$I68-SUM($J68:Z68)))</f>
        <v>2.3585321166262552</v>
      </c>
      <c r="AB68" s="2">
        <f>IF(AA$4=$E68, $I68*AA$55,0) + IF(AA$4&gt;$E68,MIN(AA68,$I68-SUM($J68:AA68)))</f>
        <v>2.3585321166262552</v>
      </c>
      <c r="AC68" s="2">
        <f>IF(AB$4=$E68, $I68*AB$55,0) + IF(AB$4&gt;$E68,MIN(AB68,$I68-SUM($J68:AB68)))</f>
        <v>2.3585321166262552</v>
      </c>
      <c r="AD68" s="2">
        <f>IF(AC$4=$E68, $I68*AC$55,0) + IF(AC$4&gt;$E68,MIN(AC68,$I68-SUM($J68:AC68)))</f>
        <v>2.3585321166262552</v>
      </c>
      <c r="AE68" s="2">
        <f>IF(AD$4=$E68, $I68*AD$55,0) + IF(AD$4&gt;$E68,MIN(AD68,$I68-SUM($J68:AD68)))</f>
        <v>2.3585321166262552</v>
      </c>
      <c r="AF68" s="2">
        <f>IF(AE$4=$E68, $I68*AE$55,0) + IF(AE$4&gt;$E68,MIN(AE68,$I68-SUM($J68:AE68)))</f>
        <v>2.3585321166262552</v>
      </c>
      <c r="AG68" s="2">
        <f>IF(AF$4=$E68, $I68*AF$55,0) + IF(AF$4&gt;$E68,MIN(AF68,$I68-SUM($J68:AF68)))</f>
        <v>2.3585321166262552</v>
      </c>
      <c r="AH68" s="2">
        <f>IF(AG$4=$E68, $I68*AG$55,0) + IF(AG$4&gt;$E68,MIN(AG68,$I68-SUM($J68:AG68)))</f>
        <v>2.3585321166262552</v>
      </c>
      <c r="AI68" s="2">
        <f>IF(AH$4=$E68, $I68*AH$55,0) + IF(AH$4&gt;$E68,MIN(AH68,$I68-SUM($J68:AH68)))</f>
        <v>2.3585321166262552</v>
      </c>
      <c r="AJ68" s="2">
        <f>IF(AI$4=$E68, $I68*AI$55,0) + IF(AI$4&gt;$E68,MIN(AI68,$I68-SUM($J68:AI68)))</f>
        <v>2.3585321166262552</v>
      </c>
      <c r="AK68" s="2">
        <f>IF(AJ$4=$E68, $I68*AJ$55,0) + IF(AJ$4&gt;$E68,MIN(AJ68,$I68-SUM($J68:AJ68)))</f>
        <v>2.3585321166262552</v>
      </c>
      <c r="AL68" s="2">
        <f>IF(AK$4=$E68, $I68*AK$55,0) + IF(AK$4&gt;$E68,MIN(AK68,$I68-SUM($J68:AK68)))</f>
        <v>2.3585321166262552</v>
      </c>
      <c r="AM68" s="2">
        <f>IF(AL$4=$E68, $I68*AL$55,0) + IF(AL$4&gt;$E68,MIN(AL68,$I68-SUM($J68:AL68)))</f>
        <v>2.3585321166262552</v>
      </c>
      <c r="AN68" s="2">
        <f>IF(AM$4=$E68, $I68*AM$55,0) + IF(AM$4&gt;$E68,MIN(AM68,$I68-SUM($J68:AM68)))</f>
        <v>2.3585321166262552</v>
      </c>
      <c r="AO68" s="2">
        <f>IF(AN$4=$E68, $I68*AN$55,0) + IF(AN$4&gt;$E68,MIN(AN68,$I68-SUM($J68:AN68)))</f>
        <v>2.3585321166262552</v>
      </c>
      <c r="AP68" s="2">
        <f>IF(AO$4=$E68, $I68*AO$55,0) + IF(AO$4&gt;$E68,MIN(AO68,$I68-SUM($J68:AO68)))</f>
        <v>2.3585321166262552</v>
      </c>
      <c r="AQ68" s="57">
        <f>IF(AP$4=$E68, $I68*AP$55,0) + IF(AP$4&gt;$E68,MIN(AP68,$I68-SUM($J68:AP68)))</f>
        <v>2.3585321166262552</v>
      </c>
      <c r="AR68" s="2">
        <f>IF(AQ$4=$E68, $I68*AQ$55,0) + IF(AQ$4&gt;$E68,MIN(AQ68,$I68-SUM($J68:AQ68)))</f>
        <v>2.3585321166262552</v>
      </c>
      <c r="AS68" s="2">
        <f>IF(AR$4=$E68, $I68*AR$55,0) + IF(AR$4&gt;$E68,MIN(AR68,$I68-SUM($J68:AR68)))</f>
        <v>2.3585321166262552</v>
      </c>
      <c r="AT68" s="2">
        <f>IF(AS$4=$E68, $I68*AS$55,0) + IF(AS$4&gt;$E68,MIN(AS68,$I68-SUM($J68:AS68)))</f>
        <v>2.3585321166262552</v>
      </c>
      <c r="AU68" s="2">
        <f>IF(AT$4=$E68, $I68*AT$55,0) + IF(AT$4&gt;$E68,MIN(AT68,$I68-SUM($J68:AT68)))</f>
        <v>0.70755963498787366</v>
      </c>
      <c r="AV68" s="2">
        <f>IF(AU$4=$E68, $I68*AU$55,0) + IF(AU$4&gt;$E68,MIN(AU68,$I68-SUM($J68:AU68)))</f>
        <v>0</v>
      </c>
      <c r="AW68" s="2"/>
    </row>
    <row r="69" spans="5:49" ht="15" outlineLevel="1">
      <c r="E69" s="44">
        <f>INDEX($K$4:$AV$4,,COUNT(E$65:E68)+1)</f>
        <v>34424</v>
      </c>
      <c r="G69" s="2" t="s">
        <v>105</v>
      </c>
      <c r="I69" s="2">
        <f t="shared" si="62"/>
        <v>89.097444508579528</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2.6755989341915778</v>
      </c>
      <c r="P69" s="2">
        <f>IF(O$4=$E69, $I69*O$55,0) + IF(O$4&gt;$E69,MIN(O69,$I69-SUM($J69:O69)))</f>
        <v>2.6755989341915778</v>
      </c>
      <c r="Q69" s="2">
        <f>IF(P$4=$E69, $I69*P$55,0) + IF(P$4&gt;$E69,MIN(P69,$I69-SUM($J69:P69)))</f>
        <v>2.6755989341915778</v>
      </c>
      <c r="R69" s="2">
        <f>IF(Q$4=$E69, $I69*Q$55,0) + IF(Q$4&gt;$E69,MIN(Q69,$I69-SUM($J69:Q69)))</f>
        <v>2.6755989341915778</v>
      </c>
      <c r="S69" s="2">
        <f>IF(R$4=$E69, $I69*R$55,0) + IF(R$4&gt;$E69,MIN(R69,$I69-SUM($J69:R69)))</f>
        <v>2.6755989341915778</v>
      </c>
      <c r="T69" s="2">
        <f>IF(S$4=$E69, $I69*S$55,0) + IF(S$4&gt;$E69,MIN(S69,$I69-SUM($J69:S69)))</f>
        <v>2.6755989341915778</v>
      </c>
      <c r="U69" s="2">
        <f>IF(T$4=$E69, $I69*T$55,0) + IF(T$4&gt;$E69,MIN(T69,$I69-SUM($J69:T69)))</f>
        <v>2.6755989341915778</v>
      </c>
      <c r="V69" s="2">
        <f>IF(U$4=$E69, $I69*U$55,0) + IF(U$4&gt;$E69,MIN(U69,$I69-SUM($J69:U69)))</f>
        <v>2.6755989341915778</v>
      </c>
      <c r="W69" s="2">
        <f>IF(V$4=$E69, $I69*V$55,0) + IF(V$4&gt;$E69,MIN(V69,$I69-SUM($J69:V69)))</f>
        <v>2.6755989341915778</v>
      </c>
      <c r="X69" s="2">
        <f>IF(W$4=$E69, $I69*W$55,0) + IF(W$4&gt;$E69,MIN(W69,$I69-SUM($J69:W69)))</f>
        <v>2.6755989341915778</v>
      </c>
      <c r="Y69" s="2">
        <f>IF(X$4=$E69, $I69*X$55,0) + IF(X$4&gt;$E69,MIN(X69,$I69-SUM($J69:X69)))</f>
        <v>2.6755989341915778</v>
      </c>
      <c r="Z69" s="2">
        <f>IF(Y$4=$E69, $I69*Y$55,0) + IF(Y$4&gt;$E69,MIN(Y69,$I69-SUM($J69:Y69)))</f>
        <v>2.6755989341915778</v>
      </c>
      <c r="AA69" s="2">
        <f>IF(Z$4=$E69, $I69*Z$55,0) + IF(Z$4&gt;$E69,MIN(Z69,$I69-SUM($J69:Z69)))</f>
        <v>2.6755989341915778</v>
      </c>
      <c r="AB69" s="2">
        <f>IF(AA$4=$E69, $I69*AA$55,0) + IF(AA$4&gt;$E69,MIN(AA69,$I69-SUM($J69:AA69)))</f>
        <v>2.6755989341915778</v>
      </c>
      <c r="AC69" s="2">
        <f>IF(AB$4=$E69, $I69*AB$55,0) + IF(AB$4&gt;$E69,MIN(AB69,$I69-SUM($J69:AB69)))</f>
        <v>2.6755989341915778</v>
      </c>
      <c r="AD69" s="2">
        <f>IF(AC$4=$E69, $I69*AC$55,0) + IF(AC$4&gt;$E69,MIN(AC69,$I69-SUM($J69:AC69)))</f>
        <v>2.6755989341915778</v>
      </c>
      <c r="AE69" s="2">
        <f>IF(AD$4=$E69, $I69*AD$55,0) + IF(AD$4&gt;$E69,MIN(AD69,$I69-SUM($J69:AD69)))</f>
        <v>2.6755989341915778</v>
      </c>
      <c r="AF69" s="2">
        <f>IF(AE$4=$E69, $I69*AE$55,0) + IF(AE$4&gt;$E69,MIN(AE69,$I69-SUM($J69:AE69)))</f>
        <v>2.6755989341915778</v>
      </c>
      <c r="AG69" s="2">
        <f>IF(AF$4=$E69, $I69*AF$55,0) + IF(AF$4&gt;$E69,MIN(AF69,$I69-SUM($J69:AF69)))</f>
        <v>2.6755989341915778</v>
      </c>
      <c r="AH69" s="2">
        <f>IF(AG$4=$E69, $I69*AG$55,0) + IF(AG$4&gt;$E69,MIN(AG69,$I69-SUM($J69:AG69)))</f>
        <v>2.6755989341915778</v>
      </c>
      <c r="AI69" s="2">
        <f>IF(AH$4=$E69, $I69*AH$55,0) + IF(AH$4&gt;$E69,MIN(AH69,$I69-SUM($J69:AH69)))</f>
        <v>2.6755989341915778</v>
      </c>
      <c r="AJ69" s="2">
        <f>IF(AI$4=$E69, $I69*AI$55,0) + IF(AI$4&gt;$E69,MIN(AI69,$I69-SUM($J69:AI69)))</f>
        <v>2.6755989341915778</v>
      </c>
      <c r="AK69" s="2">
        <f>IF(AJ$4=$E69, $I69*AJ$55,0) + IF(AJ$4&gt;$E69,MIN(AJ69,$I69-SUM($J69:AJ69)))</f>
        <v>2.6755989341915778</v>
      </c>
      <c r="AL69" s="2">
        <f>IF(AK$4=$E69, $I69*AK$55,0) + IF(AK$4&gt;$E69,MIN(AK69,$I69-SUM($J69:AK69)))</f>
        <v>2.6755989341915778</v>
      </c>
      <c r="AM69" s="2">
        <f>IF(AL$4=$E69, $I69*AL$55,0) + IF(AL$4&gt;$E69,MIN(AL69,$I69-SUM($J69:AL69)))</f>
        <v>2.6755989341915778</v>
      </c>
      <c r="AN69" s="2">
        <f>IF(AM$4=$E69, $I69*AM$55,0) + IF(AM$4&gt;$E69,MIN(AM69,$I69-SUM($J69:AM69)))</f>
        <v>2.6755989341915778</v>
      </c>
      <c r="AO69" s="2">
        <f>IF(AN$4=$E69, $I69*AN$55,0) + IF(AN$4&gt;$E69,MIN(AN69,$I69-SUM($J69:AN69)))</f>
        <v>2.6755989341915778</v>
      </c>
      <c r="AP69" s="2">
        <f>IF(AO$4=$E69, $I69*AO$55,0) + IF(AO$4&gt;$E69,MIN(AO69,$I69-SUM($J69:AO69)))</f>
        <v>2.6755989341915778</v>
      </c>
      <c r="AQ69" s="57">
        <f>IF(AP$4=$E69, $I69*AP$55,0) + IF(AP$4&gt;$E69,MIN(AP69,$I69-SUM($J69:AP69)))</f>
        <v>2.6755989341915778</v>
      </c>
      <c r="AR69" s="2">
        <f>IF(AQ$4=$E69, $I69*AQ$55,0) + IF(AQ$4&gt;$E69,MIN(AQ69,$I69-SUM($J69:AQ69)))</f>
        <v>2.6755989341915778</v>
      </c>
      <c r="AS69" s="2">
        <f>IF(AR$4=$E69, $I69*AR$55,0) + IF(AR$4&gt;$E69,MIN(AR69,$I69-SUM($J69:AR69)))</f>
        <v>2.6755989341915778</v>
      </c>
      <c r="AT69" s="2">
        <f>IF(AS$4=$E69, $I69*AS$55,0) + IF(AS$4&gt;$E69,MIN(AS69,$I69-SUM($J69:AS69)))</f>
        <v>2.6755989341915778</v>
      </c>
      <c r="AU69" s="2">
        <f>IF(AT$4=$E69, $I69*AT$55,0) + IF(AT$4&gt;$E69,MIN(AT69,$I69-SUM($J69:AT69)))</f>
        <v>2.6755989341915778</v>
      </c>
      <c r="AV69" s="2">
        <f>IF(AU$4=$E69, $I69*AU$55,0) + IF(AU$4&gt;$E69,MIN(AU69,$I69-SUM($J69:AU69)))</f>
        <v>0.80267968025742675</v>
      </c>
      <c r="AW69" s="2"/>
    </row>
    <row r="70" spans="5:49" ht="15" outlineLevel="1">
      <c r="E70" s="44">
        <f>INDEX($K$4:$AV$4,,COUNT(E$65:E69)+1)</f>
        <v>34789</v>
      </c>
      <c r="G70" s="2" t="s">
        <v>105</v>
      </c>
      <c r="I70" s="2">
        <f t="shared" si="62"/>
        <v>105.21278270451801</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3.1595430241597002</v>
      </c>
      <c r="Q70" s="2">
        <f>IF(P$4=$E70, $I70*P$55,0) + IF(P$4&gt;$E70,MIN(P70,$I70-SUM($J70:P70)))</f>
        <v>3.1595430241597002</v>
      </c>
      <c r="R70" s="2">
        <f>IF(Q$4=$E70, $I70*Q$55,0) + IF(Q$4&gt;$E70,MIN(Q70,$I70-SUM($J70:Q70)))</f>
        <v>3.1595430241597002</v>
      </c>
      <c r="S70" s="2">
        <f>IF(R$4=$E70, $I70*R$55,0) + IF(R$4&gt;$E70,MIN(R70,$I70-SUM($J70:R70)))</f>
        <v>3.1595430241597002</v>
      </c>
      <c r="T70" s="2">
        <f>IF(S$4=$E70, $I70*S$55,0) + IF(S$4&gt;$E70,MIN(S70,$I70-SUM($J70:S70)))</f>
        <v>3.1595430241597002</v>
      </c>
      <c r="U70" s="2">
        <f>IF(T$4=$E70, $I70*T$55,0) + IF(T$4&gt;$E70,MIN(T70,$I70-SUM($J70:T70)))</f>
        <v>3.1595430241597002</v>
      </c>
      <c r="V70" s="2">
        <f>IF(U$4=$E70, $I70*U$55,0) + IF(U$4&gt;$E70,MIN(U70,$I70-SUM($J70:U70)))</f>
        <v>3.1595430241597002</v>
      </c>
      <c r="W70" s="2">
        <f>IF(V$4=$E70, $I70*V$55,0) + IF(V$4&gt;$E70,MIN(V70,$I70-SUM($J70:V70)))</f>
        <v>3.1595430241597002</v>
      </c>
      <c r="X70" s="2">
        <f>IF(W$4=$E70, $I70*W$55,0) + IF(W$4&gt;$E70,MIN(W70,$I70-SUM($J70:W70)))</f>
        <v>3.1595430241597002</v>
      </c>
      <c r="Y70" s="2">
        <f>IF(X$4=$E70, $I70*X$55,0) + IF(X$4&gt;$E70,MIN(X70,$I70-SUM($J70:X70)))</f>
        <v>3.1595430241597002</v>
      </c>
      <c r="Z70" s="2">
        <f>IF(Y$4=$E70, $I70*Y$55,0) + IF(Y$4&gt;$E70,MIN(Y70,$I70-SUM($J70:Y70)))</f>
        <v>3.1595430241597002</v>
      </c>
      <c r="AA70" s="2">
        <f>IF(Z$4=$E70, $I70*Z$55,0) + IF(Z$4&gt;$E70,MIN(Z70,$I70-SUM($J70:Z70)))</f>
        <v>3.1595430241597002</v>
      </c>
      <c r="AB70" s="2">
        <f>IF(AA$4=$E70, $I70*AA$55,0) + IF(AA$4&gt;$E70,MIN(AA70,$I70-SUM($J70:AA70)))</f>
        <v>3.1595430241597002</v>
      </c>
      <c r="AC70" s="2">
        <f>IF(AB$4=$E70, $I70*AB$55,0) + IF(AB$4&gt;$E70,MIN(AB70,$I70-SUM($J70:AB70)))</f>
        <v>3.1595430241597002</v>
      </c>
      <c r="AD70" s="2">
        <f>IF(AC$4=$E70, $I70*AC$55,0) + IF(AC$4&gt;$E70,MIN(AC70,$I70-SUM($J70:AC70)))</f>
        <v>3.1595430241597002</v>
      </c>
      <c r="AE70" s="2">
        <f>IF(AD$4=$E70, $I70*AD$55,0) + IF(AD$4&gt;$E70,MIN(AD70,$I70-SUM($J70:AD70)))</f>
        <v>3.1595430241597002</v>
      </c>
      <c r="AF70" s="2">
        <f>IF(AE$4=$E70, $I70*AE$55,0) + IF(AE$4&gt;$E70,MIN(AE70,$I70-SUM($J70:AE70)))</f>
        <v>3.1595430241597002</v>
      </c>
      <c r="AG70" s="2">
        <f>IF(AF$4=$E70, $I70*AF$55,0) + IF(AF$4&gt;$E70,MIN(AF70,$I70-SUM($J70:AF70)))</f>
        <v>3.1595430241597002</v>
      </c>
      <c r="AH70" s="2">
        <f>IF(AG$4=$E70, $I70*AG$55,0) + IF(AG$4&gt;$E70,MIN(AG70,$I70-SUM($J70:AG70)))</f>
        <v>3.1595430241597002</v>
      </c>
      <c r="AI70" s="2">
        <f>IF(AH$4=$E70, $I70*AH$55,0) + IF(AH$4&gt;$E70,MIN(AH70,$I70-SUM($J70:AH70)))</f>
        <v>3.1595430241597002</v>
      </c>
      <c r="AJ70" s="2">
        <f>IF(AI$4=$E70, $I70*AI$55,0) + IF(AI$4&gt;$E70,MIN(AI70,$I70-SUM($J70:AI70)))</f>
        <v>3.1595430241597002</v>
      </c>
      <c r="AK70" s="2">
        <f>IF(AJ$4=$E70, $I70*AJ$55,0) + IF(AJ$4&gt;$E70,MIN(AJ70,$I70-SUM($J70:AJ70)))</f>
        <v>3.1595430241597002</v>
      </c>
      <c r="AL70" s="2">
        <f>IF(AK$4=$E70, $I70*AK$55,0) + IF(AK$4&gt;$E70,MIN(AK70,$I70-SUM($J70:AK70)))</f>
        <v>3.1595430241597002</v>
      </c>
      <c r="AM70" s="2">
        <f>IF(AL$4=$E70, $I70*AL$55,0) + IF(AL$4&gt;$E70,MIN(AL70,$I70-SUM($J70:AL70)))</f>
        <v>3.1595430241597002</v>
      </c>
      <c r="AN70" s="2">
        <f>IF(AM$4=$E70, $I70*AM$55,0) + IF(AM$4&gt;$E70,MIN(AM70,$I70-SUM($J70:AM70)))</f>
        <v>3.1595430241597002</v>
      </c>
      <c r="AO70" s="2">
        <f>IF(AN$4=$E70, $I70*AN$55,0) + IF(AN$4&gt;$E70,MIN(AN70,$I70-SUM($J70:AN70)))</f>
        <v>3.1595430241597002</v>
      </c>
      <c r="AP70" s="2">
        <f>IF(AO$4=$E70, $I70*AO$55,0) + IF(AO$4&gt;$E70,MIN(AO70,$I70-SUM($J70:AO70)))</f>
        <v>3.1595430241597002</v>
      </c>
      <c r="AQ70" s="57">
        <f>IF(AP$4=$E70, $I70*AP$55,0) + IF(AP$4&gt;$E70,MIN(AP70,$I70-SUM($J70:AP70)))</f>
        <v>3.1595430241597002</v>
      </c>
      <c r="AR70" s="2">
        <f>IF(AQ$4=$E70, $I70*AQ$55,0) + IF(AQ$4&gt;$E70,MIN(AQ70,$I70-SUM($J70:AQ70)))</f>
        <v>3.1595430241597002</v>
      </c>
      <c r="AS70" s="2">
        <f>IF(AR$4=$E70, $I70*AR$55,0) + IF(AR$4&gt;$E70,MIN(AR70,$I70-SUM($J70:AR70)))</f>
        <v>3.1595430241597002</v>
      </c>
      <c r="AT70" s="2">
        <f>IF(AS$4=$E70, $I70*AS$55,0) + IF(AS$4&gt;$E70,MIN(AS70,$I70-SUM($J70:AS70)))</f>
        <v>3.1595430241597002</v>
      </c>
      <c r="AU70" s="2">
        <f>IF(AT$4=$E70, $I70*AT$55,0) + IF(AT$4&gt;$E70,MIN(AT70,$I70-SUM($J70:AT70)))</f>
        <v>3.1595430241597002</v>
      </c>
      <c r="AV70" s="2">
        <f>IF(AU$4=$E70, $I70*AU$55,0) + IF(AU$4&gt;$E70,MIN(AU70,$I70-SUM($J70:AU70)))</f>
        <v>3.1595430241597002</v>
      </c>
      <c r="AW70" s="2"/>
    </row>
    <row r="71" spans="5:49" ht="15" outlineLevel="1">
      <c r="E71" s="44">
        <f>INDEX($K$4:$AV$4,,COUNT(E$65:E70)+1)</f>
        <v>35155</v>
      </c>
      <c r="G71" s="2" t="s">
        <v>105</v>
      </c>
      <c r="I71" s="2">
        <f t="shared" si="62"/>
        <v>77.61295062181874</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2.3307192378924548</v>
      </c>
      <c r="R71" s="2">
        <f>IF(Q$4=$E71, $I71*Q$55,0) + IF(Q$4&gt;$E71,MIN(Q71,$I71-SUM($J71:Q71)))</f>
        <v>2.3307192378924548</v>
      </c>
      <c r="S71" s="2">
        <f>IF(R$4=$E71, $I71*R$55,0) + IF(R$4&gt;$E71,MIN(R71,$I71-SUM($J71:R71)))</f>
        <v>2.3307192378924548</v>
      </c>
      <c r="T71" s="2">
        <f>IF(S$4=$E71, $I71*S$55,0) + IF(S$4&gt;$E71,MIN(S71,$I71-SUM($J71:S71)))</f>
        <v>2.3307192378924548</v>
      </c>
      <c r="U71" s="2">
        <f>IF(T$4=$E71, $I71*T$55,0) + IF(T$4&gt;$E71,MIN(T71,$I71-SUM($J71:T71)))</f>
        <v>2.3307192378924548</v>
      </c>
      <c r="V71" s="2">
        <f>IF(U$4=$E71, $I71*U$55,0) + IF(U$4&gt;$E71,MIN(U71,$I71-SUM($J71:U71)))</f>
        <v>2.3307192378924548</v>
      </c>
      <c r="W71" s="2">
        <f>IF(V$4=$E71, $I71*V$55,0) + IF(V$4&gt;$E71,MIN(V71,$I71-SUM($J71:V71)))</f>
        <v>2.3307192378924548</v>
      </c>
      <c r="X71" s="2">
        <f>IF(W$4=$E71, $I71*W$55,0) + IF(W$4&gt;$E71,MIN(W71,$I71-SUM($J71:W71)))</f>
        <v>2.3307192378924548</v>
      </c>
      <c r="Y71" s="2">
        <f>IF(X$4=$E71, $I71*X$55,0) + IF(X$4&gt;$E71,MIN(X71,$I71-SUM($J71:X71)))</f>
        <v>2.3307192378924548</v>
      </c>
      <c r="Z71" s="2">
        <f>IF(Y$4=$E71, $I71*Y$55,0) + IF(Y$4&gt;$E71,MIN(Y71,$I71-SUM($J71:Y71)))</f>
        <v>2.3307192378924548</v>
      </c>
      <c r="AA71" s="2">
        <f>IF(Z$4=$E71, $I71*Z$55,0) + IF(Z$4&gt;$E71,MIN(Z71,$I71-SUM($J71:Z71)))</f>
        <v>2.3307192378924548</v>
      </c>
      <c r="AB71" s="2">
        <f>IF(AA$4=$E71, $I71*AA$55,0) + IF(AA$4&gt;$E71,MIN(AA71,$I71-SUM($J71:AA71)))</f>
        <v>2.3307192378924548</v>
      </c>
      <c r="AC71" s="2">
        <f>IF(AB$4=$E71, $I71*AB$55,0) + IF(AB$4&gt;$E71,MIN(AB71,$I71-SUM($J71:AB71)))</f>
        <v>2.3307192378924548</v>
      </c>
      <c r="AD71" s="2">
        <f>IF(AC$4=$E71, $I71*AC$55,0) + IF(AC$4&gt;$E71,MIN(AC71,$I71-SUM($J71:AC71)))</f>
        <v>2.3307192378924548</v>
      </c>
      <c r="AE71" s="2">
        <f>IF(AD$4=$E71, $I71*AD$55,0) + IF(AD$4&gt;$E71,MIN(AD71,$I71-SUM($J71:AD71)))</f>
        <v>2.3307192378924548</v>
      </c>
      <c r="AF71" s="2">
        <f>IF(AE$4=$E71, $I71*AE$55,0) + IF(AE$4&gt;$E71,MIN(AE71,$I71-SUM($J71:AE71)))</f>
        <v>2.3307192378924548</v>
      </c>
      <c r="AG71" s="2">
        <f>IF(AF$4=$E71, $I71*AF$55,0) + IF(AF$4&gt;$E71,MIN(AF71,$I71-SUM($J71:AF71)))</f>
        <v>2.3307192378924548</v>
      </c>
      <c r="AH71" s="2">
        <f>IF(AG$4=$E71, $I71*AG$55,0) + IF(AG$4&gt;$E71,MIN(AG71,$I71-SUM($J71:AG71)))</f>
        <v>2.3307192378924548</v>
      </c>
      <c r="AI71" s="2">
        <f>IF(AH$4=$E71, $I71*AH$55,0) + IF(AH$4&gt;$E71,MIN(AH71,$I71-SUM($J71:AH71)))</f>
        <v>2.3307192378924548</v>
      </c>
      <c r="AJ71" s="2">
        <f>IF(AI$4=$E71, $I71*AI$55,0) + IF(AI$4&gt;$E71,MIN(AI71,$I71-SUM($J71:AI71)))</f>
        <v>2.3307192378924548</v>
      </c>
      <c r="AK71" s="2">
        <f>IF(AJ$4=$E71, $I71*AJ$55,0) + IF(AJ$4&gt;$E71,MIN(AJ71,$I71-SUM($J71:AJ71)))</f>
        <v>2.3307192378924548</v>
      </c>
      <c r="AL71" s="2">
        <f>IF(AK$4=$E71, $I71*AK$55,0) + IF(AK$4&gt;$E71,MIN(AK71,$I71-SUM($J71:AK71)))</f>
        <v>2.3307192378924548</v>
      </c>
      <c r="AM71" s="2">
        <f>IF(AL$4=$E71, $I71*AL$55,0) + IF(AL$4&gt;$E71,MIN(AL71,$I71-SUM($J71:AL71)))</f>
        <v>2.3307192378924548</v>
      </c>
      <c r="AN71" s="2">
        <f>IF(AM$4=$E71, $I71*AM$55,0) + IF(AM$4&gt;$E71,MIN(AM71,$I71-SUM($J71:AM71)))</f>
        <v>2.3307192378924548</v>
      </c>
      <c r="AO71" s="2">
        <f>IF(AN$4=$E71, $I71*AN$55,0) + IF(AN$4&gt;$E71,MIN(AN71,$I71-SUM($J71:AN71)))</f>
        <v>2.3307192378924548</v>
      </c>
      <c r="AP71" s="2">
        <f>IF(AO$4=$E71, $I71*AO$55,0) + IF(AO$4&gt;$E71,MIN(AO71,$I71-SUM($J71:AO71)))</f>
        <v>2.3307192378924548</v>
      </c>
      <c r="AQ71" s="57">
        <f>IF(AP$4=$E71, $I71*AP$55,0) + IF(AP$4&gt;$E71,MIN(AP71,$I71-SUM($J71:AP71)))</f>
        <v>2.3307192378924548</v>
      </c>
      <c r="AR71" s="2">
        <f>IF(AQ$4=$E71, $I71*AQ$55,0) + IF(AQ$4&gt;$E71,MIN(AQ71,$I71-SUM($J71:AQ71)))</f>
        <v>2.3307192378924548</v>
      </c>
      <c r="AS71" s="2">
        <f>IF(AR$4=$E71, $I71*AR$55,0) + IF(AR$4&gt;$E71,MIN(AR71,$I71-SUM($J71:AR71)))</f>
        <v>2.3307192378924548</v>
      </c>
      <c r="AT71" s="2">
        <f>IF(AS$4=$E71, $I71*AS$55,0) + IF(AS$4&gt;$E71,MIN(AS71,$I71-SUM($J71:AS71)))</f>
        <v>2.3307192378924548</v>
      </c>
      <c r="AU71" s="2">
        <f>IF(AT$4=$E71, $I71*AT$55,0) + IF(AT$4&gt;$E71,MIN(AT71,$I71-SUM($J71:AT71)))</f>
        <v>2.3307192378924548</v>
      </c>
      <c r="AV71" s="2">
        <f>IF(AU$4=$E71, $I71*AU$55,0) + IF(AU$4&gt;$E71,MIN(AU71,$I71-SUM($J71:AU71)))</f>
        <v>2.3307192378924548</v>
      </c>
      <c r="AW71" s="2"/>
    </row>
    <row r="72" spans="5:49" ht="15" outlineLevel="1">
      <c r="E72" s="44">
        <f>INDEX($K$4:$AV$4,,COUNT(E$65:E71)+1)</f>
        <v>35520</v>
      </c>
      <c r="G72" s="2" t="s">
        <v>105</v>
      </c>
      <c r="I72" s="2">
        <f t="shared" si="62"/>
        <v>83.169963792832021</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2.497596510295256</v>
      </c>
      <c r="S72" s="2">
        <f>IF(R$4=$E72, $I72*R$55,0) + IF(R$4&gt;$E72,MIN(R72,$I72-SUM($J72:R72)))</f>
        <v>2.497596510295256</v>
      </c>
      <c r="T72" s="2">
        <f>IF(S$4=$E72, $I72*S$55,0) + IF(S$4&gt;$E72,MIN(S72,$I72-SUM($J72:S72)))</f>
        <v>2.497596510295256</v>
      </c>
      <c r="U72" s="2">
        <f>IF(T$4=$E72, $I72*T$55,0) + IF(T$4&gt;$E72,MIN(T72,$I72-SUM($J72:T72)))</f>
        <v>2.497596510295256</v>
      </c>
      <c r="V72" s="2">
        <f>IF(U$4=$E72, $I72*U$55,0) + IF(U$4&gt;$E72,MIN(U72,$I72-SUM($J72:U72)))</f>
        <v>2.497596510295256</v>
      </c>
      <c r="W72" s="2">
        <f>IF(V$4=$E72, $I72*V$55,0) + IF(V$4&gt;$E72,MIN(V72,$I72-SUM($J72:V72)))</f>
        <v>2.497596510295256</v>
      </c>
      <c r="X72" s="2">
        <f>IF(W$4=$E72, $I72*W$55,0) + IF(W$4&gt;$E72,MIN(W72,$I72-SUM($J72:W72)))</f>
        <v>2.497596510295256</v>
      </c>
      <c r="Y72" s="2">
        <f>IF(X$4=$E72, $I72*X$55,0) + IF(X$4&gt;$E72,MIN(X72,$I72-SUM($J72:X72)))</f>
        <v>2.497596510295256</v>
      </c>
      <c r="Z72" s="2">
        <f>IF(Y$4=$E72, $I72*Y$55,0) + IF(Y$4&gt;$E72,MIN(Y72,$I72-SUM($J72:Y72)))</f>
        <v>2.497596510295256</v>
      </c>
      <c r="AA72" s="2">
        <f>IF(Z$4=$E72, $I72*Z$55,0) + IF(Z$4&gt;$E72,MIN(Z72,$I72-SUM($J72:Z72)))</f>
        <v>2.497596510295256</v>
      </c>
      <c r="AB72" s="2">
        <f>IF(AA$4=$E72, $I72*AA$55,0) + IF(AA$4&gt;$E72,MIN(AA72,$I72-SUM($J72:AA72)))</f>
        <v>2.497596510295256</v>
      </c>
      <c r="AC72" s="2">
        <f>IF(AB$4=$E72, $I72*AB$55,0) + IF(AB$4&gt;$E72,MIN(AB72,$I72-SUM($J72:AB72)))</f>
        <v>2.497596510295256</v>
      </c>
      <c r="AD72" s="2">
        <f>IF(AC$4=$E72, $I72*AC$55,0) + IF(AC$4&gt;$E72,MIN(AC72,$I72-SUM($J72:AC72)))</f>
        <v>2.497596510295256</v>
      </c>
      <c r="AE72" s="2">
        <f>IF(AD$4=$E72, $I72*AD$55,0) + IF(AD$4&gt;$E72,MIN(AD72,$I72-SUM($J72:AD72)))</f>
        <v>2.497596510295256</v>
      </c>
      <c r="AF72" s="2">
        <f>IF(AE$4=$E72, $I72*AE$55,0) + IF(AE$4&gt;$E72,MIN(AE72,$I72-SUM($J72:AE72)))</f>
        <v>2.497596510295256</v>
      </c>
      <c r="AG72" s="2">
        <f>IF(AF$4=$E72, $I72*AF$55,0) + IF(AF$4&gt;$E72,MIN(AF72,$I72-SUM($J72:AF72)))</f>
        <v>2.497596510295256</v>
      </c>
      <c r="AH72" s="2">
        <f>IF(AG$4=$E72, $I72*AG$55,0) + IF(AG$4&gt;$E72,MIN(AG72,$I72-SUM($J72:AG72)))</f>
        <v>2.497596510295256</v>
      </c>
      <c r="AI72" s="2">
        <f>IF(AH$4=$E72, $I72*AH$55,0) + IF(AH$4&gt;$E72,MIN(AH72,$I72-SUM($J72:AH72)))</f>
        <v>2.497596510295256</v>
      </c>
      <c r="AJ72" s="2">
        <f>IF(AI$4=$E72, $I72*AI$55,0) + IF(AI$4&gt;$E72,MIN(AI72,$I72-SUM($J72:AI72)))</f>
        <v>2.497596510295256</v>
      </c>
      <c r="AK72" s="2">
        <f>IF(AJ$4=$E72, $I72*AJ$55,0) + IF(AJ$4&gt;$E72,MIN(AJ72,$I72-SUM($J72:AJ72)))</f>
        <v>2.497596510295256</v>
      </c>
      <c r="AL72" s="2">
        <f>IF(AK$4=$E72, $I72*AK$55,0) + IF(AK$4&gt;$E72,MIN(AK72,$I72-SUM($J72:AK72)))</f>
        <v>2.497596510295256</v>
      </c>
      <c r="AM72" s="2">
        <f>IF(AL$4=$E72, $I72*AL$55,0) + IF(AL$4&gt;$E72,MIN(AL72,$I72-SUM($J72:AL72)))</f>
        <v>2.497596510295256</v>
      </c>
      <c r="AN72" s="2">
        <f>IF(AM$4=$E72, $I72*AM$55,0) + IF(AM$4&gt;$E72,MIN(AM72,$I72-SUM($J72:AM72)))</f>
        <v>2.497596510295256</v>
      </c>
      <c r="AO72" s="2">
        <f>IF(AN$4=$E72, $I72*AN$55,0) + IF(AN$4&gt;$E72,MIN(AN72,$I72-SUM($J72:AN72)))</f>
        <v>2.497596510295256</v>
      </c>
      <c r="AP72" s="2">
        <f>IF(AO$4=$E72, $I72*AO$55,0) + IF(AO$4&gt;$E72,MIN(AO72,$I72-SUM($J72:AO72)))</f>
        <v>2.497596510295256</v>
      </c>
      <c r="AQ72" s="57">
        <f>IF(AP$4=$E72, $I72*AP$55,0) + IF(AP$4&gt;$E72,MIN(AP72,$I72-SUM($J72:AP72)))</f>
        <v>2.497596510295256</v>
      </c>
      <c r="AR72" s="2">
        <f>IF(AQ$4=$E72, $I72*AQ$55,0) + IF(AQ$4&gt;$E72,MIN(AQ72,$I72-SUM($J72:AQ72)))</f>
        <v>2.497596510295256</v>
      </c>
      <c r="AS72" s="2">
        <f>IF(AR$4=$E72, $I72*AR$55,0) + IF(AR$4&gt;$E72,MIN(AR72,$I72-SUM($J72:AR72)))</f>
        <v>2.497596510295256</v>
      </c>
      <c r="AT72" s="2">
        <f>IF(AS$4=$E72, $I72*AS$55,0) + IF(AS$4&gt;$E72,MIN(AS72,$I72-SUM($J72:AS72)))</f>
        <v>2.497596510295256</v>
      </c>
      <c r="AU72" s="2">
        <f>IF(AT$4=$E72, $I72*AT$55,0) + IF(AT$4&gt;$E72,MIN(AT72,$I72-SUM($J72:AT72)))</f>
        <v>2.497596510295256</v>
      </c>
      <c r="AV72" s="2">
        <f>IF(AU$4=$E72, $I72*AU$55,0) + IF(AU$4&gt;$E72,MIN(AU72,$I72-SUM($J72:AU72)))</f>
        <v>2.497596510295256</v>
      </c>
      <c r="AW72" s="2"/>
    </row>
    <row r="73" spans="5:49" ht="15" outlineLevel="1">
      <c r="E73" s="44">
        <f>INDEX($K$4:$AV$4,,COUNT(E$65:E72)+1)</f>
        <v>35885</v>
      </c>
      <c r="G73" s="2" t="s">
        <v>105</v>
      </c>
      <c r="I73" s="2">
        <f t="shared" si="62"/>
        <v>76.316314215248994</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2.2917812076651352</v>
      </c>
      <c r="T73" s="2">
        <f>IF(S$4=$E73, $I73*S$55,0) + IF(S$4&gt;$E73,MIN(S73,$I73-SUM($J73:S73)))</f>
        <v>2.2917812076651352</v>
      </c>
      <c r="U73" s="2">
        <f>IF(T$4=$E73, $I73*T$55,0) + IF(T$4&gt;$E73,MIN(T73,$I73-SUM($J73:T73)))</f>
        <v>2.2917812076651352</v>
      </c>
      <c r="V73" s="2">
        <f>IF(U$4=$E73, $I73*U$55,0) + IF(U$4&gt;$E73,MIN(U73,$I73-SUM($J73:U73)))</f>
        <v>2.2917812076651352</v>
      </c>
      <c r="W73" s="2">
        <f>IF(V$4=$E73, $I73*V$55,0) + IF(V$4&gt;$E73,MIN(V73,$I73-SUM($J73:V73)))</f>
        <v>2.2917812076651352</v>
      </c>
      <c r="X73" s="2">
        <f>IF(W$4=$E73, $I73*W$55,0) + IF(W$4&gt;$E73,MIN(W73,$I73-SUM($J73:W73)))</f>
        <v>2.2917812076651352</v>
      </c>
      <c r="Y73" s="2">
        <f>IF(X$4=$E73, $I73*X$55,0) + IF(X$4&gt;$E73,MIN(X73,$I73-SUM($J73:X73)))</f>
        <v>2.2917812076651352</v>
      </c>
      <c r="Z73" s="2">
        <f>IF(Y$4=$E73, $I73*Y$55,0) + IF(Y$4&gt;$E73,MIN(Y73,$I73-SUM($J73:Y73)))</f>
        <v>2.2917812076651352</v>
      </c>
      <c r="AA73" s="2">
        <f>IF(Z$4=$E73, $I73*Z$55,0) + IF(Z$4&gt;$E73,MIN(Z73,$I73-SUM($J73:Z73)))</f>
        <v>2.2917812076651352</v>
      </c>
      <c r="AB73" s="2">
        <f>IF(AA$4=$E73, $I73*AA$55,0) + IF(AA$4&gt;$E73,MIN(AA73,$I73-SUM($J73:AA73)))</f>
        <v>2.2917812076651352</v>
      </c>
      <c r="AC73" s="2">
        <f>IF(AB$4=$E73, $I73*AB$55,0) + IF(AB$4&gt;$E73,MIN(AB73,$I73-SUM($J73:AB73)))</f>
        <v>2.2917812076651352</v>
      </c>
      <c r="AD73" s="2">
        <f>IF(AC$4=$E73, $I73*AC$55,0) + IF(AC$4&gt;$E73,MIN(AC73,$I73-SUM($J73:AC73)))</f>
        <v>2.2917812076651352</v>
      </c>
      <c r="AE73" s="2">
        <f>IF(AD$4=$E73, $I73*AD$55,0) + IF(AD$4&gt;$E73,MIN(AD73,$I73-SUM($J73:AD73)))</f>
        <v>2.2917812076651352</v>
      </c>
      <c r="AF73" s="2">
        <f>IF(AE$4=$E73, $I73*AE$55,0) + IF(AE$4&gt;$E73,MIN(AE73,$I73-SUM($J73:AE73)))</f>
        <v>2.2917812076651352</v>
      </c>
      <c r="AG73" s="2">
        <f>IF(AF$4=$E73, $I73*AF$55,0) + IF(AF$4&gt;$E73,MIN(AF73,$I73-SUM($J73:AF73)))</f>
        <v>2.2917812076651352</v>
      </c>
      <c r="AH73" s="2">
        <f>IF(AG$4=$E73, $I73*AG$55,0) + IF(AG$4&gt;$E73,MIN(AG73,$I73-SUM($J73:AG73)))</f>
        <v>2.2917812076651352</v>
      </c>
      <c r="AI73" s="2">
        <f>IF(AH$4=$E73, $I73*AH$55,0) + IF(AH$4&gt;$E73,MIN(AH73,$I73-SUM($J73:AH73)))</f>
        <v>2.2917812076651352</v>
      </c>
      <c r="AJ73" s="2">
        <f>IF(AI$4=$E73, $I73*AI$55,0) + IF(AI$4&gt;$E73,MIN(AI73,$I73-SUM($J73:AI73)))</f>
        <v>2.2917812076651352</v>
      </c>
      <c r="AK73" s="2">
        <f>IF(AJ$4=$E73, $I73*AJ$55,0) + IF(AJ$4&gt;$E73,MIN(AJ73,$I73-SUM($J73:AJ73)))</f>
        <v>2.2917812076651352</v>
      </c>
      <c r="AL73" s="2">
        <f>IF(AK$4=$E73, $I73*AK$55,0) + IF(AK$4&gt;$E73,MIN(AK73,$I73-SUM($J73:AK73)))</f>
        <v>2.2917812076651352</v>
      </c>
      <c r="AM73" s="2">
        <f>IF(AL$4=$E73, $I73*AL$55,0) + IF(AL$4&gt;$E73,MIN(AL73,$I73-SUM($J73:AL73)))</f>
        <v>2.2917812076651352</v>
      </c>
      <c r="AN73" s="2">
        <f>IF(AM$4=$E73, $I73*AM$55,0) + IF(AM$4&gt;$E73,MIN(AM73,$I73-SUM($J73:AM73)))</f>
        <v>2.2917812076651352</v>
      </c>
      <c r="AO73" s="2">
        <f>IF(AN$4=$E73, $I73*AN$55,0) + IF(AN$4&gt;$E73,MIN(AN73,$I73-SUM($J73:AN73)))</f>
        <v>2.2917812076651352</v>
      </c>
      <c r="AP73" s="2">
        <f>IF(AO$4=$E73, $I73*AO$55,0) + IF(AO$4&gt;$E73,MIN(AO73,$I73-SUM($J73:AO73)))</f>
        <v>2.2917812076651352</v>
      </c>
      <c r="AQ73" s="57">
        <f>IF(AP$4=$E73, $I73*AP$55,0) + IF(AP$4&gt;$E73,MIN(AP73,$I73-SUM($J73:AP73)))</f>
        <v>2.2917812076651352</v>
      </c>
      <c r="AR73" s="2">
        <f>IF(AQ$4=$E73, $I73*AQ$55,0) + IF(AQ$4&gt;$E73,MIN(AQ73,$I73-SUM($J73:AQ73)))</f>
        <v>2.2917812076651352</v>
      </c>
      <c r="AS73" s="2">
        <f>IF(AR$4=$E73, $I73*AR$55,0) + IF(AR$4&gt;$E73,MIN(AR73,$I73-SUM($J73:AR73)))</f>
        <v>2.2917812076651352</v>
      </c>
      <c r="AT73" s="2">
        <f>IF(AS$4=$E73, $I73*AS$55,0) + IF(AS$4&gt;$E73,MIN(AS73,$I73-SUM($J73:AS73)))</f>
        <v>2.2917812076651352</v>
      </c>
      <c r="AU73" s="2">
        <f>IF(AT$4=$E73, $I73*AT$55,0) + IF(AT$4&gt;$E73,MIN(AT73,$I73-SUM($J73:AT73)))</f>
        <v>2.2917812076651352</v>
      </c>
      <c r="AV73" s="2">
        <f>IF(AU$4=$E73, $I73*AU$55,0) + IF(AU$4&gt;$E73,MIN(AU73,$I73-SUM($J73:AU73)))</f>
        <v>2.2917812076651352</v>
      </c>
      <c r="AW73" s="2"/>
    </row>
    <row r="74" spans="5:49" ht="15" outlineLevel="1">
      <c r="E74" s="44">
        <f>INDEX($K$4:$AV$4,,COUNT(E$65:E73)+1)</f>
        <v>36250</v>
      </c>
      <c r="G74" s="2" t="s">
        <v>105</v>
      </c>
      <c r="I74" s="2">
        <f t="shared" si="62"/>
        <v>81.374484759045359</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2.4436782209923535</v>
      </c>
      <c r="U74" s="2">
        <f>IF(T$4=$E74, $I74*T$55,0) + IF(T$4&gt;$E74,MIN(T74,$I74-SUM($J74:T74)))</f>
        <v>2.4436782209923535</v>
      </c>
      <c r="V74" s="2">
        <f>IF(U$4=$E74, $I74*U$55,0) + IF(U$4&gt;$E74,MIN(U74,$I74-SUM($J74:U74)))</f>
        <v>2.4436782209923535</v>
      </c>
      <c r="W74" s="2">
        <f>IF(V$4=$E74, $I74*V$55,0) + IF(V$4&gt;$E74,MIN(V74,$I74-SUM($J74:V74)))</f>
        <v>2.4436782209923535</v>
      </c>
      <c r="X74" s="2">
        <f>IF(W$4=$E74, $I74*W$55,0) + IF(W$4&gt;$E74,MIN(W74,$I74-SUM($J74:W74)))</f>
        <v>2.4436782209923535</v>
      </c>
      <c r="Y74" s="2">
        <f>IF(X$4=$E74, $I74*X$55,0) + IF(X$4&gt;$E74,MIN(X74,$I74-SUM($J74:X74)))</f>
        <v>2.4436782209923535</v>
      </c>
      <c r="Z74" s="2">
        <f>IF(Y$4=$E74, $I74*Y$55,0) + IF(Y$4&gt;$E74,MIN(Y74,$I74-SUM($J74:Y74)))</f>
        <v>2.4436782209923535</v>
      </c>
      <c r="AA74" s="2">
        <f>IF(Z$4=$E74, $I74*Z$55,0) + IF(Z$4&gt;$E74,MIN(Z74,$I74-SUM($J74:Z74)))</f>
        <v>2.4436782209923535</v>
      </c>
      <c r="AB74" s="2">
        <f>IF(AA$4=$E74, $I74*AA$55,0) + IF(AA$4&gt;$E74,MIN(AA74,$I74-SUM($J74:AA74)))</f>
        <v>2.4436782209923535</v>
      </c>
      <c r="AC74" s="2">
        <f>IF(AB$4=$E74, $I74*AB$55,0) + IF(AB$4&gt;$E74,MIN(AB74,$I74-SUM($J74:AB74)))</f>
        <v>2.4436782209923535</v>
      </c>
      <c r="AD74" s="2">
        <f>IF(AC$4=$E74, $I74*AC$55,0) + IF(AC$4&gt;$E74,MIN(AC74,$I74-SUM($J74:AC74)))</f>
        <v>2.4436782209923535</v>
      </c>
      <c r="AE74" s="2">
        <f>IF(AD$4=$E74, $I74*AD$55,0) + IF(AD$4&gt;$E74,MIN(AD74,$I74-SUM($J74:AD74)))</f>
        <v>2.4436782209923535</v>
      </c>
      <c r="AF74" s="2">
        <f>IF(AE$4=$E74, $I74*AE$55,0) + IF(AE$4&gt;$E74,MIN(AE74,$I74-SUM($J74:AE74)))</f>
        <v>2.4436782209923535</v>
      </c>
      <c r="AG74" s="2">
        <f>IF(AF$4=$E74, $I74*AF$55,0) + IF(AF$4&gt;$E74,MIN(AF74,$I74-SUM($J74:AF74)))</f>
        <v>2.4436782209923535</v>
      </c>
      <c r="AH74" s="2">
        <f>IF(AG$4=$E74, $I74*AG$55,0) + IF(AG$4&gt;$E74,MIN(AG74,$I74-SUM($J74:AG74)))</f>
        <v>2.4436782209923535</v>
      </c>
      <c r="AI74" s="2">
        <f>IF(AH$4=$E74, $I74*AH$55,0) + IF(AH$4&gt;$E74,MIN(AH74,$I74-SUM($J74:AH74)))</f>
        <v>2.4436782209923535</v>
      </c>
      <c r="AJ74" s="2">
        <f>IF(AI$4=$E74, $I74*AI$55,0) + IF(AI$4&gt;$E74,MIN(AI74,$I74-SUM($J74:AI74)))</f>
        <v>2.4436782209923535</v>
      </c>
      <c r="AK74" s="2">
        <f>IF(AJ$4=$E74, $I74*AJ$55,0) + IF(AJ$4&gt;$E74,MIN(AJ74,$I74-SUM($J74:AJ74)))</f>
        <v>2.4436782209923535</v>
      </c>
      <c r="AL74" s="2">
        <f>IF(AK$4=$E74, $I74*AK$55,0) + IF(AK$4&gt;$E74,MIN(AK74,$I74-SUM($J74:AK74)))</f>
        <v>2.4436782209923535</v>
      </c>
      <c r="AM74" s="2">
        <f>IF(AL$4=$E74, $I74*AL$55,0) + IF(AL$4&gt;$E74,MIN(AL74,$I74-SUM($J74:AL74)))</f>
        <v>2.4436782209923535</v>
      </c>
      <c r="AN74" s="2">
        <f>IF(AM$4=$E74, $I74*AM$55,0) + IF(AM$4&gt;$E74,MIN(AM74,$I74-SUM($J74:AM74)))</f>
        <v>2.4436782209923535</v>
      </c>
      <c r="AO74" s="2">
        <f>IF(AN$4=$E74, $I74*AN$55,0) + IF(AN$4&gt;$E74,MIN(AN74,$I74-SUM($J74:AN74)))</f>
        <v>2.4436782209923535</v>
      </c>
      <c r="AP74" s="2">
        <f>IF(AO$4=$E74, $I74*AO$55,0) + IF(AO$4&gt;$E74,MIN(AO74,$I74-SUM($J74:AO74)))</f>
        <v>2.4436782209923535</v>
      </c>
      <c r="AQ74" s="57">
        <f>IF(AP$4=$E74, $I74*AP$55,0) + IF(AP$4&gt;$E74,MIN(AP74,$I74-SUM($J74:AP74)))</f>
        <v>2.4436782209923535</v>
      </c>
      <c r="AR74" s="2">
        <f>IF(AQ$4=$E74, $I74*AQ$55,0) + IF(AQ$4&gt;$E74,MIN(AQ74,$I74-SUM($J74:AQ74)))</f>
        <v>2.4436782209923535</v>
      </c>
      <c r="AS74" s="2">
        <f>IF(AR$4=$E74, $I74*AR$55,0) + IF(AR$4&gt;$E74,MIN(AR74,$I74-SUM($J74:AR74)))</f>
        <v>2.4436782209923535</v>
      </c>
      <c r="AT74" s="2">
        <f>IF(AS$4=$E74, $I74*AS$55,0) + IF(AS$4&gt;$E74,MIN(AS74,$I74-SUM($J74:AS74)))</f>
        <v>2.4436782209923535</v>
      </c>
      <c r="AU74" s="2">
        <f>IF(AT$4=$E74, $I74*AT$55,0) + IF(AT$4&gt;$E74,MIN(AT74,$I74-SUM($J74:AT74)))</f>
        <v>2.4436782209923535</v>
      </c>
      <c r="AV74" s="2">
        <f>IF(AU$4=$E74, $I74*AU$55,0) + IF(AU$4&gt;$E74,MIN(AU74,$I74-SUM($J74:AU74)))</f>
        <v>2.4436782209923535</v>
      </c>
      <c r="AW74" s="2"/>
    </row>
    <row r="75" spans="5:49" ht="15" outlineLevel="1">
      <c r="E75" s="44">
        <f>INDEX($K$4:$AV$4,,COUNT(E$65:E74)+1)</f>
        <v>36616</v>
      </c>
      <c r="G75" s="2" t="s">
        <v>105</v>
      </c>
      <c r="I75" s="2">
        <f t="shared" si="62"/>
        <v>86.472798316801928</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2.5967807302342925</v>
      </c>
      <c r="V75" s="2">
        <f>IF(U$4=$E75, $I75*U$55,0) + IF(U$4&gt;$E75,MIN(U75,$I75-SUM($J75:U75)))</f>
        <v>2.5967807302342925</v>
      </c>
      <c r="W75" s="2">
        <f>IF(V$4=$E75, $I75*V$55,0) + IF(V$4&gt;$E75,MIN(V75,$I75-SUM($J75:V75)))</f>
        <v>2.5967807302342925</v>
      </c>
      <c r="X75" s="2">
        <f>IF(W$4=$E75, $I75*W$55,0) + IF(W$4&gt;$E75,MIN(W75,$I75-SUM($J75:W75)))</f>
        <v>2.5967807302342925</v>
      </c>
      <c r="Y75" s="2">
        <f>IF(X$4=$E75, $I75*X$55,0) + IF(X$4&gt;$E75,MIN(X75,$I75-SUM($J75:X75)))</f>
        <v>2.5967807302342925</v>
      </c>
      <c r="Z75" s="2">
        <f>IF(Y$4=$E75, $I75*Y$55,0) + IF(Y$4&gt;$E75,MIN(Y75,$I75-SUM($J75:Y75)))</f>
        <v>2.5967807302342925</v>
      </c>
      <c r="AA75" s="2">
        <f>IF(Z$4=$E75, $I75*Z$55,0) + IF(Z$4&gt;$E75,MIN(Z75,$I75-SUM($J75:Z75)))</f>
        <v>2.5967807302342925</v>
      </c>
      <c r="AB75" s="2">
        <f>IF(AA$4=$E75, $I75*AA$55,0) + IF(AA$4&gt;$E75,MIN(AA75,$I75-SUM($J75:AA75)))</f>
        <v>2.5967807302342925</v>
      </c>
      <c r="AC75" s="2">
        <f>IF(AB$4=$E75, $I75*AB$55,0) + IF(AB$4&gt;$E75,MIN(AB75,$I75-SUM($J75:AB75)))</f>
        <v>2.5967807302342925</v>
      </c>
      <c r="AD75" s="2">
        <f>IF(AC$4=$E75, $I75*AC$55,0) + IF(AC$4&gt;$E75,MIN(AC75,$I75-SUM($J75:AC75)))</f>
        <v>2.5967807302342925</v>
      </c>
      <c r="AE75" s="2">
        <f>IF(AD$4=$E75, $I75*AD$55,0) + IF(AD$4&gt;$E75,MIN(AD75,$I75-SUM($J75:AD75)))</f>
        <v>2.5967807302342925</v>
      </c>
      <c r="AF75" s="2">
        <f>IF(AE$4=$E75, $I75*AE$55,0) + IF(AE$4&gt;$E75,MIN(AE75,$I75-SUM($J75:AE75)))</f>
        <v>2.5967807302342925</v>
      </c>
      <c r="AG75" s="2">
        <f>IF(AF$4=$E75, $I75*AF$55,0) + IF(AF$4&gt;$E75,MIN(AF75,$I75-SUM($J75:AF75)))</f>
        <v>2.5967807302342925</v>
      </c>
      <c r="AH75" s="2">
        <f>IF(AG$4=$E75, $I75*AG$55,0) + IF(AG$4&gt;$E75,MIN(AG75,$I75-SUM($J75:AG75)))</f>
        <v>2.5967807302342925</v>
      </c>
      <c r="AI75" s="2">
        <f>IF(AH$4=$E75, $I75*AH$55,0) + IF(AH$4&gt;$E75,MIN(AH75,$I75-SUM($J75:AH75)))</f>
        <v>2.5967807302342925</v>
      </c>
      <c r="AJ75" s="2">
        <f>IF(AI$4=$E75, $I75*AI$55,0) + IF(AI$4&gt;$E75,MIN(AI75,$I75-SUM($J75:AI75)))</f>
        <v>2.5967807302342925</v>
      </c>
      <c r="AK75" s="2">
        <f>IF(AJ$4=$E75, $I75*AJ$55,0) + IF(AJ$4&gt;$E75,MIN(AJ75,$I75-SUM($J75:AJ75)))</f>
        <v>2.5967807302342925</v>
      </c>
      <c r="AL75" s="2">
        <f>IF(AK$4=$E75, $I75*AK$55,0) + IF(AK$4&gt;$E75,MIN(AK75,$I75-SUM($J75:AK75)))</f>
        <v>2.5967807302342925</v>
      </c>
      <c r="AM75" s="2">
        <f>IF(AL$4=$E75, $I75*AL$55,0) + IF(AL$4&gt;$E75,MIN(AL75,$I75-SUM($J75:AL75)))</f>
        <v>2.5967807302342925</v>
      </c>
      <c r="AN75" s="2">
        <f>IF(AM$4=$E75, $I75*AM$55,0) + IF(AM$4&gt;$E75,MIN(AM75,$I75-SUM($J75:AM75)))</f>
        <v>2.5967807302342925</v>
      </c>
      <c r="AO75" s="2">
        <f>IF(AN$4=$E75, $I75*AN$55,0) + IF(AN$4&gt;$E75,MIN(AN75,$I75-SUM($J75:AN75)))</f>
        <v>2.5967807302342925</v>
      </c>
      <c r="AP75" s="2">
        <f>IF(AO$4=$E75, $I75*AO$55,0) + IF(AO$4&gt;$E75,MIN(AO75,$I75-SUM($J75:AO75)))</f>
        <v>2.5967807302342925</v>
      </c>
      <c r="AQ75" s="57">
        <f>IF(AP$4=$E75, $I75*AP$55,0) + IF(AP$4&gt;$E75,MIN(AP75,$I75-SUM($J75:AP75)))</f>
        <v>2.5967807302342925</v>
      </c>
      <c r="AR75" s="2">
        <f>IF(AQ$4=$E75, $I75*AQ$55,0) + IF(AQ$4&gt;$E75,MIN(AQ75,$I75-SUM($J75:AQ75)))</f>
        <v>2.5967807302342925</v>
      </c>
      <c r="AS75" s="2">
        <f>IF(AR$4=$E75, $I75*AR$55,0) + IF(AR$4&gt;$E75,MIN(AR75,$I75-SUM($J75:AR75)))</f>
        <v>2.5967807302342925</v>
      </c>
      <c r="AT75" s="2">
        <f>IF(AS$4=$E75, $I75*AS$55,0) + IF(AS$4&gt;$E75,MIN(AS75,$I75-SUM($J75:AS75)))</f>
        <v>2.5967807302342925</v>
      </c>
      <c r="AU75" s="2">
        <f>IF(AT$4=$E75, $I75*AT$55,0) + IF(AT$4&gt;$E75,MIN(AT75,$I75-SUM($J75:AT75)))</f>
        <v>2.5967807302342925</v>
      </c>
      <c r="AV75" s="2">
        <f>IF(AU$4=$E75, $I75*AU$55,0) + IF(AU$4&gt;$E75,MIN(AU75,$I75-SUM($J75:AU75)))</f>
        <v>2.5967807302342925</v>
      </c>
      <c r="AW75" s="2"/>
    </row>
    <row r="76" spans="5:49" ht="15" outlineLevel="1">
      <c r="E76" s="44">
        <f>INDEX($K$4:$AV$4,,COUNT(E$65:E75)+1)</f>
        <v>36981</v>
      </c>
      <c r="G76" s="2" t="s">
        <v>105</v>
      </c>
      <c r="I76" s="2">
        <f t="shared" si="62"/>
        <v>88.773713396244773</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2.66587727916651</v>
      </c>
      <c r="W76" s="2">
        <f>IF(V$4=$E76, $I76*V$55,0) + IF(V$4&gt;$E76,MIN(V76,$I76-SUM($J76:V76)))</f>
        <v>2.66587727916651</v>
      </c>
      <c r="X76" s="2">
        <f>IF(W$4=$E76, $I76*W$55,0) + IF(W$4&gt;$E76,MIN(W76,$I76-SUM($J76:W76)))</f>
        <v>2.66587727916651</v>
      </c>
      <c r="Y76" s="2">
        <f>IF(X$4=$E76, $I76*X$55,0) + IF(X$4&gt;$E76,MIN(X76,$I76-SUM($J76:X76)))</f>
        <v>2.66587727916651</v>
      </c>
      <c r="Z76" s="2">
        <f>IF(Y$4=$E76, $I76*Y$55,0) + IF(Y$4&gt;$E76,MIN(Y76,$I76-SUM($J76:Y76)))</f>
        <v>2.66587727916651</v>
      </c>
      <c r="AA76" s="2">
        <f>IF(Z$4=$E76, $I76*Z$55,0) + IF(Z$4&gt;$E76,MIN(Z76,$I76-SUM($J76:Z76)))</f>
        <v>2.66587727916651</v>
      </c>
      <c r="AB76" s="2">
        <f>IF(AA$4=$E76, $I76*AA$55,0) + IF(AA$4&gt;$E76,MIN(AA76,$I76-SUM($J76:AA76)))</f>
        <v>2.66587727916651</v>
      </c>
      <c r="AC76" s="2">
        <f>IF(AB$4=$E76, $I76*AB$55,0) + IF(AB$4&gt;$E76,MIN(AB76,$I76-SUM($J76:AB76)))</f>
        <v>2.66587727916651</v>
      </c>
      <c r="AD76" s="2">
        <f>IF(AC$4=$E76, $I76*AC$55,0) + IF(AC$4&gt;$E76,MIN(AC76,$I76-SUM($J76:AC76)))</f>
        <v>2.66587727916651</v>
      </c>
      <c r="AE76" s="2">
        <f>IF(AD$4=$E76, $I76*AD$55,0) + IF(AD$4&gt;$E76,MIN(AD76,$I76-SUM($J76:AD76)))</f>
        <v>2.66587727916651</v>
      </c>
      <c r="AF76" s="2">
        <f>IF(AE$4=$E76, $I76*AE$55,0) + IF(AE$4&gt;$E76,MIN(AE76,$I76-SUM($J76:AE76)))</f>
        <v>2.66587727916651</v>
      </c>
      <c r="AG76" s="2">
        <f>IF(AF$4=$E76, $I76*AF$55,0) + IF(AF$4&gt;$E76,MIN(AF76,$I76-SUM($J76:AF76)))</f>
        <v>2.66587727916651</v>
      </c>
      <c r="AH76" s="2">
        <f>IF(AG$4=$E76, $I76*AG$55,0) + IF(AG$4&gt;$E76,MIN(AG76,$I76-SUM($J76:AG76)))</f>
        <v>2.66587727916651</v>
      </c>
      <c r="AI76" s="2">
        <f>IF(AH$4=$E76, $I76*AH$55,0) + IF(AH$4&gt;$E76,MIN(AH76,$I76-SUM($J76:AH76)))</f>
        <v>2.66587727916651</v>
      </c>
      <c r="AJ76" s="2">
        <f>IF(AI$4=$E76, $I76*AI$55,0) + IF(AI$4&gt;$E76,MIN(AI76,$I76-SUM($J76:AI76)))</f>
        <v>2.66587727916651</v>
      </c>
      <c r="AK76" s="2">
        <f>IF(AJ$4=$E76, $I76*AJ$55,0) + IF(AJ$4&gt;$E76,MIN(AJ76,$I76-SUM($J76:AJ76)))</f>
        <v>2.66587727916651</v>
      </c>
      <c r="AL76" s="2">
        <f>IF(AK$4=$E76, $I76*AK$55,0) + IF(AK$4&gt;$E76,MIN(AK76,$I76-SUM($J76:AK76)))</f>
        <v>2.66587727916651</v>
      </c>
      <c r="AM76" s="2">
        <f>IF(AL$4=$E76, $I76*AL$55,0) + IF(AL$4&gt;$E76,MIN(AL76,$I76-SUM($J76:AL76)))</f>
        <v>2.66587727916651</v>
      </c>
      <c r="AN76" s="2">
        <f>IF(AM$4=$E76, $I76*AM$55,0) + IF(AM$4&gt;$E76,MIN(AM76,$I76-SUM($J76:AM76)))</f>
        <v>2.66587727916651</v>
      </c>
      <c r="AO76" s="2">
        <f>IF(AN$4=$E76, $I76*AN$55,0) + IF(AN$4&gt;$E76,MIN(AN76,$I76-SUM($J76:AN76)))</f>
        <v>2.66587727916651</v>
      </c>
      <c r="AP76" s="2">
        <f>IF(AO$4=$E76, $I76*AO$55,0) + IF(AO$4&gt;$E76,MIN(AO76,$I76-SUM($J76:AO76)))</f>
        <v>2.66587727916651</v>
      </c>
      <c r="AQ76" s="57">
        <f>IF(AP$4=$E76, $I76*AP$55,0) + IF(AP$4&gt;$E76,MIN(AP76,$I76-SUM($J76:AP76)))</f>
        <v>2.66587727916651</v>
      </c>
      <c r="AR76" s="2">
        <f>IF(AQ$4=$E76, $I76*AQ$55,0) + IF(AQ$4&gt;$E76,MIN(AQ76,$I76-SUM($J76:AQ76)))</f>
        <v>2.66587727916651</v>
      </c>
      <c r="AS76" s="2">
        <f>IF(AR$4=$E76, $I76*AR$55,0) + IF(AR$4&gt;$E76,MIN(AR76,$I76-SUM($J76:AR76)))</f>
        <v>2.66587727916651</v>
      </c>
      <c r="AT76" s="2">
        <f>IF(AS$4=$E76, $I76*AS$55,0) + IF(AS$4&gt;$E76,MIN(AS76,$I76-SUM($J76:AS76)))</f>
        <v>2.66587727916651</v>
      </c>
      <c r="AU76" s="2">
        <f>IF(AT$4=$E76, $I76*AT$55,0) + IF(AT$4&gt;$E76,MIN(AT76,$I76-SUM($J76:AT76)))</f>
        <v>2.66587727916651</v>
      </c>
      <c r="AV76" s="2">
        <f>IF(AU$4=$E76, $I76*AU$55,0) + IF(AU$4&gt;$E76,MIN(AU76,$I76-SUM($J76:AU76)))</f>
        <v>2.66587727916651</v>
      </c>
      <c r="AW76" s="2"/>
    </row>
    <row r="77" spans="5:49" ht="15" outlineLevel="1">
      <c r="E77" s="44">
        <f>INDEX($K$4:$AV$4,,COUNT(E$65:E76)+1)</f>
        <v>37346</v>
      </c>
      <c r="G77" s="2" t="s">
        <v>105</v>
      </c>
      <c r="I77" s="2">
        <f t="shared" si="62"/>
        <v>99.987059669302653</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3.0026144044835634</v>
      </c>
      <c r="X77" s="2">
        <f>IF(W$4=$E77, $I77*W$55,0) + IF(W$4&gt;$E77,MIN(W77,$I77-SUM($J77:W77)))</f>
        <v>3.0026144044835634</v>
      </c>
      <c r="Y77" s="2">
        <f>IF(X$4=$E77, $I77*X$55,0) + IF(X$4&gt;$E77,MIN(X77,$I77-SUM($J77:X77)))</f>
        <v>3.0026144044835634</v>
      </c>
      <c r="Z77" s="2">
        <f>IF(Y$4=$E77, $I77*Y$55,0) + IF(Y$4&gt;$E77,MIN(Y77,$I77-SUM($J77:Y77)))</f>
        <v>3.0026144044835634</v>
      </c>
      <c r="AA77" s="2">
        <f>IF(Z$4=$E77, $I77*Z$55,0) + IF(Z$4&gt;$E77,MIN(Z77,$I77-SUM($J77:Z77)))</f>
        <v>3.0026144044835634</v>
      </c>
      <c r="AB77" s="2">
        <f>IF(AA$4=$E77, $I77*AA$55,0) + IF(AA$4&gt;$E77,MIN(AA77,$I77-SUM($J77:AA77)))</f>
        <v>3.0026144044835634</v>
      </c>
      <c r="AC77" s="2">
        <f>IF(AB$4=$E77, $I77*AB$55,0) + IF(AB$4&gt;$E77,MIN(AB77,$I77-SUM($J77:AB77)))</f>
        <v>3.0026144044835634</v>
      </c>
      <c r="AD77" s="2">
        <f>IF(AC$4=$E77, $I77*AC$55,0) + IF(AC$4&gt;$E77,MIN(AC77,$I77-SUM($J77:AC77)))</f>
        <v>3.0026144044835634</v>
      </c>
      <c r="AE77" s="2">
        <f>IF(AD$4=$E77, $I77*AD$55,0) + IF(AD$4&gt;$E77,MIN(AD77,$I77-SUM($J77:AD77)))</f>
        <v>3.0026144044835634</v>
      </c>
      <c r="AF77" s="2">
        <f>IF(AE$4=$E77, $I77*AE$55,0) + IF(AE$4&gt;$E77,MIN(AE77,$I77-SUM($J77:AE77)))</f>
        <v>3.0026144044835634</v>
      </c>
      <c r="AG77" s="2">
        <f>IF(AF$4=$E77, $I77*AF$55,0) + IF(AF$4&gt;$E77,MIN(AF77,$I77-SUM($J77:AF77)))</f>
        <v>3.0026144044835634</v>
      </c>
      <c r="AH77" s="2">
        <f>IF(AG$4=$E77, $I77*AG$55,0) + IF(AG$4&gt;$E77,MIN(AG77,$I77-SUM($J77:AG77)))</f>
        <v>3.0026144044835634</v>
      </c>
      <c r="AI77" s="2">
        <f>IF(AH$4=$E77, $I77*AH$55,0) + IF(AH$4&gt;$E77,MIN(AH77,$I77-SUM($J77:AH77)))</f>
        <v>3.0026144044835634</v>
      </c>
      <c r="AJ77" s="2">
        <f>IF(AI$4=$E77, $I77*AI$55,0) + IF(AI$4&gt;$E77,MIN(AI77,$I77-SUM($J77:AI77)))</f>
        <v>3.0026144044835634</v>
      </c>
      <c r="AK77" s="2">
        <f>IF(AJ$4=$E77, $I77*AJ$55,0) + IF(AJ$4&gt;$E77,MIN(AJ77,$I77-SUM($J77:AJ77)))</f>
        <v>3.0026144044835634</v>
      </c>
      <c r="AL77" s="2">
        <f>IF(AK$4=$E77, $I77*AK$55,0) + IF(AK$4&gt;$E77,MIN(AK77,$I77-SUM($J77:AK77)))</f>
        <v>3.0026144044835634</v>
      </c>
      <c r="AM77" s="2">
        <f>IF(AL$4=$E77, $I77*AL$55,0) + IF(AL$4&gt;$E77,MIN(AL77,$I77-SUM($J77:AL77)))</f>
        <v>3.0026144044835634</v>
      </c>
      <c r="AN77" s="2">
        <f>IF(AM$4=$E77, $I77*AM$55,0) + IF(AM$4&gt;$E77,MIN(AM77,$I77-SUM($J77:AM77)))</f>
        <v>3.0026144044835634</v>
      </c>
      <c r="AO77" s="2">
        <f>IF(AN$4=$E77, $I77*AN$55,0) + IF(AN$4&gt;$E77,MIN(AN77,$I77-SUM($J77:AN77)))</f>
        <v>3.0026144044835634</v>
      </c>
      <c r="AP77" s="2">
        <f>IF(AO$4=$E77, $I77*AO$55,0) + IF(AO$4&gt;$E77,MIN(AO77,$I77-SUM($J77:AO77)))</f>
        <v>3.0026144044835634</v>
      </c>
      <c r="AQ77" s="57">
        <f>IF(AP$4=$E77, $I77*AP$55,0) + IF(AP$4&gt;$E77,MIN(AP77,$I77-SUM($J77:AP77)))</f>
        <v>3.0026144044835634</v>
      </c>
      <c r="AR77" s="2">
        <f>IF(AQ$4=$E77, $I77*AQ$55,0) + IF(AQ$4&gt;$E77,MIN(AQ77,$I77-SUM($J77:AQ77)))</f>
        <v>3.0026144044835634</v>
      </c>
      <c r="AS77" s="2">
        <f>IF(AR$4=$E77, $I77*AR$55,0) + IF(AR$4&gt;$E77,MIN(AR77,$I77-SUM($J77:AR77)))</f>
        <v>3.0026144044835634</v>
      </c>
      <c r="AT77" s="2">
        <f>IF(AS$4=$E77, $I77*AS$55,0) + IF(AS$4&gt;$E77,MIN(AS77,$I77-SUM($J77:AS77)))</f>
        <v>3.0026144044835634</v>
      </c>
      <c r="AU77" s="2">
        <f>IF(AT$4=$E77, $I77*AT$55,0) + IF(AT$4&gt;$E77,MIN(AT77,$I77-SUM($J77:AT77)))</f>
        <v>3.0026144044835634</v>
      </c>
      <c r="AV77" s="2">
        <f>IF(AU$4=$E77, $I77*AU$55,0) + IF(AU$4&gt;$E77,MIN(AU77,$I77-SUM($J77:AU77)))</f>
        <v>3.0026144044835634</v>
      </c>
      <c r="AW77" s="2"/>
    </row>
    <row r="78" spans="5:49" ht="15" outlineLevel="1">
      <c r="E78" s="44">
        <f>INDEX($K$4:$AV$4,,COUNT(E$65:E77)+1)</f>
        <v>37711</v>
      </c>
      <c r="G78" s="2" t="s">
        <v>105</v>
      </c>
      <c r="I78" s="2">
        <f t="shared" si="62"/>
        <v>92.334630861645195</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2.772811737586943</v>
      </c>
      <c r="Y78" s="2">
        <f>IF(X$4=$E78, $I78*X$55,0) + IF(X$4&gt;$E78,MIN(X78,$I78-SUM($J78:X78)))</f>
        <v>2.772811737586943</v>
      </c>
      <c r="Z78" s="2">
        <f>IF(Y$4=$E78, $I78*Y$55,0) + IF(Y$4&gt;$E78,MIN(Y78,$I78-SUM($J78:Y78)))</f>
        <v>2.772811737586943</v>
      </c>
      <c r="AA78" s="2">
        <f>IF(Z$4=$E78, $I78*Z$55,0) + IF(Z$4&gt;$E78,MIN(Z78,$I78-SUM($J78:Z78)))</f>
        <v>2.772811737586943</v>
      </c>
      <c r="AB78" s="2">
        <f>IF(AA$4=$E78, $I78*AA$55,0) + IF(AA$4&gt;$E78,MIN(AA78,$I78-SUM($J78:AA78)))</f>
        <v>2.772811737586943</v>
      </c>
      <c r="AC78" s="2">
        <f>IF(AB$4=$E78, $I78*AB$55,0) + IF(AB$4&gt;$E78,MIN(AB78,$I78-SUM($J78:AB78)))</f>
        <v>2.772811737586943</v>
      </c>
      <c r="AD78" s="2">
        <f>IF(AC$4=$E78, $I78*AC$55,0) + IF(AC$4&gt;$E78,MIN(AC78,$I78-SUM($J78:AC78)))</f>
        <v>2.772811737586943</v>
      </c>
      <c r="AE78" s="2">
        <f>IF(AD$4=$E78, $I78*AD$55,0) + IF(AD$4&gt;$E78,MIN(AD78,$I78-SUM($J78:AD78)))</f>
        <v>2.772811737586943</v>
      </c>
      <c r="AF78" s="2">
        <f>IF(AE$4=$E78, $I78*AE$55,0) + IF(AE$4&gt;$E78,MIN(AE78,$I78-SUM($J78:AE78)))</f>
        <v>2.772811737586943</v>
      </c>
      <c r="AG78" s="2">
        <f>IF(AF$4=$E78, $I78*AF$55,0) + IF(AF$4&gt;$E78,MIN(AF78,$I78-SUM($J78:AF78)))</f>
        <v>2.772811737586943</v>
      </c>
      <c r="AH78" s="2">
        <f>IF(AG$4=$E78, $I78*AG$55,0) + IF(AG$4&gt;$E78,MIN(AG78,$I78-SUM($J78:AG78)))</f>
        <v>2.772811737586943</v>
      </c>
      <c r="AI78" s="2">
        <f>IF(AH$4=$E78, $I78*AH$55,0) + IF(AH$4&gt;$E78,MIN(AH78,$I78-SUM($J78:AH78)))</f>
        <v>2.772811737586943</v>
      </c>
      <c r="AJ78" s="2">
        <f>IF(AI$4=$E78, $I78*AI$55,0) + IF(AI$4&gt;$E78,MIN(AI78,$I78-SUM($J78:AI78)))</f>
        <v>2.772811737586943</v>
      </c>
      <c r="AK78" s="2">
        <f>IF(AJ$4=$E78, $I78*AJ$55,0) + IF(AJ$4&gt;$E78,MIN(AJ78,$I78-SUM($J78:AJ78)))</f>
        <v>2.772811737586943</v>
      </c>
      <c r="AL78" s="2">
        <f>IF(AK$4=$E78, $I78*AK$55,0) + IF(AK$4&gt;$E78,MIN(AK78,$I78-SUM($J78:AK78)))</f>
        <v>2.772811737586943</v>
      </c>
      <c r="AM78" s="2">
        <f>IF(AL$4=$E78, $I78*AL$55,0) + IF(AL$4&gt;$E78,MIN(AL78,$I78-SUM($J78:AL78)))</f>
        <v>2.772811737586943</v>
      </c>
      <c r="AN78" s="2">
        <f>IF(AM$4=$E78, $I78*AM$55,0) + IF(AM$4&gt;$E78,MIN(AM78,$I78-SUM($J78:AM78)))</f>
        <v>2.772811737586943</v>
      </c>
      <c r="AO78" s="2">
        <f>IF(AN$4=$E78, $I78*AN$55,0) + IF(AN$4&gt;$E78,MIN(AN78,$I78-SUM($J78:AN78)))</f>
        <v>2.772811737586943</v>
      </c>
      <c r="AP78" s="2">
        <f>IF(AO$4=$E78, $I78*AO$55,0) + IF(AO$4&gt;$E78,MIN(AO78,$I78-SUM($J78:AO78)))</f>
        <v>2.772811737586943</v>
      </c>
      <c r="AQ78" s="57">
        <f>IF(AP$4=$E78, $I78*AP$55,0) + IF(AP$4&gt;$E78,MIN(AP78,$I78-SUM($J78:AP78)))</f>
        <v>2.772811737586943</v>
      </c>
      <c r="AR78" s="2">
        <f>IF(AQ$4=$E78, $I78*AQ$55,0) + IF(AQ$4&gt;$E78,MIN(AQ78,$I78-SUM($J78:AQ78)))</f>
        <v>2.772811737586943</v>
      </c>
      <c r="AS78" s="2">
        <f>IF(AR$4=$E78, $I78*AR$55,0) + IF(AR$4&gt;$E78,MIN(AR78,$I78-SUM($J78:AR78)))</f>
        <v>2.772811737586943</v>
      </c>
      <c r="AT78" s="2">
        <f>IF(AS$4=$E78, $I78*AS$55,0) + IF(AS$4&gt;$E78,MIN(AS78,$I78-SUM($J78:AS78)))</f>
        <v>2.772811737586943</v>
      </c>
      <c r="AU78" s="2">
        <f>IF(AT$4=$E78, $I78*AT$55,0) + IF(AT$4&gt;$E78,MIN(AT78,$I78-SUM($J78:AT78)))</f>
        <v>2.772811737586943</v>
      </c>
      <c r="AV78" s="2">
        <f>IF(AU$4=$E78, $I78*AU$55,0) + IF(AU$4&gt;$E78,MIN(AU78,$I78-SUM($J78:AU78)))</f>
        <v>2.772811737586943</v>
      </c>
      <c r="AW78" s="2"/>
    </row>
    <row r="79" spans="5:49" ht="15" outlineLevel="1">
      <c r="E79" s="44">
        <f>INDEX($K$4:$AV$4,,COUNT(E$65:E78)+1)</f>
        <v>38077</v>
      </c>
      <c r="G79" s="2" t="s">
        <v>105</v>
      </c>
      <c r="I79" s="2">
        <f t="shared" si="62"/>
        <v>97.405183056914325</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2.9250805722797097</v>
      </c>
      <c r="Z79" s="2">
        <f>IF(Y$4=$E79, $I79*Y$55,0) + IF(Y$4&gt;$E79,MIN(Y79,$I79-SUM($J79:Y79)))</f>
        <v>2.9250805722797097</v>
      </c>
      <c r="AA79" s="2">
        <f>IF(Z$4=$E79, $I79*Z$55,0) + IF(Z$4&gt;$E79,MIN(Z79,$I79-SUM($J79:Z79)))</f>
        <v>2.9250805722797097</v>
      </c>
      <c r="AB79" s="2">
        <f>IF(AA$4=$E79, $I79*AA$55,0) + IF(AA$4&gt;$E79,MIN(AA79,$I79-SUM($J79:AA79)))</f>
        <v>2.9250805722797097</v>
      </c>
      <c r="AC79" s="2">
        <f>IF(AB$4=$E79, $I79*AB$55,0) + IF(AB$4&gt;$E79,MIN(AB79,$I79-SUM($J79:AB79)))</f>
        <v>2.9250805722797097</v>
      </c>
      <c r="AD79" s="2">
        <f>IF(AC$4=$E79, $I79*AC$55,0) + IF(AC$4&gt;$E79,MIN(AC79,$I79-SUM($J79:AC79)))</f>
        <v>2.9250805722797097</v>
      </c>
      <c r="AE79" s="2">
        <f>IF(AD$4=$E79, $I79*AD$55,0) + IF(AD$4&gt;$E79,MIN(AD79,$I79-SUM($J79:AD79)))</f>
        <v>2.9250805722797097</v>
      </c>
      <c r="AF79" s="2">
        <f>IF(AE$4=$E79, $I79*AE$55,0) + IF(AE$4&gt;$E79,MIN(AE79,$I79-SUM($J79:AE79)))</f>
        <v>2.9250805722797097</v>
      </c>
      <c r="AG79" s="2">
        <f>IF(AF$4=$E79, $I79*AF$55,0) + IF(AF$4&gt;$E79,MIN(AF79,$I79-SUM($J79:AF79)))</f>
        <v>2.9250805722797097</v>
      </c>
      <c r="AH79" s="2">
        <f>IF(AG$4=$E79, $I79*AG$55,0) + IF(AG$4&gt;$E79,MIN(AG79,$I79-SUM($J79:AG79)))</f>
        <v>2.9250805722797097</v>
      </c>
      <c r="AI79" s="2">
        <f>IF(AH$4=$E79, $I79*AH$55,0) + IF(AH$4&gt;$E79,MIN(AH79,$I79-SUM($J79:AH79)))</f>
        <v>2.9250805722797097</v>
      </c>
      <c r="AJ79" s="2">
        <f>IF(AI$4=$E79, $I79*AI$55,0) + IF(AI$4&gt;$E79,MIN(AI79,$I79-SUM($J79:AI79)))</f>
        <v>2.9250805722797097</v>
      </c>
      <c r="AK79" s="2">
        <f>IF(AJ$4=$E79, $I79*AJ$55,0) + IF(AJ$4&gt;$E79,MIN(AJ79,$I79-SUM($J79:AJ79)))</f>
        <v>2.9250805722797097</v>
      </c>
      <c r="AL79" s="2">
        <f>IF(AK$4=$E79, $I79*AK$55,0) + IF(AK$4&gt;$E79,MIN(AK79,$I79-SUM($J79:AK79)))</f>
        <v>2.9250805722797097</v>
      </c>
      <c r="AM79" s="2">
        <f>IF(AL$4=$E79, $I79*AL$55,0) + IF(AL$4&gt;$E79,MIN(AL79,$I79-SUM($J79:AL79)))</f>
        <v>2.9250805722797097</v>
      </c>
      <c r="AN79" s="2">
        <f>IF(AM$4=$E79, $I79*AM$55,0) + IF(AM$4&gt;$E79,MIN(AM79,$I79-SUM($J79:AM79)))</f>
        <v>2.9250805722797097</v>
      </c>
      <c r="AO79" s="2">
        <f>IF(AN$4=$E79, $I79*AN$55,0) + IF(AN$4&gt;$E79,MIN(AN79,$I79-SUM($J79:AN79)))</f>
        <v>2.9250805722797097</v>
      </c>
      <c r="AP79" s="2">
        <f>IF(AO$4=$E79, $I79*AO$55,0) + IF(AO$4&gt;$E79,MIN(AO79,$I79-SUM($J79:AO79)))</f>
        <v>2.9250805722797097</v>
      </c>
      <c r="AQ79" s="57">
        <f>IF(AP$4=$E79, $I79*AP$55,0) + IF(AP$4&gt;$E79,MIN(AP79,$I79-SUM($J79:AP79)))</f>
        <v>2.9250805722797097</v>
      </c>
      <c r="AR79" s="2">
        <f>IF(AQ$4=$E79, $I79*AQ$55,0) + IF(AQ$4&gt;$E79,MIN(AQ79,$I79-SUM($J79:AQ79)))</f>
        <v>2.9250805722797097</v>
      </c>
      <c r="AS79" s="2">
        <f>IF(AR$4=$E79, $I79*AR$55,0) + IF(AR$4&gt;$E79,MIN(AR79,$I79-SUM($J79:AR79)))</f>
        <v>2.9250805722797097</v>
      </c>
      <c r="AT79" s="2">
        <f>IF(AS$4=$E79, $I79*AS$55,0) + IF(AS$4&gt;$E79,MIN(AS79,$I79-SUM($J79:AS79)))</f>
        <v>2.9250805722797097</v>
      </c>
      <c r="AU79" s="2">
        <f>IF(AT$4=$E79, $I79*AT$55,0) + IF(AT$4&gt;$E79,MIN(AT79,$I79-SUM($J79:AT79)))</f>
        <v>2.9250805722797097</v>
      </c>
      <c r="AV79" s="2">
        <f>IF(AU$4=$E79, $I79*AU$55,0) + IF(AU$4&gt;$E79,MIN(AU79,$I79-SUM($J79:AU79)))</f>
        <v>2.9250805722797097</v>
      </c>
      <c r="AW79" s="2"/>
    </row>
    <row r="80" spans="5:49" ht="15" outlineLevel="1">
      <c r="E80" s="44">
        <f>INDEX($K$4:$AV$4,,COUNT(E$65:E79)+1)</f>
        <v>38442</v>
      </c>
      <c r="G80" s="2" t="s">
        <v>105</v>
      </c>
      <c r="I80" s="2">
        <f t="shared" si="62"/>
        <v>91.254455029953064</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2.7403740249235158</v>
      </c>
      <c r="AA80" s="2">
        <f>IF(Z$4=$E80, $I80*Z$55,0) + IF(Z$4&gt;$E80,MIN(Z80,$I80-SUM($J80:Z80)))</f>
        <v>2.7403740249235158</v>
      </c>
      <c r="AB80" s="2">
        <f>IF(AA$4=$E80, $I80*AA$55,0) + IF(AA$4&gt;$E80,MIN(AA80,$I80-SUM($J80:AA80)))</f>
        <v>2.7403740249235158</v>
      </c>
      <c r="AC80" s="2">
        <f>IF(AB$4=$E80, $I80*AB$55,0) + IF(AB$4&gt;$E80,MIN(AB80,$I80-SUM($J80:AB80)))</f>
        <v>2.7403740249235158</v>
      </c>
      <c r="AD80" s="2">
        <f>IF(AC$4=$E80, $I80*AC$55,0) + IF(AC$4&gt;$E80,MIN(AC80,$I80-SUM($J80:AC80)))</f>
        <v>2.7403740249235158</v>
      </c>
      <c r="AE80" s="2">
        <f>IF(AD$4=$E80, $I80*AD$55,0) + IF(AD$4&gt;$E80,MIN(AD80,$I80-SUM($J80:AD80)))</f>
        <v>2.7403740249235158</v>
      </c>
      <c r="AF80" s="2">
        <f>IF(AE$4=$E80, $I80*AE$55,0) + IF(AE$4&gt;$E80,MIN(AE80,$I80-SUM($J80:AE80)))</f>
        <v>2.7403740249235158</v>
      </c>
      <c r="AG80" s="2">
        <f>IF(AF$4=$E80, $I80*AF$55,0) + IF(AF$4&gt;$E80,MIN(AF80,$I80-SUM($J80:AF80)))</f>
        <v>2.7403740249235158</v>
      </c>
      <c r="AH80" s="2">
        <f>IF(AG$4=$E80, $I80*AG$55,0) + IF(AG$4&gt;$E80,MIN(AG80,$I80-SUM($J80:AG80)))</f>
        <v>2.7403740249235158</v>
      </c>
      <c r="AI80" s="2">
        <f>IF(AH$4=$E80, $I80*AH$55,0) + IF(AH$4&gt;$E80,MIN(AH80,$I80-SUM($J80:AH80)))</f>
        <v>2.7403740249235158</v>
      </c>
      <c r="AJ80" s="2">
        <f>IF(AI$4=$E80, $I80*AI$55,0) + IF(AI$4&gt;$E80,MIN(AI80,$I80-SUM($J80:AI80)))</f>
        <v>2.7403740249235158</v>
      </c>
      <c r="AK80" s="2">
        <f>IF(AJ$4=$E80, $I80*AJ$55,0) + IF(AJ$4&gt;$E80,MIN(AJ80,$I80-SUM($J80:AJ80)))</f>
        <v>2.7403740249235158</v>
      </c>
      <c r="AL80" s="2">
        <f>IF(AK$4=$E80, $I80*AK$55,0) + IF(AK$4&gt;$E80,MIN(AK80,$I80-SUM($J80:AK80)))</f>
        <v>2.7403740249235158</v>
      </c>
      <c r="AM80" s="2">
        <f>IF(AL$4=$E80, $I80*AL$55,0) + IF(AL$4&gt;$E80,MIN(AL80,$I80-SUM($J80:AL80)))</f>
        <v>2.7403740249235158</v>
      </c>
      <c r="AN80" s="2">
        <f>IF(AM$4=$E80, $I80*AM$55,0) + IF(AM$4&gt;$E80,MIN(AM80,$I80-SUM($J80:AM80)))</f>
        <v>2.7403740249235158</v>
      </c>
      <c r="AO80" s="2">
        <f>IF(AN$4=$E80, $I80*AN$55,0) + IF(AN$4&gt;$E80,MIN(AN80,$I80-SUM($J80:AN80)))</f>
        <v>2.7403740249235158</v>
      </c>
      <c r="AP80" s="2">
        <f>IF(AO$4=$E80, $I80*AO$55,0) + IF(AO$4&gt;$E80,MIN(AO80,$I80-SUM($J80:AO80)))</f>
        <v>2.7403740249235158</v>
      </c>
      <c r="AQ80" s="57">
        <f>IF(AP$4=$E80, $I80*AP$55,0) + IF(AP$4&gt;$E80,MIN(AP80,$I80-SUM($J80:AP80)))</f>
        <v>2.7403740249235158</v>
      </c>
      <c r="AR80" s="2">
        <f>IF(AQ$4=$E80, $I80*AQ$55,0) + IF(AQ$4&gt;$E80,MIN(AQ80,$I80-SUM($J80:AQ80)))</f>
        <v>2.7403740249235158</v>
      </c>
      <c r="AS80" s="2">
        <f>IF(AR$4=$E80, $I80*AR$55,0) + IF(AR$4&gt;$E80,MIN(AR80,$I80-SUM($J80:AR80)))</f>
        <v>2.7403740249235158</v>
      </c>
      <c r="AT80" s="2">
        <f>IF(AS$4=$E80, $I80*AS$55,0) + IF(AS$4&gt;$E80,MIN(AS80,$I80-SUM($J80:AS80)))</f>
        <v>2.7403740249235158</v>
      </c>
      <c r="AU80" s="2">
        <f>IF(AT$4=$E80, $I80*AT$55,0) + IF(AT$4&gt;$E80,MIN(AT80,$I80-SUM($J80:AT80)))</f>
        <v>2.7403740249235158</v>
      </c>
      <c r="AV80" s="2">
        <f>IF(AU$4=$E80, $I80*AU$55,0) + IF(AU$4&gt;$E80,MIN(AU80,$I80-SUM($J80:AU80)))</f>
        <v>2.7403740249235158</v>
      </c>
      <c r="AW80" s="2"/>
    </row>
    <row r="81" spans="5:49" ht="15" outlineLevel="1">
      <c r="E81" s="44">
        <f>INDEX($K$4:$AV$4,,COUNT(E$65:E80)+1)</f>
        <v>38807</v>
      </c>
      <c r="G81" s="2" t="s">
        <v>105</v>
      </c>
      <c r="I81" s="2">
        <f t="shared" si="62"/>
        <v>107.8513973764981</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3.2387807019969403</v>
      </c>
      <c r="AB81" s="2">
        <f>IF(AA$4=$E81, $I81*AA$55,0) + IF(AA$4&gt;$E81,MIN(AA81,$I81-SUM($J81:AA81)))</f>
        <v>3.2387807019969403</v>
      </c>
      <c r="AC81" s="2">
        <f>IF(AB$4=$E81, $I81*AB$55,0) + IF(AB$4&gt;$E81,MIN(AB81,$I81-SUM($J81:AB81)))</f>
        <v>3.2387807019969403</v>
      </c>
      <c r="AD81" s="2">
        <f>IF(AC$4=$E81, $I81*AC$55,0) + IF(AC$4&gt;$E81,MIN(AC81,$I81-SUM($J81:AC81)))</f>
        <v>3.2387807019969403</v>
      </c>
      <c r="AE81" s="2">
        <f>IF(AD$4=$E81, $I81*AD$55,0) + IF(AD$4&gt;$E81,MIN(AD81,$I81-SUM($J81:AD81)))</f>
        <v>3.2387807019969403</v>
      </c>
      <c r="AF81" s="2">
        <f>IF(AE$4=$E81, $I81*AE$55,0) + IF(AE$4&gt;$E81,MIN(AE81,$I81-SUM($J81:AE81)))</f>
        <v>3.2387807019969403</v>
      </c>
      <c r="AG81" s="2">
        <f>IF(AF$4=$E81, $I81*AF$55,0) + IF(AF$4&gt;$E81,MIN(AF81,$I81-SUM($J81:AF81)))</f>
        <v>3.2387807019969403</v>
      </c>
      <c r="AH81" s="2">
        <f>IF(AG$4=$E81, $I81*AG$55,0) + IF(AG$4&gt;$E81,MIN(AG81,$I81-SUM($J81:AG81)))</f>
        <v>3.2387807019969403</v>
      </c>
      <c r="AI81" s="2">
        <f>IF(AH$4=$E81, $I81*AH$55,0) + IF(AH$4&gt;$E81,MIN(AH81,$I81-SUM($J81:AH81)))</f>
        <v>3.2387807019969403</v>
      </c>
      <c r="AJ81" s="2">
        <f>IF(AI$4=$E81, $I81*AI$55,0) + IF(AI$4&gt;$E81,MIN(AI81,$I81-SUM($J81:AI81)))</f>
        <v>3.2387807019969403</v>
      </c>
      <c r="AK81" s="2">
        <f>IF(AJ$4=$E81, $I81*AJ$55,0) + IF(AJ$4&gt;$E81,MIN(AJ81,$I81-SUM($J81:AJ81)))</f>
        <v>3.2387807019969403</v>
      </c>
      <c r="AL81" s="2">
        <f>IF(AK$4=$E81, $I81*AK$55,0) + IF(AK$4&gt;$E81,MIN(AK81,$I81-SUM($J81:AK81)))</f>
        <v>3.2387807019969403</v>
      </c>
      <c r="AM81" s="2">
        <f>IF(AL$4=$E81, $I81*AL$55,0) + IF(AL$4&gt;$E81,MIN(AL81,$I81-SUM($J81:AL81)))</f>
        <v>3.2387807019969403</v>
      </c>
      <c r="AN81" s="2">
        <f>IF(AM$4=$E81, $I81*AM$55,0) + IF(AM$4&gt;$E81,MIN(AM81,$I81-SUM($J81:AM81)))</f>
        <v>3.2387807019969403</v>
      </c>
      <c r="AO81" s="2">
        <f>IF(AN$4=$E81, $I81*AN$55,0) + IF(AN$4&gt;$E81,MIN(AN81,$I81-SUM($J81:AN81)))</f>
        <v>3.2387807019969403</v>
      </c>
      <c r="AP81" s="2">
        <f>IF(AO$4=$E81, $I81*AO$55,0) + IF(AO$4&gt;$E81,MIN(AO81,$I81-SUM($J81:AO81)))</f>
        <v>3.2387807019969403</v>
      </c>
      <c r="AQ81" s="57">
        <f>IF(AP$4=$E81, $I81*AP$55,0) + IF(AP$4&gt;$E81,MIN(AP81,$I81-SUM($J81:AP81)))</f>
        <v>3.2387807019969403</v>
      </c>
      <c r="AR81" s="2">
        <f>IF(AQ$4=$E81, $I81*AQ$55,0) + IF(AQ$4&gt;$E81,MIN(AQ81,$I81-SUM($J81:AQ81)))</f>
        <v>3.2387807019969403</v>
      </c>
      <c r="AS81" s="2">
        <f>IF(AR$4=$E81, $I81*AR$55,0) + IF(AR$4&gt;$E81,MIN(AR81,$I81-SUM($J81:AR81)))</f>
        <v>3.2387807019969403</v>
      </c>
      <c r="AT81" s="2">
        <f>IF(AS$4=$E81, $I81*AS$55,0) + IF(AS$4&gt;$E81,MIN(AS81,$I81-SUM($J81:AS81)))</f>
        <v>3.2387807019969403</v>
      </c>
      <c r="AU81" s="2">
        <f>IF(AT$4=$E81, $I81*AT$55,0) + IF(AT$4&gt;$E81,MIN(AT81,$I81-SUM($J81:AT81)))</f>
        <v>3.2387807019969403</v>
      </c>
      <c r="AV81" s="2">
        <f>IF(AU$4=$E81, $I81*AU$55,0) + IF(AU$4&gt;$E81,MIN(AU81,$I81-SUM($J81:AU81)))</f>
        <v>3.2387807019969403</v>
      </c>
      <c r="AW81" s="2"/>
    </row>
    <row r="82" spans="5:49" ht="15" outlineLevel="1">
      <c r="E82" s="44">
        <f>INDEX($K$4:$AV$4,,COUNT(E$65:E81)+1)</f>
        <v>39172</v>
      </c>
      <c r="G82" s="2" t="s">
        <v>105</v>
      </c>
      <c r="I82" s="2">
        <f t="shared" si="62"/>
        <v>112.7814106362575</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3.3868291482359614</v>
      </c>
      <c r="AC82" s="2">
        <f>IF(AB$4=$E82, $I82*AB$55,0) + IF(AB$4&gt;$E82,MIN(AB82,$I82-SUM($J82:AB82)))</f>
        <v>3.3868291482359614</v>
      </c>
      <c r="AD82" s="2">
        <f>IF(AC$4=$E82, $I82*AC$55,0) + IF(AC$4&gt;$E82,MIN(AC82,$I82-SUM($J82:AC82)))</f>
        <v>3.3868291482359614</v>
      </c>
      <c r="AE82" s="2">
        <f>IF(AD$4=$E82, $I82*AD$55,0) + IF(AD$4&gt;$E82,MIN(AD82,$I82-SUM($J82:AD82)))</f>
        <v>3.3868291482359614</v>
      </c>
      <c r="AF82" s="2">
        <f>IF(AE$4=$E82, $I82*AE$55,0) + IF(AE$4&gt;$E82,MIN(AE82,$I82-SUM($J82:AE82)))</f>
        <v>3.3868291482359614</v>
      </c>
      <c r="AG82" s="2">
        <f>IF(AF$4=$E82, $I82*AF$55,0) + IF(AF$4&gt;$E82,MIN(AF82,$I82-SUM($J82:AF82)))</f>
        <v>3.3868291482359614</v>
      </c>
      <c r="AH82" s="2">
        <f>IF(AG$4=$E82, $I82*AG$55,0) + IF(AG$4&gt;$E82,MIN(AG82,$I82-SUM($J82:AG82)))</f>
        <v>3.3868291482359614</v>
      </c>
      <c r="AI82" s="2">
        <f>IF(AH$4=$E82, $I82*AH$55,0) + IF(AH$4&gt;$E82,MIN(AH82,$I82-SUM($J82:AH82)))</f>
        <v>3.3868291482359614</v>
      </c>
      <c r="AJ82" s="2">
        <f>IF(AI$4=$E82, $I82*AI$55,0) + IF(AI$4&gt;$E82,MIN(AI82,$I82-SUM($J82:AI82)))</f>
        <v>3.3868291482359614</v>
      </c>
      <c r="AK82" s="2">
        <f>IF(AJ$4=$E82, $I82*AJ$55,0) + IF(AJ$4&gt;$E82,MIN(AJ82,$I82-SUM($J82:AJ82)))</f>
        <v>3.3868291482359614</v>
      </c>
      <c r="AL82" s="2">
        <f>IF(AK$4=$E82, $I82*AK$55,0) + IF(AK$4&gt;$E82,MIN(AK82,$I82-SUM($J82:AK82)))</f>
        <v>3.3868291482359614</v>
      </c>
      <c r="AM82" s="2">
        <f>IF(AL$4=$E82, $I82*AL$55,0) + IF(AL$4&gt;$E82,MIN(AL82,$I82-SUM($J82:AL82)))</f>
        <v>3.3868291482359614</v>
      </c>
      <c r="AN82" s="2">
        <f>IF(AM$4=$E82, $I82*AM$55,0) + IF(AM$4&gt;$E82,MIN(AM82,$I82-SUM($J82:AM82)))</f>
        <v>3.3868291482359614</v>
      </c>
      <c r="AO82" s="2">
        <f>IF(AN$4=$E82, $I82*AN$55,0) + IF(AN$4&gt;$E82,MIN(AN82,$I82-SUM($J82:AN82)))</f>
        <v>3.3868291482359614</v>
      </c>
      <c r="AP82" s="2">
        <f>IF(AO$4=$E82, $I82*AO$55,0) + IF(AO$4&gt;$E82,MIN(AO82,$I82-SUM($J82:AO82)))</f>
        <v>3.3868291482359614</v>
      </c>
      <c r="AQ82" s="57">
        <f>IF(AP$4=$E82, $I82*AP$55,0) + IF(AP$4&gt;$E82,MIN(AP82,$I82-SUM($J82:AP82)))</f>
        <v>3.3868291482359614</v>
      </c>
      <c r="AR82" s="2">
        <f>IF(AQ$4=$E82, $I82*AQ$55,0) + IF(AQ$4&gt;$E82,MIN(AQ82,$I82-SUM($J82:AQ82)))</f>
        <v>3.3868291482359614</v>
      </c>
      <c r="AS82" s="2">
        <f>IF(AR$4=$E82, $I82*AR$55,0) + IF(AR$4&gt;$E82,MIN(AR82,$I82-SUM($J82:AR82)))</f>
        <v>3.3868291482359614</v>
      </c>
      <c r="AT82" s="2">
        <f>IF(AS$4=$E82, $I82*AS$55,0) + IF(AS$4&gt;$E82,MIN(AS82,$I82-SUM($J82:AS82)))</f>
        <v>3.3868291482359614</v>
      </c>
      <c r="AU82" s="2">
        <f>IF(AT$4=$E82, $I82*AT$55,0) + IF(AT$4&gt;$E82,MIN(AT82,$I82-SUM($J82:AT82)))</f>
        <v>3.3868291482359614</v>
      </c>
      <c r="AV82" s="2">
        <f>IF(AU$4=$E82, $I82*AU$55,0) + IF(AU$4&gt;$E82,MIN(AU82,$I82-SUM($J82:AU82)))</f>
        <v>3.3868291482359614</v>
      </c>
      <c r="AW82" s="2"/>
    </row>
    <row r="83" spans="5:49" ht="15" outlineLevel="1">
      <c r="E83" s="44">
        <f>INDEX($K$4:$AV$4,,COUNT(E$65:E82)+1)</f>
        <v>39538</v>
      </c>
      <c r="G83" s="2" t="s">
        <v>105</v>
      </c>
      <c r="I83" s="2">
        <f t="shared" si="62"/>
        <v>129.46104758722427</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3.8877191467634922</v>
      </c>
      <c r="AD83" s="2">
        <f>IF(AC$4=$E83, $I83*AC$55,0) + IF(AC$4&gt;$E83,MIN(AC83,$I83-SUM($J83:AC83)))</f>
        <v>3.8877191467634922</v>
      </c>
      <c r="AE83" s="2">
        <f>IF(AD$4=$E83, $I83*AD$55,0) + IF(AD$4&gt;$E83,MIN(AD83,$I83-SUM($J83:AD83)))</f>
        <v>3.8877191467634922</v>
      </c>
      <c r="AF83" s="2">
        <f>IF(AE$4=$E83, $I83*AE$55,0) + IF(AE$4&gt;$E83,MIN(AE83,$I83-SUM($J83:AE83)))</f>
        <v>3.8877191467634922</v>
      </c>
      <c r="AG83" s="2">
        <f>IF(AF$4=$E83, $I83*AF$55,0) + IF(AF$4&gt;$E83,MIN(AF83,$I83-SUM($J83:AF83)))</f>
        <v>3.8877191467634922</v>
      </c>
      <c r="AH83" s="2">
        <f>IF(AG$4=$E83, $I83*AG$55,0) + IF(AG$4&gt;$E83,MIN(AG83,$I83-SUM($J83:AG83)))</f>
        <v>3.8877191467634922</v>
      </c>
      <c r="AI83" s="2">
        <f>IF(AH$4=$E83, $I83*AH$55,0) + IF(AH$4&gt;$E83,MIN(AH83,$I83-SUM($J83:AH83)))</f>
        <v>3.8877191467634922</v>
      </c>
      <c r="AJ83" s="2">
        <f>IF(AI$4=$E83, $I83*AI$55,0) + IF(AI$4&gt;$E83,MIN(AI83,$I83-SUM($J83:AI83)))</f>
        <v>3.8877191467634922</v>
      </c>
      <c r="AK83" s="2">
        <f>IF(AJ$4=$E83, $I83*AJ$55,0) + IF(AJ$4&gt;$E83,MIN(AJ83,$I83-SUM($J83:AJ83)))</f>
        <v>3.8877191467634922</v>
      </c>
      <c r="AL83" s="2">
        <f>IF(AK$4=$E83, $I83*AK$55,0) + IF(AK$4&gt;$E83,MIN(AK83,$I83-SUM($J83:AK83)))</f>
        <v>3.8877191467634922</v>
      </c>
      <c r="AM83" s="2">
        <f>IF(AL$4=$E83, $I83*AL$55,0) + IF(AL$4&gt;$E83,MIN(AL83,$I83-SUM($J83:AL83)))</f>
        <v>3.8877191467634922</v>
      </c>
      <c r="AN83" s="2">
        <f>IF(AM$4=$E83, $I83*AM$55,0) + IF(AM$4&gt;$E83,MIN(AM83,$I83-SUM($J83:AM83)))</f>
        <v>3.8877191467634922</v>
      </c>
      <c r="AO83" s="2">
        <f>IF(AN$4=$E83, $I83*AN$55,0) + IF(AN$4&gt;$E83,MIN(AN83,$I83-SUM($J83:AN83)))</f>
        <v>3.8877191467634922</v>
      </c>
      <c r="AP83" s="2">
        <f>IF(AO$4=$E83, $I83*AO$55,0) + IF(AO$4&gt;$E83,MIN(AO83,$I83-SUM($J83:AO83)))</f>
        <v>3.8877191467634922</v>
      </c>
      <c r="AQ83" s="57">
        <f>IF(AP$4=$E83, $I83*AP$55,0) + IF(AP$4&gt;$E83,MIN(AP83,$I83-SUM($J83:AP83)))</f>
        <v>3.8877191467634922</v>
      </c>
      <c r="AR83" s="2">
        <f>IF(AQ$4=$E83, $I83*AQ$55,0) + IF(AQ$4&gt;$E83,MIN(AQ83,$I83-SUM($J83:AQ83)))</f>
        <v>3.8877191467634922</v>
      </c>
      <c r="AS83" s="2">
        <f>IF(AR$4=$E83, $I83*AR$55,0) + IF(AR$4&gt;$E83,MIN(AR83,$I83-SUM($J83:AR83)))</f>
        <v>3.8877191467634922</v>
      </c>
      <c r="AT83" s="2">
        <f>IF(AS$4=$E83, $I83*AS$55,0) + IF(AS$4&gt;$E83,MIN(AS83,$I83-SUM($J83:AS83)))</f>
        <v>3.8877191467634922</v>
      </c>
      <c r="AU83" s="2">
        <f>IF(AT$4=$E83, $I83*AT$55,0) + IF(AT$4&gt;$E83,MIN(AT83,$I83-SUM($J83:AT83)))</f>
        <v>3.8877191467634922</v>
      </c>
      <c r="AV83" s="2">
        <f>IF(AU$4=$E83, $I83*AU$55,0) + IF(AU$4&gt;$E83,MIN(AU83,$I83-SUM($J83:AU83)))</f>
        <v>3.8877191467634922</v>
      </c>
      <c r="AW83" s="2"/>
    </row>
    <row r="84" spans="5:49" ht="15" outlineLevel="1">
      <c r="E84" s="44">
        <f>INDEX($K$4:$AV$4,,COUNT(E$65:E83)+1)</f>
        <v>39903</v>
      </c>
      <c r="G84" s="2" t="s">
        <v>105</v>
      </c>
      <c r="I84" s="2">
        <f t="shared" si="62"/>
        <v>128.05734461084816</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3.8455659042296748</v>
      </c>
      <c r="AE84" s="2">
        <f>IF(AD$4=$E84, $I84*AD$55,0) + IF(AD$4&gt;$E84,MIN(AD84,$I84-SUM($J84:AD84)))</f>
        <v>3.8455659042296748</v>
      </c>
      <c r="AF84" s="2">
        <f>IF(AE$4=$E84, $I84*AE$55,0) + IF(AE$4&gt;$E84,MIN(AE84,$I84-SUM($J84:AE84)))</f>
        <v>3.8455659042296748</v>
      </c>
      <c r="AG84" s="2">
        <f>IF(AF$4=$E84, $I84*AF$55,0) + IF(AF$4&gt;$E84,MIN(AF84,$I84-SUM($J84:AF84)))</f>
        <v>3.8455659042296748</v>
      </c>
      <c r="AH84" s="2">
        <f>IF(AG$4=$E84, $I84*AG$55,0) + IF(AG$4&gt;$E84,MIN(AG84,$I84-SUM($J84:AG84)))</f>
        <v>3.8455659042296748</v>
      </c>
      <c r="AI84" s="2">
        <f>IF(AH$4=$E84, $I84*AH$55,0) + IF(AH$4&gt;$E84,MIN(AH84,$I84-SUM($J84:AH84)))</f>
        <v>3.8455659042296748</v>
      </c>
      <c r="AJ84" s="2">
        <f>IF(AI$4=$E84, $I84*AI$55,0) + IF(AI$4&gt;$E84,MIN(AI84,$I84-SUM($J84:AI84)))</f>
        <v>3.8455659042296748</v>
      </c>
      <c r="AK84" s="2">
        <f>IF(AJ$4=$E84, $I84*AJ$55,0) + IF(AJ$4&gt;$E84,MIN(AJ84,$I84-SUM($J84:AJ84)))</f>
        <v>3.8455659042296748</v>
      </c>
      <c r="AL84" s="2">
        <f>IF(AK$4=$E84, $I84*AK$55,0) + IF(AK$4&gt;$E84,MIN(AK84,$I84-SUM($J84:AK84)))</f>
        <v>3.8455659042296748</v>
      </c>
      <c r="AM84" s="2">
        <f>IF(AL$4=$E84, $I84*AL$55,0) + IF(AL$4&gt;$E84,MIN(AL84,$I84-SUM($J84:AL84)))</f>
        <v>3.8455659042296748</v>
      </c>
      <c r="AN84" s="2">
        <f>IF(AM$4=$E84, $I84*AM$55,0) + IF(AM$4&gt;$E84,MIN(AM84,$I84-SUM($J84:AM84)))</f>
        <v>3.8455659042296748</v>
      </c>
      <c r="AO84" s="2">
        <f>IF(AN$4=$E84, $I84*AN$55,0) + IF(AN$4&gt;$E84,MIN(AN84,$I84-SUM($J84:AN84)))</f>
        <v>3.8455659042296748</v>
      </c>
      <c r="AP84" s="2">
        <f>IF(AO$4=$E84, $I84*AO$55,0) + IF(AO$4&gt;$E84,MIN(AO84,$I84-SUM($J84:AO84)))</f>
        <v>3.8455659042296748</v>
      </c>
      <c r="AQ84" s="57">
        <f>IF(AP$4=$E84, $I84*AP$55,0) + IF(AP$4&gt;$E84,MIN(AP84,$I84-SUM($J84:AP84)))</f>
        <v>3.8455659042296748</v>
      </c>
      <c r="AR84" s="2">
        <f>IF(AQ$4=$E84, $I84*AQ$55,0) + IF(AQ$4&gt;$E84,MIN(AQ84,$I84-SUM($J84:AQ84)))</f>
        <v>3.8455659042296748</v>
      </c>
      <c r="AS84" s="2">
        <f>IF(AR$4=$E84, $I84*AR$55,0) + IF(AR$4&gt;$E84,MIN(AR84,$I84-SUM($J84:AR84)))</f>
        <v>3.8455659042296748</v>
      </c>
      <c r="AT84" s="2">
        <f>IF(AS$4=$E84, $I84*AS$55,0) + IF(AS$4&gt;$E84,MIN(AS84,$I84-SUM($J84:AS84)))</f>
        <v>3.8455659042296748</v>
      </c>
      <c r="AU84" s="2">
        <f>IF(AT$4=$E84, $I84*AT$55,0) + IF(AT$4&gt;$E84,MIN(AT84,$I84-SUM($J84:AT84)))</f>
        <v>3.8455659042296748</v>
      </c>
      <c r="AV84" s="2">
        <f>IF(AU$4=$E84, $I84*AU$55,0) + IF(AU$4&gt;$E84,MIN(AU84,$I84-SUM($J84:AU84)))</f>
        <v>3.8455659042296748</v>
      </c>
      <c r="AW84" s="2"/>
    </row>
    <row r="85" spans="5:49" ht="15" outlineLevel="1">
      <c r="E85" s="44">
        <f>INDEX($K$4:$AV$4,,COUNT(E$65:E84)+1)</f>
        <v>40268</v>
      </c>
      <c r="G85" s="2" t="s">
        <v>105</v>
      </c>
      <c r="I85" s="2">
        <f t="shared" si="62"/>
        <v>124.36188074160526</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3.7345910132614195</v>
      </c>
      <c r="AF85" s="2">
        <f>IF(AE$4=$E85, $I85*AE$55,0) + IF(AE$4&gt;$E85,MIN(AE85,$I85-SUM($J85:AE85)))</f>
        <v>3.7345910132614195</v>
      </c>
      <c r="AG85" s="2">
        <f>IF(AF$4=$E85, $I85*AF$55,0) + IF(AF$4&gt;$E85,MIN(AF85,$I85-SUM($J85:AF85)))</f>
        <v>3.7345910132614195</v>
      </c>
      <c r="AH85" s="2">
        <f>IF(AG$4=$E85, $I85*AG$55,0) + IF(AG$4&gt;$E85,MIN(AG85,$I85-SUM($J85:AG85)))</f>
        <v>3.7345910132614195</v>
      </c>
      <c r="AI85" s="2">
        <f>IF(AH$4=$E85, $I85*AH$55,0) + IF(AH$4&gt;$E85,MIN(AH85,$I85-SUM($J85:AH85)))</f>
        <v>3.7345910132614195</v>
      </c>
      <c r="AJ85" s="2">
        <f>IF(AI$4=$E85, $I85*AI$55,0) + IF(AI$4&gt;$E85,MIN(AI85,$I85-SUM($J85:AI85)))</f>
        <v>3.7345910132614195</v>
      </c>
      <c r="AK85" s="2">
        <f>IF(AJ$4=$E85, $I85*AJ$55,0) + IF(AJ$4&gt;$E85,MIN(AJ85,$I85-SUM($J85:AJ85)))</f>
        <v>3.7345910132614195</v>
      </c>
      <c r="AL85" s="2">
        <f>IF(AK$4=$E85, $I85*AK$55,0) + IF(AK$4&gt;$E85,MIN(AK85,$I85-SUM($J85:AK85)))</f>
        <v>3.7345910132614195</v>
      </c>
      <c r="AM85" s="2">
        <f>IF(AL$4=$E85, $I85*AL$55,0) + IF(AL$4&gt;$E85,MIN(AL85,$I85-SUM($J85:AL85)))</f>
        <v>3.7345910132614195</v>
      </c>
      <c r="AN85" s="2">
        <f>IF(AM$4=$E85, $I85*AM$55,0) + IF(AM$4&gt;$E85,MIN(AM85,$I85-SUM($J85:AM85)))</f>
        <v>3.7345910132614195</v>
      </c>
      <c r="AO85" s="2">
        <f>IF(AN$4=$E85, $I85*AN$55,0) + IF(AN$4&gt;$E85,MIN(AN85,$I85-SUM($J85:AN85)))</f>
        <v>3.7345910132614195</v>
      </c>
      <c r="AP85" s="2">
        <f>IF(AO$4=$E85, $I85*AO$55,0) + IF(AO$4&gt;$E85,MIN(AO85,$I85-SUM($J85:AO85)))</f>
        <v>3.7345910132614195</v>
      </c>
      <c r="AQ85" s="57">
        <f>IF(AP$4=$E85, $I85*AP$55,0) + IF(AP$4&gt;$E85,MIN(AP85,$I85-SUM($J85:AP85)))</f>
        <v>3.7345910132614195</v>
      </c>
      <c r="AR85" s="2">
        <f>IF(AQ$4=$E85, $I85*AQ$55,0) + IF(AQ$4&gt;$E85,MIN(AQ85,$I85-SUM($J85:AQ85)))</f>
        <v>3.7345910132614195</v>
      </c>
      <c r="AS85" s="2">
        <f>IF(AR$4=$E85, $I85*AR$55,0) + IF(AR$4&gt;$E85,MIN(AR85,$I85-SUM($J85:AR85)))</f>
        <v>3.7345910132614195</v>
      </c>
      <c r="AT85" s="2">
        <f>IF(AS$4=$E85, $I85*AS$55,0) + IF(AS$4&gt;$E85,MIN(AS85,$I85-SUM($J85:AS85)))</f>
        <v>3.7345910132614195</v>
      </c>
      <c r="AU85" s="2">
        <f>IF(AT$4=$E85, $I85*AT$55,0) + IF(AT$4&gt;$E85,MIN(AT85,$I85-SUM($J85:AT85)))</f>
        <v>3.7345910132614195</v>
      </c>
      <c r="AV85" s="2">
        <f>IF(AU$4=$E85, $I85*AU$55,0) + IF(AU$4&gt;$E85,MIN(AU85,$I85-SUM($J85:AU85)))</f>
        <v>3.7345910132614195</v>
      </c>
      <c r="AW85" s="2"/>
    </row>
    <row r="86" spans="5:49" ht="15" outlineLevel="1">
      <c r="E86" s="44">
        <f>INDEX($K$4:$AV$4,,COUNT(E$65:E85)+1)</f>
        <v>40633</v>
      </c>
      <c r="G86" s="2" t="s">
        <v>105</v>
      </c>
      <c r="I86" s="2">
        <f t="shared" si="62"/>
        <v>110.51366635320358</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3.3187287193154229</v>
      </c>
      <c r="AG86" s="2">
        <f>IF(AF$4=$E86, $I86*AF$55,0) + IF(AF$4&gt;$E86,MIN(AF86,$I86-SUM($J86:AF86)))</f>
        <v>3.3187287193154229</v>
      </c>
      <c r="AH86" s="2">
        <f>IF(AG$4=$E86, $I86*AG$55,0) + IF(AG$4&gt;$E86,MIN(AG86,$I86-SUM($J86:AG86)))</f>
        <v>3.3187287193154229</v>
      </c>
      <c r="AI86" s="2">
        <f>IF(AH$4=$E86, $I86*AH$55,0) + IF(AH$4&gt;$E86,MIN(AH86,$I86-SUM($J86:AH86)))</f>
        <v>3.3187287193154229</v>
      </c>
      <c r="AJ86" s="2">
        <f>IF(AI$4=$E86, $I86*AI$55,0) + IF(AI$4&gt;$E86,MIN(AI86,$I86-SUM($J86:AI86)))</f>
        <v>3.3187287193154229</v>
      </c>
      <c r="AK86" s="2">
        <f>IF(AJ$4=$E86, $I86*AJ$55,0) + IF(AJ$4&gt;$E86,MIN(AJ86,$I86-SUM($J86:AJ86)))</f>
        <v>3.3187287193154229</v>
      </c>
      <c r="AL86" s="2">
        <f>IF(AK$4=$E86, $I86*AK$55,0) + IF(AK$4&gt;$E86,MIN(AK86,$I86-SUM($J86:AK86)))</f>
        <v>3.3187287193154229</v>
      </c>
      <c r="AM86" s="2">
        <f>IF(AL$4=$E86, $I86*AL$55,0) + IF(AL$4&gt;$E86,MIN(AL86,$I86-SUM($J86:AL86)))</f>
        <v>3.3187287193154229</v>
      </c>
      <c r="AN86" s="2">
        <f>IF(AM$4=$E86, $I86*AM$55,0) + IF(AM$4&gt;$E86,MIN(AM86,$I86-SUM($J86:AM86)))</f>
        <v>3.3187287193154229</v>
      </c>
      <c r="AO86" s="2">
        <f>IF(AN$4=$E86, $I86*AN$55,0) + IF(AN$4&gt;$E86,MIN(AN86,$I86-SUM($J86:AN86)))</f>
        <v>3.3187287193154229</v>
      </c>
      <c r="AP86" s="2">
        <f>IF(AO$4=$E86, $I86*AO$55,0) + IF(AO$4&gt;$E86,MIN(AO86,$I86-SUM($J86:AO86)))</f>
        <v>3.3187287193154229</v>
      </c>
      <c r="AQ86" s="57">
        <f>IF(AP$4=$E86, $I86*AP$55,0) + IF(AP$4&gt;$E86,MIN(AP86,$I86-SUM($J86:AP86)))</f>
        <v>3.3187287193154229</v>
      </c>
      <c r="AR86" s="2">
        <f>IF(AQ$4=$E86, $I86*AQ$55,0) + IF(AQ$4&gt;$E86,MIN(AQ86,$I86-SUM($J86:AQ86)))</f>
        <v>3.3187287193154229</v>
      </c>
      <c r="AS86" s="2">
        <f>IF(AR$4=$E86, $I86*AR$55,0) + IF(AR$4&gt;$E86,MIN(AR86,$I86-SUM($J86:AR86)))</f>
        <v>3.3187287193154229</v>
      </c>
      <c r="AT86" s="2">
        <f>IF(AS$4=$E86, $I86*AS$55,0) + IF(AS$4&gt;$E86,MIN(AS86,$I86-SUM($J86:AS86)))</f>
        <v>3.3187287193154229</v>
      </c>
      <c r="AU86" s="2">
        <f>IF(AT$4=$E86, $I86*AT$55,0) + IF(AT$4&gt;$E86,MIN(AT86,$I86-SUM($J86:AT86)))</f>
        <v>3.3187287193154229</v>
      </c>
      <c r="AV86" s="2">
        <f>IF(AU$4=$E86, $I86*AU$55,0) + IF(AU$4&gt;$E86,MIN(AU86,$I86-SUM($J86:AU86)))</f>
        <v>3.3187287193154229</v>
      </c>
      <c r="AW86" s="2"/>
    </row>
    <row r="87" spans="5:49" ht="15" outlineLevel="1">
      <c r="E87" s="44">
        <f>INDEX($K$4:$AV$4,,COUNT(E$65:E86)+1)</f>
        <v>40999</v>
      </c>
      <c r="G87" s="2" t="s">
        <v>105</v>
      </c>
      <c r="I87" s="2">
        <f t="shared" si="62"/>
        <v>110.87417588734979</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3.3295548314519463</v>
      </c>
      <c r="AH87" s="2">
        <f>IF(AG$4=$E87, $I87*AG$55,0) + IF(AG$4&gt;$E87,MIN(AG87,$I87-SUM($J87:AG87)))</f>
        <v>3.3295548314519463</v>
      </c>
      <c r="AI87" s="2">
        <f>IF(AH$4=$E87, $I87*AH$55,0) + IF(AH$4&gt;$E87,MIN(AH87,$I87-SUM($J87:AH87)))</f>
        <v>3.3295548314519463</v>
      </c>
      <c r="AJ87" s="2">
        <f>IF(AI$4=$E87, $I87*AI$55,0) + IF(AI$4&gt;$E87,MIN(AI87,$I87-SUM($J87:AI87)))</f>
        <v>3.3295548314519463</v>
      </c>
      <c r="AK87" s="2">
        <f>IF(AJ$4=$E87, $I87*AJ$55,0) + IF(AJ$4&gt;$E87,MIN(AJ87,$I87-SUM($J87:AJ87)))</f>
        <v>3.3295548314519463</v>
      </c>
      <c r="AL87" s="2">
        <f>IF(AK$4=$E87, $I87*AK$55,0) + IF(AK$4&gt;$E87,MIN(AK87,$I87-SUM($J87:AK87)))</f>
        <v>3.3295548314519463</v>
      </c>
      <c r="AM87" s="2">
        <f>IF(AL$4=$E87, $I87*AL$55,0) + IF(AL$4&gt;$E87,MIN(AL87,$I87-SUM($J87:AL87)))</f>
        <v>3.3295548314519463</v>
      </c>
      <c r="AN87" s="2">
        <f>IF(AM$4=$E87, $I87*AM$55,0) + IF(AM$4&gt;$E87,MIN(AM87,$I87-SUM($J87:AM87)))</f>
        <v>3.3295548314519463</v>
      </c>
      <c r="AO87" s="2">
        <f>IF(AN$4=$E87, $I87*AN$55,0) + IF(AN$4&gt;$E87,MIN(AN87,$I87-SUM($J87:AN87)))</f>
        <v>3.3295548314519463</v>
      </c>
      <c r="AP87" s="2">
        <f>IF(AO$4=$E87, $I87*AO$55,0) + IF(AO$4&gt;$E87,MIN(AO87,$I87-SUM($J87:AO87)))</f>
        <v>3.3295548314519463</v>
      </c>
      <c r="AQ87" s="57">
        <f>IF(AP$4=$E87, $I87*AP$55,0) + IF(AP$4&gt;$E87,MIN(AP87,$I87-SUM($J87:AP87)))</f>
        <v>3.3295548314519463</v>
      </c>
      <c r="AR87" s="2">
        <f>IF(AQ$4=$E87, $I87*AQ$55,0) + IF(AQ$4&gt;$E87,MIN(AQ87,$I87-SUM($J87:AQ87)))</f>
        <v>3.3295548314519463</v>
      </c>
      <c r="AS87" s="2">
        <f>IF(AR$4=$E87, $I87*AR$55,0) + IF(AR$4&gt;$E87,MIN(AR87,$I87-SUM($J87:AR87)))</f>
        <v>3.3295548314519463</v>
      </c>
      <c r="AT87" s="2">
        <f>IF(AS$4=$E87, $I87*AS$55,0) + IF(AS$4&gt;$E87,MIN(AS87,$I87-SUM($J87:AS87)))</f>
        <v>3.3295548314519463</v>
      </c>
      <c r="AU87" s="2">
        <f>IF(AT$4=$E87, $I87*AT$55,0) + IF(AT$4&gt;$E87,MIN(AT87,$I87-SUM($J87:AT87)))</f>
        <v>3.3295548314519463</v>
      </c>
      <c r="AV87" s="2">
        <f>IF(AU$4=$E87, $I87*AU$55,0) + IF(AU$4&gt;$E87,MIN(AU87,$I87-SUM($J87:AU87)))</f>
        <v>3.3295548314519463</v>
      </c>
      <c r="AW87" s="2"/>
    </row>
    <row r="88" spans="5:49" ht="15" outlineLevel="1">
      <c r="E88" s="44">
        <f>INDEX($K$4:$AV$4,,COUNT(E$65:E87)+1)</f>
        <v>41364</v>
      </c>
      <c r="G88" s="2" t="s">
        <v>105</v>
      </c>
      <c r="I88" s="2">
        <f t="shared" si="62"/>
        <v>159.43632367418397</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4.7878775878133331</v>
      </c>
      <c r="AI88" s="2">
        <f>IF(AH$4=$E88, $I88*AH$55,0) + IF(AH$4&gt;$E88,MIN(AH88,$I88-SUM($J88:AH88)))</f>
        <v>4.7878775878133331</v>
      </c>
      <c r="AJ88" s="2">
        <f>IF(AI$4=$E88, $I88*AI$55,0) + IF(AI$4&gt;$E88,MIN(AI88,$I88-SUM($J88:AI88)))</f>
        <v>4.7878775878133331</v>
      </c>
      <c r="AK88" s="2">
        <f>IF(AJ$4=$E88, $I88*AJ$55,0) + IF(AJ$4&gt;$E88,MIN(AJ88,$I88-SUM($J88:AJ88)))</f>
        <v>4.7878775878133331</v>
      </c>
      <c r="AL88" s="2">
        <f>IF(AK$4=$E88, $I88*AK$55,0) + IF(AK$4&gt;$E88,MIN(AK88,$I88-SUM($J88:AK88)))</f>
        <v>4.7878775878133331</v>
      </c>
      <c r="AM88" s="2">
        <f>IF(AL$4=$E88, $I88*AL$55,0) + IF(AL$4&gt;$E88,MIN(AL88,$I88-SUM($J88:AL88)))</f>
        <v>4.7878775878133331</v>
      </c>
      <c r="AN88" s="2">
        <f>IF(AM$4=$E88, $I88*AM$55,0) + IF(AM$4&gt;$E88,MIN(AM88,$I88-SUM($J88:AM88)))</f>
        <v>4.7878775878133331</v>
      </c>
      <c r="AO88" s="2">
        <f>IF(AN$4=$E88, $I88*AN$55,0) + IF(AN$4&gt;$E88,MIN(AN88,$I88-SUM($J88:AN88)))</f>
        <v>4.7878775878133331</v>
      </c>
      <c r="AP88" s="2">
        <f>IF(AO$4=$E88, $I88*AO$55,0) + IF(AO$4&gt;$E88,MIN(AO88,$I88-SUM($J88:AO88)))</f>
        <v>4.7878775878133331</v>
      </c>
      <c r="AQ88" s="57">
        <f>IF(AP$4=$E88, $I88*AP$55,0) + IF(AP$4&gt;$E88,MIN(AP88,$I88-SUM($J88:AP88)))</f>
        <v>4.7878775878133331</v>
      </c>
      <c r="AR88" s="2">
        <f>IF(AQ$4=$E88, $I88*AQ$55,0) + IF(AQ$4&gt;$E88,MIN(AQ88,$I88-SUM($J88:AQ88)))</f>
        <v>4.7878775878133331</v>
      </c>
      <c r="AS88" s="2">
        <f>IF(AR$4=$E88, $I88*AR$55,0) + IF(AR$4&gt;$E88,MIN(AR88,$I88-SUM($J88:AR88)))</f>
        <v>4.7878775878133331</v>
      </c>
      <c r="AT88" s="2">
        <f>IF(AS$4=$E88, $I88*AS$55,0) + IF(AS$4&gt;$E88,MIN(AS88,$I88-SUM($J88:AS88)))</f>
        <v>4.7878775878133331</v>
      </c>
      <c r="AU88" s="2">
        <f>IF(AT$4=$E88, $I88*AT$55,0) + IF(AT$4&gt;$E88,MIN(AT88,$I88-SUM($J88:AT88)))</f>
        <v>4.7878775878133331</v>
      </c>
      <c r="AV88" s="2">
        <f>IF(AU$4=$E88, $I88*AU$55,0) + IF(AU$4&gt;$E88,MIN(AU88,$I88-SUM($J88:AU88)))</f>
        <v>4.7878775878133331</v>
      </c>
      <c r="AW88" s="2"/>
    </row>
    <row r="89" spans="5:49" ht="15" outlineLevel="1">
      <c r="E89" s="44">
        <f>INDEX($K$4:$AV$4,,COUNT(E$65:E88)+1)</f>
        <v>41729</v>
      </c>
      <c r="G89" s="2" t="s">
        <v>105</v>
      </c>
      <c r="I89" s="2">
        <f t="shared" si="62"/>
        <v>178.78617238698774</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5.3689541257353683</v>
      </c>
      <c r="AJ89" s="2">
        <f>IF(AI$4=$E89, $I89*AI$55,0) + IF(AI$4&gt;$E89,MIN(AI89,$I89-SUM($J89:AI89)))</f>
        <v>5.3689541257353683</v>
      </c>
      <c r="AK89" s="2">
        <f>IF(AJ$4=$E89, $I89*AJ$55,0) + IF(AJ$4&gt;$E89,MIN(AJ89,$I89-SUM($J89:AJ89)))</f>
        <v>5.3689541257353683</v>
      </c>
      <c r="AL89" s="2">
        <f>IF(AK$4=$E89, $I89*AK$55,0) + IF(AK$4&gt;$E89,MIN(AK89,$I89-SUM($J89:AK89)))</f>
        <v>5.3689541257353683</v>
      </c>
      <c r="AM89" s="2">
        <f>IF(AL$4=$E89, $I89*AL$55,0) + IF(AL$4&gt;$E89,MIN(AL89,$I89-SUM($J89:AL89)))</f>
        <v>5.3689541257353683</v>
      </c>
      <c r="AN89" s="2">
        <f>IF(AM$4=$E89, $I89*AM$55,0) + IF(AM$4&gt;$E89,MIN(AM89,$I89-SUM($J89:AM89)))</f>
        <v>5.3689541257353683</v>
      </c>
      <c r="AO89" s="2">
        <f>IF(AN$4=$E89, $I89*AN$55,0) + IF(AN$4&gt;$E89,MIN(AN89,$I89-SUM($J89:AN89)))</f>
        <v>5.3689541257353683</v>
      </c>
      <c r="AP89" s="2">
        <f>IF(AO$4=$E89, $I89*AO$55,0) + IF(AO$4&gt;$E89,MIN(AO89,$I89-SUM($J89:AO89)))</f>
        <v>5.3689541257353683</v>
      </c>
      <c r="AQ89" s="57">
        <f>IF(AP$4=$E89, $I89*AP$55,0) + IF(AP$4&gt;$E89,MIN(AP89,$I89-SUM($J89:AP89)))</f>
        <v>5.3689541257353683</v>
      </c>
      <c r="AR89" s="2">
        <f>IF(AQ$4=$E89, $I89*AQ$55,0) + IF(AQ$4&gt;$E89,MIN(AQ89,$I89-SUM($J89:AQ89)))</f>
        <v>5.3689541257353683</v>
      </c>
      <c r="AS89" s="2">
        <f>IF(AR$4=$E89, $I89*AR$55,0) + IF(AR$4&gt;$E89,MIN(AR89,$I89-SUM($J89:AR89)))</f>
        <v>5.3689541257353683</v>
      </c>
      <c r="AT89" s="2">
        <f>IF(AS$4=$E89, $I89*AS$55,0) + IF(AS$4&gt;$E89,MIN(AS89,$I89-SUM($J89:AS89)))</f>
        <v>5.3689541257353683</v>
      </c>
      <c r="AU89" s="2">
        <f>IF(AT$4=$E89, $I89*AT$55,0) + IF(AT$4&gt;$E89,MIN(AT89,$I89-SUM($J89:AT89)))</f>
        <v>5.3689541257353683</v>
      </c>
      <c r="AV89" s="2">
        <f>IF(AU$4=$E89, $I89*AU$55,0) + IF(AU$4&gt;$E89,MIN(AU89,$I89-SUM($J89:AU89)))</f>
        <v>5.3689541257353683</v>
      </c>
      <c r="AW89" s="2"/>
    </row>
    <row r="90" spans="5:49" ht="15" outlineLevel="1">
      <c r="E90" s="44">
        <f>INDEX($K$4:$AV$4,,COUNT(E$65:E89)+1)</f>
        <v>42094</v>
      </c>
      <c r="G90" s="2" t="s">
        <v>105</v>
      </c>
      <c r="I90" s="2">
        <f t="shared" si="62"/>
        <v>189.91789599238535</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5.7032401198914524</v>
      </c>
      <c r="AK90" s="2">
        <f>IF(AJ$4=$E90, $I90*AJ$55,0) + IF(AJ$4&gt;$E90,MIN(AJ90,$I90-SUM($J90:AJ90)))</f>
        <v>5.7032401198914524</v>
      </c>
      <c r="AL90" s="2">
        <f>IF(AK$4=$E90, $I90*AK$55,0) + IF(AK$4&gt;$E90,MIN(AK90,$I90-SUM($J90:AK90)))</f>
        <v>5.7032401198914524</v>
      </c>
      <c r="AM90" s="2">
        <f>IF(AL$4=$E90, $I90*AL$55,0) + IF(AL$4&gt;$E90,MIN(AL90,$I90-SUM($J90:AL90)))</f>
        <v>5.7032401198914524</v>
      </c>
      <c r="AN90" s="2">
        <f>IF(AM$4=$E90, $I90*AM$55,0) + IF(AM$4&gt;$E90,MIN(AM90,$I90-SUM($J90:AM90)))</f>
        <v>5.7032401198914524</v>
      </c>
      <c r="AO90" s="2">
        <f>IF(AN$4=$E90, $I90*AN$55,0) + IF(AN$4&gt;$E90,MIN(AN90,$I90-SUM($J90:AN90)))</f>
        <v>5.7032401198914524</v>
      </c>
      <c r="AP90" s="2">
        <f>IF(AO$4=$E90, $I90*AO$55,0) + IF(AO$4&gt;$E90,MIN(AO90,$I90-SUM($J90:AO90)))</f>
        <v>5.7032401198914524</v>
      </c>
      <c r="AQ90" s="57">
        <f>IF(AP$4=$E90, $I90*AP$55,0) + IF(AP$4&gt;$E90,MIN(AP90,$I90-SUM($J90:AP90)))</f>
        <v>5.7032401198914524</v>
      </c>
      <c r="AR90" s="2">
        <f>IF(AQ$4=$E90, $I90*AQ$55,0) + IF(AQ$4&gt;$E90,MIN(AQ90,$I90-SUM($J90:AQ90)))</f>
        <v>5.7032401198914524</v>
      </c>
      <c r="AS90" s="2">
        <f>IF(AR$4=$E90, $I90*AR$55,0) + IF(AR$4&gt;$E90,MIN(AR90,$I90-SUM($J90:AR90)))</f>
        <v>5.7032401198914524</v>
      </c>
      <c r="AT90" s="2">
        <f>IF(AS$4=$E90, $I90*AS$55,0) + IF(AS$4&gt;$E90,MIN(AS90,$I90-SUM($J90:AS90)))</f>
        <v>5.7032401198914524</v>
      </c>
      <c r="AU90" s="2">
        <f>IF(AT$4=$E90, $I90*AT$55,0) + IF(AT$4&gt;$E90,MIN(AT90,$I90-SUM($J90:AT90)))</f>
        <v>5.7032401198914524</v>
      </c>
      <c r="AV90" s="2">
        <f>IF(AU$4=$E90, $I90*AU$55,0) + IF(AU$4&gt;$E90,MIN(AU90,$I90-SUM($J90:AU90)))</f>
        <v>5.7032401198914524</v>
      </c>
      <c r="AW90" s="2"/>
    </row>
    <row r="91" spans="5:49" ht="15" outlineLevel="1">
      <c r="E91" s="44">
        <f>INDEX($K$4:$AV$4,,COUNT(E$65:E90)+1)</f>
        <v>42460</v>
      </c>
      <c r="G91" s="2" t="s">
        <v>105</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5" outlineLevel="1">
      <c r="E92" s="44">
        <f>INDEX($K$4:$AV$4,,COUNT(E$65:E91)+1)</f>
        <v>42825</v>
      </c>
      <c r="G92" s="2" t="s">
        <v>105</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5" outlineLevel="1">
      <c r="E93" s="44">
        <f>INDEX($K$4:$AV$4,,COUNT(E$65:E92)+1)</f>
        <v>43190</v>
      </c>
      <c r="G93" s="2" t="s">
        <v>105</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5" outlineLevel="1">
      <c r="E94" s="44">
        <f>INDEX($K$4:$AV$4,,COUNT(E$65:E93)+1)</f>
        <v>43555</v>
      </c>
      <c r="G94" s="2" t="s">
        <v>105</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5" outlineLevel="1">
      <c r="E95" s="44">
        <f>INDEX($K$4:$AV$4,,COUNT(E$65:E94)+1)</f>
        <v>43921</v>
      </c>
      <c r="G95" s="2" t="s">
        <v>105</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5" outlineLevel="1">
      <c r="E96" s="44">
        <f>INDEX($K$4:$AV$4,,COUNT(E$65:E95)+1)</f>
        <v>44286</v>
      </c>
      <c r="G96" s="2" t="s">
        <v>105</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5" outlineLevel="1">
      <c r="E97" s="44">
        <f>INDEX($K$4:$AV$4,,COUNT(E$65:E96)+1)</f>
        <v>44651</v>
      </c>
      <c r="G97" s="2" t="s">
        <v>105</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5" outlineLevel="1">
      <c r="E98" s="44">
        <f>INDEX($K$4:$AV$4,,COUNT(E$65:E97)+1)</f>
        <v>45016</v>
      </c>
      <c r="G98" s="2" t="s">
        <v>105</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5" outlineLevel="1">
      <c r="E99" s="44">
        <f>INDEX($K$4:$AV$4,,COUNT(E$65:E98)+1)</f>
        <v>45382</v>
      </c>
      <c r="G99" s="2" t="s">
        <v>105</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5" outlineLevel="1">
      <c r="E100" s="44">
        <f>INDEX($K$4:$AV$4,,COUNT(E$65:E99)+1)</f>
        <v>45747</v>
      </c>
      <c r="G100" s="2" t="s">
        <v>105</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5" outlineLevel="1">
      <c r="E101" s="44">
        <f>INDEX($K$4:$AV$4,,COUNT(E$65:E100)+1)</f>
        <v>46112</v>
      </c>
      <c r="G101" s="2" t="s">
        <v>105</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5" outlineLevel="1">
      <c r="E102" s="44">
        <f>INDEX($K$4:$AV$4,,COUNT(E$65:E101)+1)</f>
        <v>46477</v>
      </c>
      <c r="G102" s="2" t="s">
        <v>105</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5" outlineLevel="1">
      <c r="E103" s="44">
        <f>INDEX($K$4:$AV$4,,COUNT(E$65:E102)+1)</f>
        <v>46843</v>
      </c>
      <c r="G103" s="2" t="s">
        <v>105</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5">
      <c r="A105" s="2"/>
      <c r="B105" s="2"/>
      <c r="C105" s="20" t="s">
        <v>895</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5">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5" outlineLevel="1">
      <c r="E108" s="44" t="s">
        <v>896</v>
      </c>
      <c r="G108" s="44" t="s">
        <v>547</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1</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5" outlineLevel="1">
      <c r="E110" s="44">
        <f>INDEX($K$4:$AV$4,,COUNT(E$109:E109)+1)</f>
        <v>33328</v>
      </c>
      <c r="G110" s="2" t="s">
        <v>105</v>
      </c>
      <c r="I110" s="2">
        <f>INDEX($K$24:$AV$24,,MATCH(E110,$K$4:$AV$4,0))</f>
        <v>24.265624180091308</v>
      </c>
      <c r="K110" s="2">
        <f>IF(J$4=$E110, $I110*J$57,0) + IF(J$4&gt;$E110,MIN(J110,$I110-SUM($J110:J110)))</f>
        <v>0</v>
      </c>
      <c r="L110" s="2">
        <f>IF(K$4=$E110, $I110*K$57,0) + IF(K$4&gt;$E110,MIN(K110,$I110-SUM($J110:K110)))</f>
        <v>1.2132812090045655</v>
      </c>
      <c r="M110" s="2">
        <f>IF(L$4=$E110, $I110*L$57,0) + IF(L$4&gt;$E110,MIN(L110,$I110-SUM($J110:L110)))</f>
        <v>1.2132812090045655</v>
      </c>
      <c r="N110" s="2">
        <f>IF(M$4=$E110, $I110*M$57,0) + IF(M$4&gt;$E110,MIN(M110,$I110-SUM($J110:M110)))</f>
        <v>1.2132812090045655</v>
      </c>
      <c r="O110" s="2">
        <f>IF(N$4=$E110, $I110*N$57,0) + IF(N$4&gt;$E110,MIN(N110,$I110-SUM($J110:N110)))</f>
        <v>1.2132812090045655</v>
      </c>
      <c r="P110" s="2">
        <f>IF(O$4=$E110, $I110*O$57,0) + IF(O$4&gt;$E110,MIN(O110,$I110-SUM($J110:O110)))</f>
        <v>1.2132812090045655</v>
      </c>
      <c r="Q110" s="2">
        <f>IF(P$4=$E110, $I110*P$57,0) + IF(P$4&gt;$E110,MIN(P110,$I110-SUM($J110:P110)))</f>
        <v>1.2132812090045655</v>
      </c>
      <c r="R110" s="2">
        <f>IF(Q$4=$E110, $I110*Q$57,0) + IF(Q$4&gt;$E110,MIN(Q110,$I110-SUM($J110:Q110)))</f>
        <v>1.2132812090045655</v>
      </c>
      <c r="S110" s="2">
        <f>IF(R$4=$E110, $I110*R$57,0) + IF(R$4&gt;$E110,MIN(R110,$I110-SUM($J110:R110)))</f>
        <v>1.2132812090045655</v>
      </c>
      <c r="T110" s="2">
        <f>IF(S$4=$E110, $I110*S$57,0) + IF(S$4&gt;$E110,MIN(S110,$I110-SUM($J110:S110)))</f>
        <v>1.2132812090045655</v>
      </c>
      <c r="U110" s="2">
        <f>IF(T$4=$E110, $I110*T$57,0) + IF(T$4&gt;$E110,MIN(T110,$I110-SUM($J110:T110)))</f>
        <v>1.2132812090045655</v>
      </c>
      <c r="V110" s="2">
        <f>IF(U$4=$E110, $I110*U$57,0) + IF(U$4&gt;$E110,MIN(U110,$I110-SUM($J110:U110)))</f>
        <v>1.2132812090045655</v>
      </c>
      <c r="W110" s="2">
        <f>IF(V$4=$E110, $I110*V$57,0) + IF(V$4&gt;$E110,MIN(V110,$I110-SUM($J110:V110)))</f>
        <v>1.2132812090045655</v>
      </c>
      <c r="X110" s="2">
        <f>IF(W$4=$E110, $I110*W$57,0) + IF(W$4&gt;$E110,MIN(W110,$I110-SUM($J110:W110)))</f>
        <v>1.2132812090045655</v>
      </c>
      <c r="Y110" s="2">
        <f>IF(X$4=$E110, $I110*X$57,0) + IF(X$4&gt;$E110,MIN(X110,$I110-SUM($J110:X110)))</f>
        <v>1.2132812090045655</v>
      </c>
      <c r="Z110" s="2">
        <f>IF(Y$4=$E110, $I110*Y$57,0) + IF(Y$4&gt;$E110,MIN(Y110,$I110-SUM($J110:Y110)))</f>
        <v>1.2132812090045655</v>
      </c>
      <c r="AA110" s="2">
        <f>IF(Z$4=$E110, $I110*Z$57,0) + IF(Z$4&gt;$E110,MIN(Z110,$I110-SUM($J110:Z110)))</f>
        <v>1.2132812090045655</v>
      </c>
      <c r="AB110" s="2">
        <f>IF(AA$4=$E110, $I110*AA$57,0) + IF(AA$4&gt;$E110,MIN(AA110,$I110-SUM($J110:AA110)))</f>
        <v>1.2132812090045655</v>
      </c>
      <c r="AC110" s="2">
        <f>IF(AB$4=$E110, $I110*AB$57,0) + IF(AB$4&gt;$E110,MIN(AB110,$I110-SUM($J110:AB110)))</f>
        <v>1.2132812090045655</v>
      </c>
      <c r="AD110" s="2">
        <f>IF(AC$4=$E110, $I110*AC$57,0) + IF(AC$4&gt;$E110,MIN(AC110,$I110-SUM($J110:AC110)))</f>
        <v>1.2132812090045655</v>
      </c>
      <c r="AE110" s="2">
        <f>IF(AD$4=$E110, $I110*AD$57,0) + IF(AD$4&gt;$E110,MIN(AD110,$I110-SUM($J110:AD110)))</f>
        <v>1.2132812090045597</v>
      </c>
      <c r="AF110" s="2">
        <f>IF(AE$4=$E110, $I110*AE$57,0) + IF(AE$4&gt;$E110,MIN(AE110,$I110-SUM($J110:AE110)))</f>
        <v>0</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5" outlineLevel="1">
      <c r="E111" s="44">
        <f>INDEX($K$4:$AV$4,,COUNT(E$109:E110)+1)</f>
        <v>33694</v>
      </c>
      <c r="G111" s="2" t="s">
        <v>105</v>
      </c>
      <c r="I111" s="2">
        <f t="shared" ref="I111:I147" si="64">INDEX($K$24:$AV$24,,MATCH(E111,$K$4:$AV$4,0))</f>
        <v>75.575379125780543</v>
      </c>
      <c r="K111" s="2">
        <f>IF(J$4=$E111, $I111*J$57,0) + IF(J$4&gt;$E111,MIN(J111,$I111-SUM($J111:J111)))</f>
        <v>0</v>
      </c>
      <c r="L111" s="2">
        <f>IF(K$4=$E111, $I111*K$57,0) + IF(K$4&gt;$E111,MIN(K111,$I111-SUM($J111:K111)))</f>
        <v>0</v>
      </c>
      <c r="M111" s="2">
        <f>IF(L$4=$E111, $I111*L$57,0) + IF(L$4&gt;$E111,MIN(L111,$I111-SUM($J111:L111)))</f>
        <v>3.7787689562890274</v>
      </c>
      <c r="N111" s="2">
        <f>IF(M$4=$E111, $I111*M$57,0) + IF(M$4&gt;$E111,MIN(M111,$I111-SUM($J111:M111)))</f>
        <v>3.7787689562890274</v>
      </c>
      <c r="O111" s="2">
        <f>IF(N$4=$E111, $I111*N$57,0) + IF(N$4&gt;$E111,MIN(N111,$I111-SUM($J111:N111)))</f>
        <v>3.7787689562890274</v>
      </c>
      <c r="P111" s="2">
        <f>IF(O$4=$E111, $I111*O$57,0) + IF(O$4&gt;$E111,MIN(O111,$I111-SUM($J111:O111)))</f>
        <v>3.7787689562890274</v>
      </c>
      <c r="Q111" s="2">
        <f>IF(P$4=$E111, $I111*P$57,0) + IF(P$4&gt;$E111,MIN(P111,$I111-SUM($J111:P111)))</f>
        <v>3.7787689562890274</v>
      </c>
      <c r="R111" s="2">
        <f>IF(Q$4=$E111, $I111*Q$57,0) + IF(Q$4&gt;$E111,MIN(Q111,$I111-SUM($J111:Q111)))</f>
        <v>3.7787689562890274</v>
      </c>
      <c r="S111" s="2">
        <f>IF(R$4=$E111, $I111*R$57,0) + IF(R$4&gt;$E111,MIN(R111,$I111-SUM($J111:R111)))</f>
        <v>3.7787689562890274</v>
      </c>
      <c r="T111" s="2">
        <f>IF(S$4=$E111, $I111*S$57,0) + IF(S$4&gt;$E111,MIN(S111,$I111-SUM($J111:S111)))</f>
        <v>3.7787689562890274</v>
      </c>
      <c r="U111" s="2">
        <f>IF(T$4=$E111, $I111*T$57,0) + IF(T$4&gt;$E111,MIN(T111,$I111-SUM($J111:T111)))</f>
        <v>3.7787689562890274</v>
      </c>
      <c r="V111" s="2">
        <f>IF(U$4=$E111, $I111*U$57,0) + IF(U$4&gt;$E111,MIN(U111,$I111-SUM($J111:U111)))</f>
        <v>3.7787689562890274</v>
      </c>
      <c r="W111" s="2">
        <f>IF(V$4=$E111, $I111*V$57,0) + IF(V$4&gt;$E111,MIN(V111,$I111-SUM($J111:V111)))</f>
        <v>3.7787689562890274</v>
      </c>
      <c r="X111" s="2">
        <f>IF(W$4=$E111, $I111*W$57,0) + IF(W$4&gt;$E111,MIN(W111,$I111-SUM($J111:W111)))</f>
        <v>3.7787689562890274</v>
      </c>
      <c r="Y111" s="2">
        <f>IF(X$4=$E111, $I111*X$57,0) + IF(X$4&gt;$E111,MIN(X111,$I111-SUM($J111:X111)))</f>
        <v>3.7787689562890274</v>
      </c>
      <c r="Z111" s="2">
        <f>IF(Y$4=$E111, $I111*Y$57,0) + IF(Y$4&gt;$E111,MIN(Y111,$I111-SUM($J111:Y111)))</f>
        <v>3.7787689562890274</v>
      </c>
      <c r="AA111" s="2">
        <f>IF(Z$4=$E111, $I111*Z$57,0) + IF(Z$4&gt;$E111,MIN(Z111,$I111-SUM($J111:Z111)))</f>
        <v>3.7787689562890274</v>
      </c>
      <c r="AB111" s="2">
        <f>IF(AA$4=$E111, $I111*AA$57,0) + IF(AA$4&gt;$E111,MIN(AA111,$I111-SUM($J111:AA111)))</f>
        <v>3.7787689562890274</v>
      </c>
      <c r="AC111" s="2">
        <f>IF(AB$4=$E111, $I111*AB$57,0) + IF(AB$4&gt;$E111,MIN(AB111,$I111-SUM($J111:AB111)))</f>
        <v>3.7787689562890274</v>
      </c>
      <c r="AD111" s="2">
        <f>IF(AC$4=$E111, $I111*AC$57,0) + IF(AC$4&gt;$E111,MIN(AC111,$I111-SUM($J111:AC111)))</f>
        <v>3.7787689562890274</v>
      </c>
      <c r="AE111" s="2">
        <f>IF(AD$4=$E111, $I111*AD$57,0) + IF(AD$4&gt;$E111,MIN(AD111,$I111-SUM($J111:AD111)))</f>
        <v>3.7787689562890274</v>
      </c>
      <c r="AF111" s="2">
        <f>IF(AE$4=$E111, $I111*AE$57,0) + IF(AE$4&gt;$E111,MIN(AE111,$I111-SUM($J111:AE111)))</f>
        <v>3.7787689562890274</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5" outlineLevel="1">
      <c r="E112" s="44">
        <f>INDEX($K$4:$AV$4,,COUNT(E$109:E111)+1)</f>
        <v>34059</v>
      </c>
      <c r="G112" s="2" t="s">
        <v>105</v>
      </c>
      <c r="I112" s="2">
        <f t="shared" si="64"/>
        <v>78.539119483654289</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3.9269559741827145</v>
      </c>
      <c r="O112" s="2">
        <f>IF(N$4=$E112, $I112*N$57,0) + IF(N$4&gt;$E112,MIN(N112,$I112-SUM($J112:N112)))</f>
        <v>3.9269559741827145</v>
      </c>
      <c r="P112" s="2">
        <f>IF(O$4=$E112, $I112*O$57,0) + IF(O$4&gt;$E112,MIN(O112,$I112-SUM($J112:O112)))</f>
        <v>3.9269559741827145</v>
      </c>
      <c r="Q112" s="2">
        <f>IF(P$4=$E112, $I112*P$57,0) + IF(P$4&gt;$E112,MIN(P112,$I112-SUM($J112:P112)))</f>
        <v>3.9269559741827145</v>
      </c>
      <c r="R112" s="2">
        <f>IF(Q$4=$E112, $I112*Q$57,0) + IF(Q$4&gt;$E112,MIN(Q112,$I112-SUM($J112:Q112)))</f>
        <v>3.9269559741827145</v>
      </c>
      <c r="S112" s="2">
        <f>IF(R$4=$E112, $I112*R$57,0) + IF(R$4&gt;$E112,MIN(R112,$I112-SUM($J112:R112)))</f>
        <v>3.9269559741827145</v>
      </c>
      <c r="T112" s="2">
        <f>IF(S$4=$E112, $I112*S$57,0) + IF(S$4&gt;$E112,MIN(S112,$I112-SUM($J112:S112)))</f>
        <v>3.9269559741827145</v>
      </c>
      <c r="U112" s="2">
        <f>IF(T$4=$E112, $I112*T$57,0) + IF(T$4&gt;$E112,MIN(T112,$I112-SUM($J112:T112)))</f>
        <v>3.9269559741827145</v>
      </c>
      <c r="V112" s="2">
        <f>IF(U$4=$E112, $I112*U$57,0) + IF(U$4&gt;$E112,MIN(U112,$I112-SUM($J112:U112)))</f>
        <v>3.9269559741827145</v>
      </c>
      <c r="W112" s="2">
        <f>IF(V$4=$E112, $I112*V$57,0) + IF(V$4&gt;$E112,MIN(V112,$I112-SUM($J112:V112)))</f>
        <v>3.9269559741827145</v>
      </c>
      <c r="X112" s="2">
        <f>IF(W$4=$E112, $I112*W$57,0) + IF(W$4&gt;$E112,MIN(W112,$I112-SUM($J112:W112)))</f>
        <v>3.9269559741827145</v>
      </c>
      <c r="Y112" s="2">
        <f>IF(X$4=$E112, $I112*X$57,0) + IF(X$4&gt;$E112,MIN(X112,$I112-SUM($J112:X112)))</f>
        <v>3.9269559741827145</v>
      </c>
      <c r="Z112" s="2">
        <f>IF(Y$4=$E112, $I112*Y$57,0) + IF(Y$4&gt;$E112,MIN(Y112,$I112-SUM($J112:Y112)))</f>
        <v>3.9269559741827145</v>
      </c>
      <c r="AA112" s="2">
        <f>IF(Z$4=$E112, $I112*Z$57,0) + IF(Z$4&gt;$E112,MIN(Z112,$I112-SUM($J112:Z112)))</f>
        <v>3.9269559741827145</v>
      </c>
      <c r="AB112" s="2">
        <f>IF(AA$4=$E112, $I112*AA$57,0) + IF(AA$4&gt;$E112,MIN(AA112,$I112-SUM($J112:AA112)))</f>
        <v>3.9269559741827145</v>
      </c>
      <c r="AC112" s="2">
        <f>IF(AB$4=$E112, $I112*AB$57,0) + IF(AB$4&gt;$E112,MIN(AB112,$I112-SUM($J112:AB112)))</f>
        <v>3.9269559741827145</v>
      </c>
      <c r="AD112" s="2">
        <f>IF(AC$4=$E112, $I112*AC$57,0) + IF(AC$4&gt;$E112,MIN(AC112,$I112-SUM($J112:AC112)))</f>
        <v>3.9269559741827145</v>
      </c>
      <c r="AE112" s="2">
        <f>IF(AD$4=$E112, $I112*AD$57,0) + IF(AD$4&gt;$E112,MIN(AD112,$I112-SUM($J112:AD112)))</f>
        <v>3.9269559741827145</v>
      </c>
      <c r="AF112" s="2">
        <f>IF(AE$4=$E112, $I112*AE$57,0) + IF(AE$4&gt;$E112,MIN(AE112,$I112-SUM($J112:AE112)))</f>
        <v>3.9269559741827145</v>
      </c>
      <c r="AG112" s="2">
        <f>IF(AF$4=$E112, $I112*AF$57,0) + IF(AF$4&gt;$E112,MIN(AF112,$I112-SUM($J112:AF112)))</f>
        <v>3.9269559741826754</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5" outlineLevel="1">
      <c r="E113" s="44">
        <f>INDEX($K$4:$AV$4,,COUNT(E$109:E112)+1)</f>
        <v>34424</v>
      </c>
      <c r="G113" s="2" t="s">
        <v>105</v>
      </c>
      <c r="I113" s="2">
        <f t="shared" si="64"/>
        <v>89.097444508579528</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4.4548722254289768</v>
      </c>
      <c r="P113" s="2">
        <f>IF(O$4=$E113, $I113*O$57,0) + IF(O$4&gt;$E113,MIN(O113,$I113-SUM($J113:O113)))</f>
        <v>4.4548722254289768</v>
      </c>
      <c r="Q113" s="2">
        <f>IF(P$4=$E113, $I113*P$57,0) + IF(P$4&gt;$E113,MIN(P113,$I113-SUM($J113:P113)))</f>
        <v>4.4548722254289768</v>
      </c>
      <c r="R113" s="2">
        <f>IF(Q$4=$E113, $I113*Q$57,0) + IF(Q$4&gt;$E113,MIN(Q113,$I113-SUM($J113:Q113)))</f>
        <v>4.4548722254289768</v>
      </c>
      <c r="S113" s="2">
        <f>IF(R$4=$E113, $I113*R$57,0) + IF(R$4&gt;$E113,MIN(R113,$I113-SUM($J113:R113)))</f>
        <v>4.4548722254289768</v>
      </c>
      <c r="T113" s="2">
        <f>IF(S$4=$E113, $I113*S$57,0) + IF(S$4&gt;$E113,MIN(S113,$I113-SUM($J113:S113)))</f>
        <v>4.4548722254289768</v>
      </c>
      <c r="U113" s="2">
        <f>IF(T$4=$E113, $I113*T$57,0) + IF(T$4&gt;$E113,MIN(T113,$I113-SUM($J113:T113)))</f>
        <v>4.4548722254289768</v>
      </c>
      <c r="V113" s="2">
        <f>IF(U$4=$E113, $I113*U$57,0) + IF(U$4&gt;$E113,MIN(U113,$I113-SUM($J113:U113)))</f>
        <v>4.4548722254289768</v>
      </c>
      <c r="W113" s="2">
        <f>IF(V$4=$E113, $I113*V$57,0) + IF(V$4&gt;$E113,MIN(V113,$I113-SUM($J113:V113)))</f>
        <v>4.4548722254289768</v>
      </c>
      <c r="X113" s="2">
        <f>IF(W$4=$E113, $I113*W$57,0) + IF(W$4&gt;$E113,MIN(W113,$I113-SUM($J113:W113)))</f>
        <v>4.4548722254289768</v>
      </c>
      <c r="Y113" s="2">
        <f>IF(X$4=$E113, $I113*X$57,0) + IF(X$4&gt;$E113,MIN(X113,$I113-SUM($J113:X113)))</f>
        <v>4.4548722254289768</v>
      </c>
      <c r="Z113" s="2">
        <f>IF(Y$4=$E113, $I113*Y$57,0) + IF(Y$4&gt;$E113,MIN(Y113,$I113-SUM($J113:Y113)))</f>
        <v>4.4548722254289768</v>
      </c>
      <c r="AA113" s="2">
        <f>IF(Z$4=$E113, $I113*Z$57,0) + IF(Z$4&gt;$E113,MIN(Z113,$I113-SUM($J113:Z113)))</f>
        <v>4.4548722254289768</v>
      </c>
      <c r="AB113" s="2">
        <f>IF(AA$4=$E113, $I113*AA$57,0) + IF(AA$4&gt;$E113,MIN(AA113,$I113-SUM($J113:AA113)))</f>
        <v>4.4548722254289768</v>
      </c>
      <c r="AC113" s="2">
        <f>IF(AB$4=$E113, $I113*AB$57,0) + IF(AB$4&gt;$E113,MIN(AB113,$I113-SUM($J113:AB113)))</f>
        <v>4.4548722254289768</v>
      </c>
      <c r="AD113" s="2">
        <f>IF(AC$4=$E113, $I113*AC$57,0) + IF(AC$4&gt;$E113,MIN(AC113,$I113-SUM($J113:AC113)))</f>
        <v>4.4548722254289768</v>
      </c>
      <c r="AE113" s="2">
        <f>IF(AD$4=$E113, $I113*AD$57,0) + IF(AD$4&gt;$E113,MIN(AD113,$I113-SUM($J113:AD113)))</f>
        <v>4.4548722254289768</v>
      </c>
      <c r="AF113" s="2">
        <f>IF(AE$4=$E113, $I113*AE$57,0) + IF(AE$4&gt;$E113,MIN(AE113,$I113-SUM($J113:AE113)))</f>
        <v>4.4548722254289768</v>
      </c>
      <c r="AG113" s="2">
        <f>IF(AF$4=$E113, $I113*AF$57,0) + IF(AF$4&gt;$E113,MIN(AF113,$I113-SUM($J113:AF113)))</f>
        <v>4.4548722254289768</v>
      </c>
      <c r="AH113" s="2">
        <f>IF(AG$4=$E113, $I113*AG$57,0) + IF(AG$4&gt;$E113,MIN(AG113,$I113-SUM($J113:AG113)))</f>
        <v>4.4548722254289714</v>
      </c>
      <c r="AI113" s="2">
        <f>IF(AH$4=$E113, $I113*AH$57,0) + IF(AH$4&gt;$E113,MIN(AH113,$I113-SUM($J113:AH113)))</f>
        <v>0</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5" outlineLevel="1">
      <c r="E114" s="44">
        <f>INDEX($K$4:$AV$4,,COUNT(E$109:E113)+1)</f>
        <v>34789</v>
      </c>
      <c r="G114" s="2" t="s">
        <v>105</v>
      </c>
      <c r="I114" s="2">
        <f t="shared" si="64"/>
        <v>105.21278270451801</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5.260639135225901</v>
      </c>
      <c r="Q114" s="2">
        <f>IF(P$4=$E114, $I114*P$57,0) + IF(P$4&gt;$E114,MIN(P114,$I114-SUM($J114:P114)))</f>
        <v>5.260639135225901</v>
      </c>
      <c r="R114" s="2">
        <f>IF(Q$4=$E114, $I114*Q$57,0) + IF(Q$4&gt;$E114,MIN(Q114,$I114-SUM($J114:Q114)))</f>
        <v>5.260639135225901</v>
      </c>
      <c r="S114" s="2">
        <f>IF(R$4=$E114, $I114*R$57,0) + IF(R$4&gt;$E114,MIN(R114,$I114-SUM($J114:R114)))</f>
        <v>5.260639135225901</v>
      </c>
      <c r="T114" s="2">
        <f>IF(S$4=$E114, $I114*S$57,0) + IF(S$4&gt;$E114,MIN(S114,$I114-SUM($J114:S114)))</f>
        <v>5.260639135225901</v>
      </c>
      <c r="U114" s="2">
        <f>IF(T$4=$E114, $I114*T$57,0) + IF(T$4&gt;$E114,MIN(T114,$I114-SUM($J114:T114)))</f>
        <v>5.260639135225901</v>
      </c>
      <c r="V114" s="2">
        <f>IF(U$4=$E114, $I114*U$57,0) + IF(U$4&gt;$E114,MIN(U114,$I114-SUM($J114:U114)))</f>
        <v>5.260639135225901</v>
      </c>
      <c r="W114" s="2">
        <f>IF(V$4=$E114, $I114*V$57,0) + IF(V$4&gt;$E114,MIN(V114,$I114-SUM($J114:V114)))</f>
        <v>5.260639135225901</v>
      </c>
      <c r="X114" s="2">
        <f>IF(W$4=$E114, $I114*W$57,0) + IF(W$4&gt;$E114,MIN(W114,$I114-SUM($J114:W114)))</f>
        <v>5.260639135225901</v>
      </c>
      <c r="Y114" s="2">
        <f>IF(X$4=$E114, $I114*X$57,0) + IF(X$4&gt;$E114,MIN(X114,$I114-SUM($J114:X114)))</f>
        <v>5.260639135225901</v>
      </c>
      <c r="Z114" s="2">
        <f>IF(Y$4=$E114, $I114*Y$57,0) + IF(Y$4&gt;$E114,MIN(Y114,$I114-SUM($J114:Y114)))</f>
        <v>5.260639135225901</v>
      </c>
      <c r="AA114" s="2">
        <f>IF(Z$4=$E114, $I114*Z$57,0) + IF(Z$4&gt;$E114,MIN(Z114,$I114-SUM($J114:Z114)))</f>
        <v>5.260639135225901</v>
      </c>
      <c r="AB114" s="2">
        <f>IF(AA$4=$E114, $I114*AA$57,0) + IF(AA$4&gt;$E114,MIN(AA114,$I114-SUM($J114:AA114)))</f>
        <v>5.260639135225901</v>
      </c>
      <c r="AC114" s="2">
        <f>IF(AB$4=$E114, $I114*AB$57,0) + IF(AB$4&gt;$E114,MIN(AB114,$I114-SUM($J114:AB114)))</f>
        <v>5.260639135225901</v>
      </c>
      <c r="AD114" s="2">
        <f>IF(AC$4=$E114, $I114*AC$57,0) + IF(AC$4&gt;$E114,MIN(AC114,$I114-SUM($J114:AC114)))</f>
        <v>5.260639135225901</v>
      </c>
      <c r="AE114" s="2">
        <f>IF(AD$4=$E114, $I114*AD$57,0) + IF(AD$4&gt;$E114,MIN(AD114,$I114-SUM($J114:AD114)))</f>
        <v>5.260639135225901</v>
      </c>
      <c r="AF114" s="2">
        <f>IF(AE$4=$E114, $I114*AE$57,0) + IF(AE$4&gt;$E114,MIN(AE114,$I114-SUM($J114:AE114)))</f>
        <v>5.260639135225901</v>
      </c>
      <c r="AG114" s="2">
        <f>IF(AF$4=$E114, $I114*AF$57,0) + IF(AF$4&gt;$E114,MIN(AF114,$I114-SUM($J114:AF114)))</f>
        <v>5.260639135225901</v>
      </c>
      <c r="AH114" s="2">
        <f>IF(AG$4=$E114, $I114*AG$57,0) + IF(AG$4&gt;$E114,MIN(AG114,$I114-SUM($J114:AG114)))</f>
        <v>5.260639135225901</v>
      </c>
      <c r="AI114" s="2">
        <f>IF(AH$4=$E114, $I114*AH$57,0) + IF(AH$4&gt;$E114,MIN(AH114,$I114-SUM($J114:AH114)))</f>
        <v>5.2606391352258868</v>
      </c>
      <c r="AJ114" s="2">
        <f>IF(AI$4=$E114, $I114*AI$57,0) + IF(AI$4&gt;$E114,MIN(AI114,$I114-SUM($J114:AI114)))</f>
        <v>0</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5" outlineLevel="1">
      <c r="E115" s="44">
        <f>INDEX($K$4:$AV$4,,COUNT(E$109:E114)+1)</f>
        <v>35155</v>
      </c>
      <c r="G115" s="2" t="s">
        <v>105</v>
      </c>
      <c r="I115" s="2">
        <f t="shared" si="64"/>
        <v>77.61295062181874</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3.8806475310909372</v>
      </c>
      <c r="R115" s="2">
        <f>IF(Q$4=$E115, $I115*Q$57,0) + IF(Q$4&gt;$E115,MIN(Q115,$I115-SUM($J115:Q115)))</f>
        <v>3.8806475310909372</v>
      </c>
      <c r="S115" s="2">
        <f>IF(R$4=$E115, $I115*R$57,0) + IF(R$4&gt;$E115,MIN(R115,$I115-SUM($J115:R115)))</f>
        <v>3.8806475310909372</v>
      </c>
      <c r="T115" s="2">
        <f>IF(S$4=$E115, $I115*S$57,0) + IF(S$4&gt;$E115,MIN(S115,$I115-SUM($J115:S115)))</f>
        <v>3.8806475310909372</v>
      </c>
      <c r="U115" s="2">
        <f>IF(T$4=$E115, $I115*T$57,0) + IF(T$4&gt;$E115,MIN(T115,$I115-SUM($J115:T115)))</f>
        <v>3.8806475310909372</v>
      </c>
      <c r="V115" s="2">
        <f>IF(U$4=$E115, $I115*U$57,0) + IF(U$4&gt;$E115,MIN(U115,$I115-SUM($J115:U115)))</f>
        <v>3.8806475310909372</v>
      </c>
      <c r="W115" s="2">
        <f>IF(V$4=$E115, $I115*V$57,0) + IF(V$4&gt;$E115,MIN(V115,$I115-SUM($J115:V115)))</f>
        <v>3.8806475310909372</v>
      </c>
      <c r="X115" s="2">
        <f>IF(W$4=$E115, $I115*W$57,0) + IF(W$4&gt;$E115,MIN(W115,$I115-SUM($J115:W115)))</f>
        <v>3.8806475310909372</v>
      </c>
      <c r="Y115" s="2">
        <f>IF(X$4=$E115, $I115*X$57,0) + IF(X$4&gt;$E115,MIN(X115,$I115-SUM($J115:X115)))</f>
        <v>3.8806475310909372</v>
      </c>
      <c r="Z115" s="2">
        <f>IF(Y$4=$E115, $I115*Y$57,0) + IF(Y$4&gt;$E115,MIN(Y115,$I115-SUM($J115:Y115)))</f>
        <v>3.8806475310909372</v>
      </c>
      <c r="AA115" s="2">
        <f>IF(Z$4=$E115, $I115*Z$57,0) + IF(Z$4&gt;$E115,MIN(Z115,$I115-SUM($J115:Z115)))</f>
        <v>3.8806475310909372</v>
      </c>
      <c r="AB115" s="2">
        <f>IF(AA$4=$E115, $I115*AA$57,0) + IF(AA$4&gt;$E115,MIN(AA115,$I115-SUM($J115:AA115)))</f>
        <v>3.8806475310909372</v>
      </c>
      <c r="AC115" s="2">
        <f>IF(AB$4=$E115, $I115*AB$57,0) + IF(AB$4&gt;$E115,MIN(AB115,$I115-SUM($J115:AB115)))</f>
        <v>3.8806475310909372</v>
      </c>
      <c r="AD115" s="2">
        <f>IF(AC$4=$E115, $I115*AC$57,0) + IF(AC$4&gt;$E115,MIN(AC115,$I115-SUM($J115:AC115)))</f>
        <v>3.8806475310909372</v>
      </c>
      <c r="AE115" s="2">
        <f>IF(AD$4=$E115, $I115*AD$57,0) + IF(AD$4&gt;$E115,MIN(AD115,$I115-SUM($J115:AD115)))</f>
        <v>3.8806475310909372</v>
      </c>
      <c r="AF115" s="2">
        <f>IF(AE$4=$E115, $I115*AE$57,0) + IF(AE$4&gt;$E115,MIN(AE115,$I115-SUM($J115:AE115)))</f>
        <v>3.8806475310909372</v>
      </c>
      <c r="AG115" s="2">
        <f>IF(AF$4=$E115, $I115*AF$57,0) + IF(AF$4&gt;$E115,MIN(AF115,$I115-SUM($J115:AF115)))</f>
        <v>3.8806475310909372</v>
      </c>
      <c r="AH115" s="2">
        <f>IF(AG$4=$E115, $I115*AG$57,0) + IF(AG$4&gt;$E115,MIN(AG115,$I115-SUM($J115:AG115)))</f>
        <v>3.8806475310909372</v>
      </c>
      <c r="AI115" s="2">
        <f>IF(AH$4=$E115, $I115*AH$57,0) + IF(AH$4&gt;$E115,MIN(AH115,$I115-SUM($J115:AH115)))</f>
        <v>3.8806475310909372</v>
      </c>
      <c r="AJ115" s="2">
        <f>IF(AI$4=$E115, $I115*AI$57,0) + IF(AI$4&gt;$E115,MIN(AI115,$I115-SUM($J115:AI115)))</f>
        <v>3.8806475310909292</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5" outlineLevel="1">
      <c r="E116" s="44">
        <f>INDEX($K$4:$AV$4,,COUNT(E$109:E115)+1)</f>
        <v>35520</v>
      </c>
      <c r="G116" s="2" t="s">
        <v>105</v>
      </c>
      <c r="I116" s="2">
        <f t="shared" si="64"/>
        <v>83.169963792832021</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4.1584981896416009</v>
      </c>
      <c r="S116" s="2">
        <f>IF(R$4=$E116, $I116*R$57,0) + IF(R$4&gt;$E116,MIN(R116,$I116-SUM($J116:R116)))</f>
        <v>4.1584981896416009</v>
      </c>
      <c r="T116" s="2">
        <f>IF(S$4=$E116, $I116*S$57,0) + IF(S$4&gt;$E116,MIN(S116,$I116-SUM($J116:S116)))</f>
        <v>4.1584981896416009</v>
      </c>
      <c r="U116" s="2">
        <f>IF(T$4=$E116, $I116*T$57,0) + IF(T$4&gt;$E116,MIN(T116,$I116-SUM($J116:T116)))</f>
        <v>4.1584981896416009</v>
      </c>
      <c r="V116" s="2">
        <f>IF(U$4=$E116, $I116*U$57,0) + IF(U$4&gt;$E116,MIN(U116,$I116-SUM($J116:U116)))</f>
        <v>4.1584981896416009</v>
      </c>
      <c r="W116" s="2">
        <f>IF(V$4=$E116, $I116*V$57,0) + IF(V$4&gt;$E116,MIN(V116,$I116-SUM($J116:V116)))</f>
        <v>4.1584981896416009</v>
      </c>
      <c r="X116" s="2">
        <f>IF(W$4=$E116, $I116*W$57,0) + IF(W$4&gt;$E116,MIN(W116,$I116-SUM($J116:W116)))</f>
        <v>4.1584981896416009</v>
      </c>
      <c r="Y116" s="2">
        <f>IF(X$4=$E116, $I116*X$57,0) + IF(X$4&gt;$E116,MIN(X116,$I116-SUM($J116:X116)))</f>
        <v>4.1584981896416009</v>
      </c>
      <c r="Z116" s="2">
        <f>IF(Y$4=$E116, $I116*Y$57,0) + IF(Y$4&gt;$E116,MIN(Y116,$I116-SUM($J116:Y116)))</f>
        <v>4.1584981896416009</v>
      </c>
      <c r="AA116" s="2">
        <f>IF(Z$4=$E116, $I116*Z$57,0) + IF(Z$4&gt;$E116,MIN(Z116,$I116-SUM($J116:Z116)))</f>
        <v>4.1584981896416009</v>
      </c>
      <c r="AB116" s="2">
        <f>IF(AA$4=$E116, $I116*AA$57,0) + IF(AA$4&gt;$E116,MIN(AA116,$I116-SUM($J116:AA116)))</f>
        <v>4.1584981896416009</v>
      </c>
      <c r="AC116" s="2">
        <f>IF(AB$4=$E116, $I116*AB$57,0) + IF(AB$4&gt;$E116,MIN(AB116,$I116-SUM($J116:AB116)))</f>
        <v>4.1584981896416009</v>
      </c>
      <c r="AD116" s="2">
        <f>IF(AC$4=$E116, $I116*AC$57,0) + IF(AC$4&gt;$E116,MIN(AC116,$I116-SUM($J116:AC116)))</f>
        <v>4.1584981896416009</v>
      </c>
      <c r="AE116" s="2">
        <f>IF(AD$4=$E116, $I116*AD$57,0) + IF(AD$4&gt;$E116,MIN(AD116,$I116-SUM($J116:AD116)))</f>
        <v>4.1584981896416009</v>
      </c>
      <c r="AF116" s="2">
        <f>IF(AE$4=$E116, $I116*AE$57,0) + IF(AE$4&gt;$E116,MIN(AE116,$I116-SUM($J116:AE116)))</f>
        <v>4.1584981896416009</v>
      </c>
      <c r="AG116" s="2">
        <f>IF(AF$4=$E116, $I116*AF$57,0) + IF(AF$4&gt;$E116,MIN(AF116,$I116-SUM($J116:AF116)))</f>
        <v>4.1584981896416009</v>
      </c>
      <c r="AH116" s="2">
        <f>IF(AG$4=$E116, $I116*AG$57,0) + IF(AG$4&gt;$E116,MIN(AG116,$I116-SUM($J116:AG116)))</f>
        <v>4.1584981896416009</v>
      </c>
      <c r="AI116" s="2">
        <f>IF(AH$4=$E116, $I116*AH$57,0) + IF(AH$4&gt;$E116,MIN(AH116,$I116-SUM($J116:AH116)))</f>
        <v>4.1584981896416009</v>
      </c>
      <c r="AJ116" s="2">
        <f>IF(AI$4=$E116, $I116*AI$57,0) + IF(AI$4&gt;$E116,MIN(AI116,$I116-SUM($J116:AI116)))</f>
        <v>4.1584981896416009</v>
      </c>
      <c r="AK116" s="2">
        <f>IF(AJ$4=$E116, $I116*AJ$57,0) + IF(AJ$4&gt;$E116,MIN(AJ116,$I116-SUM($J116:AJ116)))</f>
        <v>4.1584981896416009</v>
      </c>
      <c r="AL116" s="2">
        <f>IF(AK$4=$E116, $I116*AK$57,0) + IF(AK$4&gt;$E116,MIN(AK116,$I116-SUM($J116:AK116)))</f>
        <v>0</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5" outlineLevel="1">
      <c r="E117" s="44">
        <f>INDEX($K$4:$AV$4,,COUNT(E$109:E116)+1)</f>
        <v>35885</v>
      </c>
      <c r="G117" s="2" t="s">
        <v>105</v>
      </c>
      <c r="I117" s="2">
        <f t="shared" si="64"/>
        <v>76.316314215248994</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3.81581571076245</v>
      </c>
      <c r="T117" s="2">
        <f>IF(S$4=$E117, $I117*S$57,0) + IF(S$4&gt;$E117,MIN(S117,$I117-SUM($J117:S117)))</f>
        <v>3.81581571076245</v>
      </c>
      <c r="U117" s="2">
        <f>IF(T$4=$E117, $I117*T$57,0) + IF(T$4&gt;$E117,MIN(T117,$I117-SUM($J117:T117)))</f>
        <v>3.81581571076245</v>
      </c>
      <c r="V117" s="2">
        <f>IF(U$4=$E117, $I117*U$57,0) + IF(U$4&gt;$E117,MIN(U117,$I117-SUM($J117:U117)))</f>
        <v>3.81581571076245</v>
      </c>
      <c r="W117" s="2">
        <f>IF(V$4=$E117, $I117*V$57,0) + IF(V$4&gt;$E117,MIN(V117,$I117-SUM($J117:V117)))</f>
        <v>3.81581571076245</v>
      </c>
      <c r="X117" s="2">
        <f>IF(W$4=$E117, $I117*W$57,0) + IF(W$4&gt;$E117,MIN(W117,$I117-SUM($J117:W117)))</f>
        <v>3.81581571076245</v>
      </c>
      <c r="Y117" s="2">
        <f>IF(X$4=$E117, $I117*X$57,0) + IF(X$4&gt;$E117,MIN(X117,$I117-SUM($J117:X117)))</f>
        <v>3.81581571076245</v>
      </c>
      <c r="Z117" s="2">
        <f>IF(Y$4=$E117, $I117*Y$57,0) + IF(Y$4&gt;$E117,MIN(Y117,$I117-SUM($J117:Y117)))</f>
        <v>3.81581571076245</v>
      </c>
      <c r="AA117" s="2">
        <f>IF(Z$4=$E117, $I117*Z$57,0) + IF(Z$4&gt;$E117,MIN(Z117,$I117-SUM($J117:Z117)))</f>
        <v>3.81581571076245</v>
      </c>
      <c r="AB117" s="2">
        <f>IF(AA$4=$E117, $I117*AA$57,0) + IF(AA$4&gt;$E117,MIN(AA117,$I117-SUM($J117:AA117)))</f>
        <v>3.81581571076245</v>
      </c>
      <c r="AC117" s="2">
        <f>IF(AB$4=$E117, $I117*AB$57,0) + IF(AB$4&gt;$E117,MIN(AB117,$I117-SUM($J117:AB117)))</f>
        <v>3.81581571076245</v>
      </c>
      <c r="AD117" s="2">
        <f>IF(AC$4=$E117, $I117*AC$57,0) + IF(AC$4&gt;$E117,MIN(AC117,$I117-SUM($J117:AC117)))</f>
        <v>3.81581571076245</v>
      </c>
      <c r="AE117" s="2">
        <f>IF(AD$4=$E117, $I117*AD$57,0) + IF(AD$4&gt;$E117,MIN(AD117,$I117-SUM($J117:AD117)))</f>
        <v>3.81581571076245</v>
      </c>
      <c r="AF117" s="2">
        <f>IF(AE$4=$E117, $I117*AE$57,0) + IF(AE$4&gt;$E117,MIN(AE117,$I117-SUM($J117:AE117)))</f>
        <v>3.81581571076245</v>
      </c>
      <c r="AG117" s="2">
        <f>IF(AF$4=$E117, $I117*AF$57,0) + IF(AF$4&gt;$E117,MIN(AF117,$I117-SUM($J117:AF117)))</f>
        <v>3.81581571076245</v>
      </c>
      <c r="AH117" s="2">
        <f>IF(AG$4=$E117, $I117*AG$57,0) + IF(AG$4&gt;$E117,MIN(AG117,$I117-SUM($J117:AG117)))</f>
        <v>3.81581571076245</v>
      </c>
      <c r="AI117" s="2">
        <f>IF(AH$4=$E117, $I117*AH$57,0) + IF(AH$4&gt;$E117,MIN(AH117,$I117-SUM($J117:AH117)))</f>
        <v>3.81581571076245</v>
      </c>
      <c r="AJ117" s="2">
        <f>IF(AI$4=$E117, $I117*AI$57,0) + IF(AI$4&gt;$E117,MIN(AI117,$I117-SUM($J117:AI117)))</f>
        <v>3.81581571076245</v>
      </c>
      <c r="AK117" s="2">
        <f>IF(AJ$4=$E117, $I117*AJ$57,0) + IF(AJ$4&gt;$E117,MIN(AJ117,$I117-SUM($J117:AJ117)))</f>
        <v>3.81581571076245</v>
      </c>
      <c r="AL117" s="2">
        <f>IF(AK$4=$E117, $I117*AK$57,0) + IF(AK$4&gt;$E117,MIN(AK117,$I117-SUM($J117:AK117)))</f>
        <v>3.81581571076245</v>
      </c>
      <c r="AM117" s="2">
        <f>IF(AL$4=$E117, $I117*AL$57,0) + IF(AL$4&gt;$E117,MIN(AL117,$I117-SUM($J117:AL117)))</f>
        <v>0</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5" outlineLevel="1">
      <c r="E118" s="44">
        <f>INDEX($K$4:$AV$4,,COUNT(E$109:E117)+1)</f>
        <v>36250</v>
      </c>
      <c r="G118" s="2" t="s">
        <v>105</v>
      </c>
      <c r="I118" s="2">
        <f t="shared" si="64"/>
        <v>81.374484759045359</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4.0687242379522681</v>
      </c>
      <c r="U118" s="2">
        <f>IF(T$4=$E118, $I118*T$57,0) + IF(T$4&gt;$E118,MIN(T118,$I118-SUM($J118:T118)))</f>
        <v>4.0687242379522681</v>
      </c>
      <c r="V118" s="2">
        <f>IF(U$4=$E118, $I118*U$57,0) + IF(U$4&gt;$E118,MIN(U118,$I118-SUM($J118:U118)))</f>
        <v>4.0687242379522681</v>
      </c>
      <c r="W118" s="2">
        <f>IF(V$4=$E118, $I118*V$57,0) + IF(V$4&gt;$E118,MIN(V118,$I118-SUM($J118:V118)))</f>
        <v>4.0687242379522681</v>
      </c>
      <c r="X118" s="2">
        <f>IF(W$4=$E118, $I118*W$57,0) + IF(W$4&gt;$E118,MIN(W118,$I118-SUM($J118:W118)))</f>
        <v>4.0687242379522681</v>
      </c>
      <c r="Y118" s="2">
        <f>IF(X$4=$E118, $I118*X$57,0) + IF(X$4&gt;$E118,MIN(X118,$I118-SUM($J118:X118)))</f>
        <v>4.0687242379522681</v>
      </c>
      <c r="Z118" s="2">
        <f>IF(Y$4=$E118, $I118*Y$57,0) + IF(Y$4&gt;$E118,MIN(Y118,$I118-SUM($J118:Y118)))</f>
        <v>4.0687242379522681</v>
      </c>
      <c r="AA118" s="2">
        <f>IF(Z$4=$E118, $I118*Z$57,0) + IF(Z$4&gt;$E118,MIN(Z118,$I118-SUM($J118:Z118)))</f>
        <v>4.0687242379522681</v>
      </c>
      <c r="AB118" s="2">
        <f>IF(AA$4=$E118, $I118*AA$57,0) + IF(AA$4&gt;$E118,MIN(AA118,$I118-SUM($J118:AA118)))</f>
        <v>4.0687242379522681</v>
      </c>
      <c r="AC118" s="2">
        <f>IF(AB$4=$E118, $I118*AB$57,0) + IF(AB$4&gt;$E118,MIN(AB118,$I118-SUM($J118:AB118)))</f>
        <v>4.0687242379522681</v>
      </c>
      <c r="AD118" s="2">
        <f>IF(AC$4=$E118, $I118*AC$57,0) + IF(AC$4&gt;$E118,MIN(AC118,$I118-SUM($J118:AC118)))</f>
        <v>4.0687242379522681</v>
      </c>
      <c r="AE118" s="2">
        <f>IF(AD$4=$E118, $I118*AD$57,0) + IF(AD$4&gt;$E118,MIN(AD118,$I118-SUM($J118:AD118)))</f>
        <v>4.0687242379522681</v>
      </c>
      <c r="AF118" s="2">
        <f>IF(AE$4=$E118, $I118*AE$57,0) + IF(AE$4&gt;$E118,MIN(AE118,$I118-SUM($J118:AE118)))</f>
        <v>4.0687242379522681</v>
      </c>
      <c r="AG118" s="2">
        <f>IF(AF$4=$E118, $I118*AF$57,0) + IF(AF$4&gt;$E118,MIN(AF118,$I118-SUM($J118:AF118)))</f>
        <v>4.0687242379522681</v>
      </c>
      <c r="AH118" s="2">
        <f>IF(AG$4=$E118, $I118*AG$57,0) + IF(AG$4&gt;$E118,MIN(AG118,$I118-SUM($J118:AG118)))</f>
        <v>4.0687242379522681</v>
      </c>
      <c r="AI118" s="2">
        <f>IF(AH$4=$E118, $I118*AH$57,0) + IF(AH$4&gt;$E118,MIN(AH118,$I118-SUM($J118:AH118)))</f>
        <v>4.0687242379522681</v>
      </c>
      <c r="AJ118" s="2">
        <f>IF(AI$4=$E118, $I118*AI$57,0) + IF(AI$4&gt;$E118,MIN(AI118,$I118-SUM($J118:AI118)))</f>
        <v>4.0687242379522681</v>
      </c>
      <c r="AK118" s="2">
        <f>IF(AJ$4=$E118, $I118*AJ$57,0) + IF(AJ$4&gt;$E118,MIN(AJ118,$I118-SUM($J118:AJ118)))</f>
        <v>4.0687242379522681</v>
      </c>
      <c r="AL118" s="2">
        <f>IF(AK$4=$E118, $I118*AK$57,0) + IF(AK$4&gt;$E118,MIN(AK118,$I118-SUM($J118:AK118)))</f>
        <v>4.0687242379522681</v>
      </c>
      <c r="AM118" s="2">
        <f>IF(AL$4=$E118, $I118*AL$57,0) + IF(AL$4&gt;$E118,MIN(AL118,$I118-SUM($J118:AL118)))</f>
        <v>4.0687242379522672</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5" outlineLevel="1">
      <c r="E119" s="44">
        <f>INDEX($K$4:$AV$4,,COUNT(E$109:E118)+1)</f>
        <v>36616</v>
      </c>
      <c r="G119" s="2" t="s">
        <v>105</v>
      </c>
      <c r="I119" s="2">
        <f t="shared" si="64"/>
        <v>86.472798316801928</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4.3236399158400962</v>
      </c>
      <c r="V119" s="2">
        <f>IF(U$4=$E119, $I119*U$57,0) + IF(U$4&gt;$E119,MIN(U119,$I119-SUM($J119:U119)))</f>
        <v>4.3236399158400962</v>
      </c>
      <c r="W119" s="2">
        <f>IF(V$4=$E119, $I119*V$57,0) + IF(V$4&gt;$E119,MIN(V119,$I119-SUM($J119:V119)))</f>
        <v>4.3236399158400962</v>
      </c>
      <c r="X119" s="2">
        <f>IF(W$4=$E119, $I119*W$57,0) + IF(W$4&gt;$E119,MIN(W119,$I119-SUM($J119:W119)))</f>
        <v>4.3236399158400962</v>
      </c>
      <c r="Y119" s="2">
        <f>IF(X$4=$E119, $I119*X$57,0) + IF(X$4&gt;$E119,MIN(X119,$I119-SUM($J119:X119)))</f>
        <v>4.3236399158400962</v>
      </c>
      <c r="Z119" s="2">
        <f>IF(Y$4=$E119, $I119*Y$57,0) + IF(Y$4&gt;$E119,MIN(Y119,$I119-SUM($J119:Y119)))</f>
        <v>4.3236399158400962</v>
      </c>
      <c r="AA119" s="2">
        <f>IF(Z$4=$E119, $I119*Z$57,0) + IF(Z$4&gt;$E119,MIN(Z119,$I119-SUM($J119:Z119)))</f>
        <v>4.3236399158400962</v>
      </c>
      <c r="AB119" s="2">
        <f>IF(AA$4=$E119, $I119*AA$57,0) + IF(AA$4&gt;$E119,MIN(AA119,$I119-SUM($J119:AA119)))</f>
        <v>4.3236399158400962</v>
      </c>
      <c r="AC119" s="2">
        <f>IF(AB$4=$E119, $I119*AB$57,0) + IF(AB$4&gt;$E119,MIN(AB119,$I119-SUM($J119:AB119)))</f>
        <v>4.3236399158400962</v>
      </c>
      <c r="AD119" s="2">
        <f>IF(AC$4=$E119, $I119*AC$57,0) + IF(AC$4&gt;$E119,MIN(AC119,$I119-SUM($J119:AC119)))</f>
        <v>4.3236399158400962</v>
      </c>
      <c r="AE119" s="2">
        <f>IF(AD$4=$E119, $I119*AD$57,0) + IF(AD$4&gt;$E119,MIN(AD119,$I119-SUM($J119:AD119)))</f>
        <v>4.3236399158400962</v>
      </c>
      <c r="AF119" s="2">
        <f>IF(AE$4=$E119, $I119*AE$57,0) + IF(AE$4&gt;$E119,MIN(AE119,$I119-SUM($J119:AE119)))</f>
        <v>4.3236399158400962</v>
      </c>
      <c r="AG119" s="2">
        <f>IF(AF$4=$E119, $I119*AF$57,0) + IF(AF$4&gt;$E119,MIN(AF119,$I119-SUM($J119:AF119)))</f>
        <v>4.3236399158400962</v>
      </c>
      <c r="AH119" s="2">
        <f>IF(AG$4=$E119, $I119*AG$57,0) + IF(AG$4&gt;$E119,MIN(AG119,$I119-SUM($J119:AG119)))</f>
        <v>4.3236399158400962</v>
      </c>
      <c r="AI119" s="2">
        <f>IF(AH$4=$E119, $I119*AH$57,0) + IF(AH$4&gt;$E119,MIN(AH119,$I119-SUM($J119:AH119)))</f>
        <v>4.3236399158400962</v>
      </c>
      <c r="AJ119" s="2">
        <f>IF(AI$4=$E119, $I119*AI$57,0) + IF(AI$4&gt;$E119,MIN(AI119,$I119-SUM($J119:AI119)))</f>
        <v>4.3236399158400962</v>
      </c>
      <c r="AK119" s="2">
        <f>IF(AJ$4=$E119, $I119*AJ$57,0) + IF(AJ$4&gt;$E119,MIN(AJ119,$I119-SUM($J119:AJ119)))</f>
        <v>4.3236399158400962</v>
      </c>
      <c r="AL119" s="2">
        <f>IF(AK$4=$E119, $I119*AK$57,0) + IF(AK$4&gt;$E119,MIN(AK119,$I119-SUM($J119:AK119)))</f>
        <v>4.3236399158400962</v>
      </c>
      <c r="AM119" s="2">
        <f>IF(AL$4=$E119, $I119*AL$57,0) + IF(AL$4&gt;$E119,MIN(AL119,$I119-SUM($J119:AL119)))</f>
        <v>4.3236399158400962</v>
      </c>
      <c r="AN119" s="2">
        <f>IF(AM$4=$E119, $I119*AM$57,0) + IF(AM$4&gt;$E119,MIN(AM119,$I119-SUM($J119:AM119)))</f>
        <v>4.3236399158400962</v>
      </c>
      <c r="AO119" s="2">
        <f>IF(AN$4=$E119, $I119*AN$57,0) + IF(AN$4&gt;$E119,MIN(AN119,$I119-SUM($J119:AN119)))</f>
        <v>2.8421709430404007E-14</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5" outlineLevel="1">
      <c r="E120" s="44">
        <f>INDEX($K$4:$AV$4,,COUNT(E$109:E119)+1)</f>
        <v>36981</v>
      </c>
      <c r="G120" s="2" t="s">
        <v>105</v>
      </c>
      <c r="I120" s="2">
        <f t="shared" si="64"/>
        <v>88.773713396244773</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4.438685669812239</v>
      </c>
      <c r="W120" s="2">
        <f>IF(V$4=$E120, $I120*V$57,0) + IF(V$4&gt;$E120,MIN(V120,$I120-SUM($J120:V120)))</f>
        <v>4.438685669812239</v>
      </c>
      <c r="X120" s="2">
        <f>IF(W$4=$E120, $I120*W$57,0) + IF(W$4&gt;$E120,MIN(W120,$I120-SUM($J120:W120)))</f>
        <v>4.438685669812239</v>
      </c>
      <c r="Y120" s="2">
        <f>IF(X$4=$E120, $I120*X$57,0) + IF(X$4&gt;$E120,MIN(X120,$I120-SUM($J120:X120)))</f>
        <v>4.438685669812239</v>
      </c>
      <c r="Z120" s="2">
        <f>IF(Y$4=$E120, $I120*Y$57,0) + IF(Y$4&gt;$E120,MIN(Y120,$I120-SUM($J120:Y120)))</f>
        <v>4.438685669812239</v>
      </c>
      <c r="AA120" s="2">
        <f>IF(Z$4=$E120, $I120*Z$57,0) + IF(Z$4&gt;$E120,MIN(Z120,$I120-SUM($J120:Z120)))</f>
        <v>4.438685669812239</v>
      </c>
      <c r="AB120" s="2">
        <f>IF(AA$4=$E120, $I120*AA$57,0) + IF(AA$4&gt;$E120,MIN(AA120,$I120-SUM($J120:AA120)))</f>
        <v>4.438685669812239</v>
      </c>
      <c r="AC120" s="2">
        <f>IF(AB$4=$E120, $I120*AB$57,0) + IF(AB$4&gt;$E120,MIN(AB120,$I120-SUM($J120:AB120)))</f>
        <v>4.438685669812239</v>
      </c>
      <c r="AD120" s="2">
        <f>IF(AC$4=$E120, $I120*AC$57,0) + IF(AC$4&gt;$E120,MIN(AC120,$I120-SUM($J120:AC120)))</f>
        <v>4.438685669812239</v>
      </c>
      <c r="AE120" s="2">
        <f>IF(AD$4=$E120, $I120*AD$57,0) + IF(AD$4&gt;$E120,MIN(AD120,$I120-SUM($J120:AD120)))</f>
        <v>4.438685669812239</v>
      </c>
      <c r="AF120" s="2">
        <f>IF(AE$4=$E120, $I120*AE$57,0) + IF(AE$4&gt;$E120,MIN(AE120,$I120-SUM($J120:AE120)))</f>
        <v>4.438685669812239</v>
      </c>
      <c r="AG120" s="2">
        <f>IF(AF$4=$E120, $I120*AF$57,0) + IF(AF$4&gt;$E120,MIN(AF120,$I120-SUM($J120:AF120)))</f>
        <v>4.438685669812239</v>
      </c>
      <c r="AH120" s="2">
        <f>IF(AG$4=$E120, $I120*AG$57,0) + IF(AG$4&gt;$E120,MIN(AG120,$I120-SUM($J120:AG120)))</f>
        <v>4.438685669812239</v>
      </c>
      <c r="AI120" s="2">
        <f>IF(AH$4=$E120, $I120*AH$57,0) + IF(AH$4&gt;$E120,MIN(AH120,$I120-SUM($J120:AH120)))</f>
        <v>4.438685669812239</v>
      </c>
      <c r="AJ120" s="2">
        <f>IF(AI$4=$E120, $I120*AI$57,0) + IF(AI$4&gt;$E120,MIN(AI120,$I120-SUM($J120:AI120)))</f>
        <v>4.438685669812239</v>
      </c>
      <c r="AK120" s="2">
        <f>IF(AJ$4=$E120, $I120*AJ$57,0) + IF(AJ$4&gt;$E120,MIN(AJ120,$I120-SUM($J120:AJ120)))</f>
        <v>4.438685669812239</v>
      </c>
      <c r="AL120" s="2">
        <f>IF(AK$4=$E120, $I120*AK$57,0) + IF(AK$4&gt;$E120,MIN(AK120,$I120-SUM($J120:AK120)))</f>
        <v>4.438685669812239</v>
      </c>
      <c r="AM120" s="2">
        <f>IF(AL$4=$E120, $I120*AL$57,0) + IF(AL$4&gt;$E120,MIN(AL120,$I120-SUM($J120:AL120)))</f>
        <v>4.438685669812239</v>
      </c>
      <c r="AN120" s="2">
        <f>IF(AM$4=$E120, $I120*AM$57,0) + IF(AM$4&gt;$E120,MIN(AM120,$I120-SUM($J120:AM120)))</f>
        <v>4.438685669812239</v>
      </c>
      <c r="AO120" s="2">
        <f>IF(AN$4=$E120, $I120*AN$57,0) + IF(AN$4&gt;$E120,MIN(AN120,$I120-SUM($J120:AN120)))</f>
        <v>4.4386856698122301</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5" outlineLevel="1">
      <c r="E121" s="44">
        <f>INDEX($K$4:$AV$4,,COUNT(E$109:E120)+1)</f>
        <v>37346</v>
      </c>
      <c r="G121" s="2" t="s">
        <v>105</v>
      </c>
      <c r="I121" s="2">
        <f t="shared" si="64"/>
        <v>99.987059669302653</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4.9993529834651333</v>
      </c>
      <c r="X121" s="2">
        <f>IF(W$4=$E121, $I121*W$57,0) + IF(W$4&gt;$E121,MIN(W121,$I121-SUM($J121:W121)))</f>
        <v>4.9993529834651333</v>
      </c>
      <c r="Y121" s="2">
        <f>IF(X$4=$E121, $I121*X$57,0) + IF(X$4&gt;$E121,MIN(X121,$I121-SUM($J121:X121)))</f>
        <v>4.9993529834651333</v>
      </c>
      <c r="Z121" s="2">
        <f>IF(Y$4=$E121, $I121*Y$57,0) + IF(Y$4&gt;$E121,MIN(Y121,$I121-SUM($J121:Y121)))</f>
        <v>4.9993529834651333</v>
      </c>
      <c r="AA121" s="2">
        <f>IF(Z$4=$E121, $I121*Z$57,0) + IF(Z$4&gt;$E121,MIN(Z121,$I121-SUM($J121:Z121)))</f>
        <v>4.9993529834651333</v>
      </c>
      <c r="AB121" s="2">
        <f>IF(AA$4=$E121, $I121*AA$57,0) + IF(AA$4&gt;$E121,MIN(AA121,$I121-SUM($J121:AA121)))</f>
        <v>4.9993529834651333</v>
      </c>
      <c r="AC121" s="2">
        <f>IF(AB$4=$E121, $I121*AB$57,0) + IF(AB$4&gt;$E121,MIN(AB121,$I121-SUM($J121:AB121)))</f>
        <v>4.9993529834651333</v>
      </c>
      <c r="AD121" s="2">
        <f>IF(AC$4=$E121, $I121*AC$57,0) + IF(AC$4&gt;$E121,MIN(AC121,$I121-SUM($J121:AC121)))</f>
        <v>4.9993529834651333</v>
      </c>
      <c r="AE121" s="2">
        <f>IF(AD$4=$E121, $I121*AD$57,0) + IF(AD$4&gt;$E121,MIN(AD121,$I121-SUM($J121:AD121)))</f>
        <v>4.9993529834651333</v>
      </c>
      <c r="AF121" s="2">
        <f>IF(AE$4=$E121, $I121*AE$57,0) + IF(AE$4&gt;$E121,MIN(AE121,$I121-SUM($J121:AE121)))</f>
        <v>4.9993529834651333</v>
      </c>
      <c r="AG121" s="2">
        <f>IF(AF$4=$E121, $I121*AF$57,0) + IF(AF$4&gt;$E121,MIN(AF121,$I121-SUM($J121:AF121)))</f>
        <v>4.9993529834651333</v>
      </c>
      <c r="AH121" s="2">
        <f>IF(AG$4=$E121, $I121*AG$57,0) + IF(AG$4&gt;$E121,MIN(AG121,$I121-SUM($J121:AG121)))</f>
        <v>4.9993529834651333</v>
      </c>
      <c r="AI121" s="2">
        <f>IF(AH$4=$E121, $I121*AH$57,0) + IF(AH$4&gt;$E121,MIN(AH121,$I121-SUM($J121:AH121)))</f>
        <v>4.9993529834651333</v>
      </c>
      <c r="AJ121" s="2">
        <f>IF(AI$4=$E121, $I121*AI$57,0) + IF(AI$4&gt;$E121,MIN(AI121,$I121-SUM($J121:AI121)))</f>
        <v>4.9993529834651333</v>
      </c>
      <c r="AK121" s="2">
        <f>IF(AJ$4=$E121, $I121*AJ$57,0) + IF(AJ$4&gt;$E121,MIN(AJ121,$I121-SUM($J121:AJ121)))</f>
        <v>4.9993529834651333</v>
      </c>
      <c r="AL121" s="2">
        <f>IF(AK$4=$E121, $I121*AK$57,0) + IF(AK$4&gt;$E121,MIN(AK121,$I121-SUM($J121:AK121)))</f>
        <v>4.9993529834651333</v>
      </c>
      <c r="AM121" s="2">
        <f>IF(AL$4=$E121, $I121*AL$57,0) + IF(AL$4&gt;$E121,MIN(AL121,$I121-SUM($J121:AL121)))</f>
        <v>4.9993529834651333</v>
      </c>
      <c r="AN121" s="2">
        <f>IF(AM$4=$E121, $I121*AM$57,0) + IF(AM$4&gt;$E121,MIN(AM121,$I121-SUM($J121:AM121)))</f>
        <v>4.9993529834651333</v>
      </c>
      <c r="AO121" s="2">
        <f>IF(AN$4=$E121, $I121*AN$57,0) + IF(AN$4&gt;$E121,MIN(AN121,$I121-SUM($J121:AN121)))</f>
        <v>4.9993529834651333</v>
      </c>
      <c r="AP121" s="2">
        <f>IF(AO$4=$E121, $I121*AO$57,0) + IF(AO$4&gt;$E121,MIN(AO121,$I121-SUM($J121:AO121)))</f>
        <v>4.9993529834651333</v>
      </c>
      <c r="AQ121" s="57">
        <f>IF(AP$4=$E121, $I121*AP$57,0) + IF(AP$4&gt;$E121,MIN(AP121,$I121-SUM($J121:AP121)))</f>
        <v>2.8421709430404007E-14</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5" outlineLevel="1">
      <c r="E122" s="44">
        <f>INDEX($K$4:$AV$4,,COUNT(E$109:E121)+1)</f>
        <v>37711</v>
      </c>
      <c r="G122" s="2" t="s">
        <v>105</v>
      </c>
      <c r="I122" s="2">
        <f t="shared" si="64"/>
        <v>92.334630861645195</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4.6167315430822597</v>
      </c>
      <c r="Y122" s="2">
        <f>IF(X$4=$E122, $I122*X$57,0) + IF(X$4&gt;$E122,MIN(X122,$I122-SUM($J122:X122)))</f>
        <v>4.6167315430822597</v>
      </c>
      <c r="Z122" s="2">
        <f>IF(Y$4=$E122, $I122*Y$57,0) + IF(Y$4&gt;$E122,MIN(Y122,$I122-SUM($J122:Y122)))</f>
        <v>4.6167315430822597</v>
      </c>
      <c r="AA122" s="2">
        <f>IF(Z$4=$E122, $I122*Z$57,0) + IF(Z$4&gt;$E122,MIN(Z122,$I122-SUM($J122:Z122)))</f>
        <v>4.6167315430822597</v>
      </c>
      <c r="AB122" s="2">
        <f>IF(AA$4=$E122, $I122*AA$57,0) + IF(AA$4&gt;$E122,MIN(AA122,$I122-SUM($J122:AA122)))</f>
        <v>4.6167315430822597</v>
      </c>
      <c r="AC122" s="2">
        <f>IF(AB$4=$E122, $I122*AB$57,0) + IF(AB$4&gt;$E122,MIN(AB122,$I122-SUM($J122:AB122)))</f>
        <v>4.6167315430822597</v>
      </c>
      <c r="AD122" s="2">
        <f>IF(AC$4=$E122, $I122*AC$57,0) + IF(AC$4&gt;$E122,MIN(AC122,$I122-SUM($J122:AC122)))</f>
        <v>4.6167315430822597</v>
      </c>
      <c r="AE122" s="2">
        <f>IF(AD$4=$E122, $I122*AD$57,0) + IF(AD$4&gt;$E122,MIN(AD122,$I122-SUM($J122:AD122)))</f>
        <v>4.6167315430822597</v>
      </c>
      <c r="AF122" s="2">
        <f>IF(AE$4=$E122, $I122*AE$57,0) + IF(AE$4&gt;$E122,MIN(AE122,$I122-SUM($J122:AE122)))</f>
        <v>4.6167315430822597</v>
      </c>
      <c r="AG122" s="2">
        <f>IF(AF$4=$E122, $I122*AF$57,0) + IF(AF$4&gt;$E122,MIN(AF122,$I122-SUM($J122:AF122)))</f>
        <v>4.6167315430822597</v>
      </c>
      <c r="AH122" s="2">
        <f>IF(AG$4=$E122, $I122*AG$57,0) + IF(AG$4&gt;$E122,MIN(AG122,$I122-SUM($J122:AG122)))</f>
        <v>4.6167315430822597</v>
      </c>
      <c r="AI122" s="2">
        <f>IF(AH$4=$E122, $I122*AH$57,0) + IF(AH$4&gt;$E122,MIN(AH122,$I122-SUM($J122:AH122)))</f>
        <v>4.6167315430822597</v>
      </c>
      <c r="AJ122" s="2">
        <f>IF(AI$4=$E122, $I122*AI$57,0) + IF(AI$4&gt;$E122,MIN(AI122,$I122-SUM($J122:AI122)))</f>
        <v>4.6167315430822597</v>
      </c>
      <c r="AK122" s="2">
        <f>IF(AJ$4=$E122, $I122*AJ$57,0) + IF(AJ$4&gt;$E122,MIN(AJ122,$I122-SUM($J122:AJ122)))</f>
        <v>4.6167315430822597</v>
      </c>
      <c r="AL122" s="2">
        <f>IF(AK$4=$E122, $I122*AK$57,0) + IF(AK$4&gt;$E122,MIN(AK122,$I122-SUM($J122:AK122)))</f>
        <v>4.6167315430822597</v>
      </c>
      <c r="AM122" s="2">
        <f>IF(AL$4=$E122, $I122*AL$57,0) + IF(AL$4&gt;$E122,MIN(AL122,$I122-SUM($J122:AL122)))</f>
        <v>4.6167315430822597</v>
      </c>
      <c r="AN122" s="2">
        <f>IF(AM$4=$E122, $I122*AM$57,0) + IF(AM$4&gt;$E122,MIN(AM122,$I122-SUM($J122:AM122)))</f>
        <v>4.6167315430822597</v>
      </c>
      <c r="AO122" s="2">
        <f>IF(AN$4=$E122, $I122*AN$57,0) + IF(AN$4&gt;$E122,MIN(AN122,$I122-SUM($J122:AN122)))</f>
        <v>4.6167315430822597</v>
      </c>
      <c r="AP122" s="2">
        <f>IF(AO$4=$E122, $I122*AO$57,0) + IF(AO$4&gt;$E122,MIN(AO122,$I122-SUM($J122:AO122)))</f>
        <v>4.6167315430822597</v>
      </c>
      <c r="AQ122" s="57">
        <f>IF(AP$4=$E122, $I122*AP$57,0) + IF(AP$4&gt;$E122,MIN(AP122,$I122-SUM($J122:AP122)))</f>
        <v>4.6167315430822384</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5" outlineLevel="1">
      <c r="E123" s="44">
        <f>INDEX($K$4:$AV$4,,COUNT(E$109:E122)+1)</f>
        <v>38077</v>
      </c>
      <c r="G123" s="2" t="s">
        <v>105</v>
      </c>
      <c r="I123" s="2">
        <f t="shared" si="64"/>
        <v>97.405183056914325</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4.8702591528457164</v>
      </c>
      <c r="Z123" s="2">
        <f>IF(Y$4=$E123, $I123*Y$57,0) + IF(Y$4&gt;$E123,MIN(Y123,$I123-SUM($J123:Y123)))</f>
        <v>4.8702591528457164</v>
      </c>
      <c r="AA123" s="2">
        <f>IF(Z$4=$E123, $I123*Z$57,0) + IF(Z$4&gt;$E123,MIN(Z123,$I123-SUM($J123:Z123)))</f>
        <v>4.8702591528457164</v>
      </c>
      <c r="AB123" s="2">
        <f>IF(AA$4=$E123, $I123*AA$57,0) + IF(AA$4&gt;$E123,MIN(AA123,$I123-SUM($J123:AA123)))</f>
        <v>4.8702591528457164</v>
      </c>
      <c r="AC123" s="2">
        <f>IF(AB$4=$E123, $I123*AB$57,0) + IF(AB$4&gt;$E123,MIN(AB123,$I123-SUM($J123:AB123)))</f>
        <v>4.8702591528457164</v>
      </c>
      <c r="AD123" s="2">
        <f>IF(AC$4=$E123, $I123*AC$57,0) + IF(AC$4&gt;$E123,MIN(AC123,$I123-SUM($J123:AC123)))</f>
        <v>4.8702591528457164</v>
      </c>
      <c r="AE123" s="2">
        <f>IF(AD$4=$E123, $I123*AD$57,0) + IF(AD$4&gt;$E123,MIN(AD123,$I123-SUM($J123:AD123)))</f>
        <v>4.8702591528457164</v>
      </c>
      <c r="AF123" s="2">
        <f>IF(AE$4=$E123, $I123*AE$57,0) + IF(AE$4&gt;$E123,MIN(AE123,$I123-SUM($J123:AE123)))</f>
        <v>4.8702591528457164</v>
      </c>
      <c r="AG123" s="2">
        <f>IF(AF$4=$E123, $I123*AF$57,0) + IF(AF$4&gt;$E123,MIN(AF123,$I123-SUM($J123:AF123)))</f>
        <v>4.8702591528457164</v>
      </c>
      <c r="AH123" s="2">
        <f>IF(AG$4=$E123, $I123*AG$57,0) + IF(AG$4&gt;$E123,MIN(AG123,$I123-SUM($J123:AG123)))</f>
        <v>4.8702591528457164</v>
      </c>
      <c r="AI123" s="2">
        <f>IF(AH$4=$E123, $I123*AH$57,0) + IF(AH$4&gt;$E123,MIN(AH123,$I123-SUM($J123:AH123)))</f>
        <v>4.8702591528457164</v>
      </c>
      <c r="AJ123" s="2">
        <f>IF(AI$4=$E123, $I123*AI$57,0) + IF(AI$4&gt;$E123,MIN(AI123,$I123-SUM($J123:AI123)))</f>
        <v>4.8702591528457164</v>
      </c>
      <c r="AK123" s="2">
        <f>IF(AJ$4=$E123, $I123*AJ$57,0) + IF(AJ$4&gt;$E123,MIN(AJ123,$I123-SUM($J123:AJ123)))</f>
        <v>4.8702591528457164</v>
      </c>
      <c r="AL123" s="2">
        <f>IF(AK$4=$E123, $I123*AK$57,0) + IF(AK$4&gt;$E123,MIN(AK123,$I123-SUM($J123:AK123)))</f>
        <v>4.8702591528457164</v>
      </c>
      <c r="AM123" s="2">
        <f>IF(AL$4=$E123, $I123*AL$57,0) + IF(AL$4&gt;$E123,MIN(AL123,$I123-SUM($J123:AL123)))</f>
        <v>4.8702591528457164</v>
      </c>
      <c r="AN123" s="2">
        <f>IF(AM$4=$E123, $I123*AM$57,0) + IF(AM$4&gt;$E123,MIN(AM123,$I123-SUM($J123:AM123)))</f>
        <v>4.8702591528457164</v>
      </c>
      <c r="AO123" s="2">
        <f>IF(AN$4=$E123, $I123*AN$57,0) + IF(AN$4&gt;$E123,MIN(AN123,$I123-SUM($J123:AN123)))</f>
        <v>4.8702591528457164</v>
      </c>
      <c r="AP123" s="2">
        <f>IF(AO$4=$E123, $I123*AO$57,0) + IF(AO$4&gt;$E123,MIN(AO123,$I123-SUM($J123:AO123)))</f>
        <v>4.8702591528457164</v>
      </c>
      <c r="AQ123" s="57">
        <f>IF(AP$4=$E123, $I123*AP$57,0) + IF(AP$4&gt;$E123,MIN(AP123,$I123-SUM($J123:AP123)))</f>
        <v>4.8702591528457164</v>
      </c>
      <c r="AR123" s="2">
        <f>IF(AQ$4=$E123, $I123*AQ$57,0) + IF(AQ$4&gt;$E123,MIN(AQ123,$I123-SUM($J123:AQ123)))</f>
        <v>4.8702591528456907</v>
      </c>
      <c r="AS123" s="2">
        <f>IF(AR$4=$E123, $I123*AR$57,0) + IF(AR$4&gt;$E123,MIN(AR123,$I123-SUM($J123:AR123)))</f>
        <v>0</v>
      </c>
      <c r="AT123" s="2">
        <f>IF(AS$4=$E123, $I123*AS$57,0) + IF(AS$4&gt;$E123,MIN(AS123,$I123-SUM($J123:AS123)))</f>
        <v>0</v>
      </c>
      <c r="AU123" s="2">
        <f>IF(AT$4=$E123, $I123*AT$57,0) + IF(AT$4&gt;$E123,MIN(AT123,$I123-SUM($J123:AT123)))</f>
        <v>0</v>
      </c>
      <c r="AV123" s="2">
        <f>IF(AU$4=$E123, $I123*AU$57,0) + IF(AU$4&gt;$E123,MIN(AU123,$I123-SUM($J123:AU123)))</f>
        <v>0</v>
      </c>
      <c r="AW123" s="2"/>
    </row>
    <row r="124" spans="5:49" ht="15" outlineLevel="1">
      <c r="E124" s="44">
        <f>INDEX($K$4:$AV$4,,COUNT(E$109:E123)+1)</f>
        <v>38442</v>
      </c>
      <c r="G124" s="2" t="s">
        <v>105</v>
      </c>
      <c r="I124" s="2">
        <f t="shared" si="64"/>
        <v>91.254455029953064</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4.5627227514976534</v>
      </c>
      <c r="AA124" s="2">
        <f>IF(Z$4=$E124, $I124*Z$57,0) + IF(Z$4&gt;$E124,MIN(Z124,$I124-SUM($J124:Z124)))</f>
        <v>4.5627227514976534</v>
      </c>
      <c r="AB124" s="2">
        <f>IF(AA$4=$E124, $I124*AA$57,0) + IF(AA$4&gt;$E124,MIN(AA124,$I124-SUM($J124:AA124)))</f>
        <v>4.5627227514976534</v>
      </c>
      <c r="AC124" s="2">
        <f>IF(AB$4=$E124, $I124*AB$57,0) + IF(AB$4&gt;$E124,MIN(AB124,$I124-SUM($J124:AB124)))</f>
        <v>4.5627227514976534</v>
      </c>
      <c r="AD124" s="2">
        <f>IF(AC$4=$E124, $I124*AC$57,0) + IF(AC$4&gt;$E124,MIN(AC124,$I124-SUM($J124:AC124)))</f>
        <v>4.5627227514976534</v>
      </c>
      <c r="AE124" s="2">
        <f>IF(AD$4=$E124, $I124*AD$57,0) + IF(AD$4&gt;$E124,MIN(AD124,$I124-SUM($J124:AD124)))</f>
        <v>4.5627227514976534</v>
      </c>
      <c r="AF124" s="2">
        <f>IF(AE$4=$E124, $I124*AE$57,0) + IF(AE$4&gt;$E124,MIN(AE124,$I124-SUM($J124:AE124)))</f>
        <v>4.5627227514976534</v>
      </c>
      <c r="AG124" s="2">
        <f>IF(AF$4=$E124, $I124*AF$57,0) + IF(AF$4&gt;$E124,MIN(AF124,$I124-SUM($J124:AF124)))</f>
        <v>4.5627227514976534</v>
      </c>
      <c r="AH124" s="2">
        <f>IF(AG$4=$E124, $I124*AG$57,0) + IF(AG$4&gt;$E124,MIN(AG124,$I124-SUM($J124:AG124)))</f>
        <v>4.5627227514976534</v>
      </c>
      <c r="AI124" s="2">
        <f>IF(AH$4=$E124, $I124*AH$57,0) + IF(AH$4&gt;$E124,MIN(AH124,$I124-SUM($J124:AH124)))</f>
        <v>4.5627227514976534</v>
      </c>
      <c r="AJ124" s="2">
        <f>IF(AI$4=$E124, $I124*AI$57,0) + IF(AI$4&gt;$E124,MIN(AI124,$I124-SUM($J124:AI124)))</f>
        <v>4.5627227514976534</v>
      </c>
      <c r="AK124" s="2">
        <f>IF(AJ$4=$E124, $I124*AJ$57,0) + IF(AJ$4&gt;$E124,MIN(AJ124,$I124-SUM($J124:AJ124)))</f>
        <v>4.5627227514976534</v>
      </c>
      <c r="AL124" s="2">
        <f>IF(AK$4=$E124, $I124*AK$57,0) + IF(AK$4&gt;$E124,MIN(AK124,$I124-SUM($J124:AK124)))</f>
        <v>4.5627227514976534</v>
      </c>
      <c r="AM124" s="2">
        <f>IF(AL$4=$E124, $I124*AL$57,0) + IF(AL$4&gt;$E124,MIN(AL124,$I124-SUM($J124:AL124)))</f>
        <v>4.5627227514976534</v>
      </c>
      <c r="AN124" s="2">
        <f>IF(AM$4=$E124, $I124*AM$57,0) + IF(AM$4&gt;$E124,MIN(AM124,$I124-SUM($J124:AM124)))</f>
        <v>4.5627227514976534</v>
      </c>
      <c r="AO124" s="2">
        <f>IF(AN$4=$E124, $I124*AN$57,0) + IF(AN$4&gt;$E124,MIN(AN124,$I124-SUM($J124:AN124)))</f>
        <v>4.5627227514976534</v>
      </c>
      <c r="AP124" s="2">
        <f>IF(AO$4=$E124, $I124*AO$57,0) + IF(AO$4&gt;$E124,MIN(AO124,$I124-SUM($J124:AO124)))</f>
        <v>4.5627227514976534</v>
      </c>
      <c r="AQ124" s="57">
        <f>IF(AP$4=$E124, $I124*AP$57,0) + IF(AP$4&gt;$E124,MIN(AP124,$I124-SUM($J124:AP124)))</f>
        <v>4.5627227514976534</v>
      </c>
      <c r="AR124" s="2">
        <f>IF(AQ$4=$E124, $I124*AQ$57,0) + IF(AQ$4&gt;$E124,MIN(AQ124,$I124-SUM($J124:AQ124)))</f>
        <v>4.5627227514976534</v>
      </c>
      <c r="AS124" s="2">
        <f>IF(AR$4=$E124, $I124*AR$57,0) + IF(AR$4&gt;$E124,MIN(AR124,$I124-SUM($J124:AR124)))</f>
        <v>4.5627227514976312</v>
      </c>
      <c r="AT124" s="2">
        <f>IF(AS$4=$E124, $I124*AS$57,0) + IF(AS$4&gt;$E124,MIN(AS124,$I124-SUM($J124:AS124)))</f>
        <v>0</v>
      </c>
      <c r="AU124" s="2">
        <f>IF(AT$4=$E124, $I124*AT$57,0) + IF(AT$4&gt;$E124,MIN(AT124,$I124-SUM($J124:AT124)))</f>
        <v>0</v>
      </c>
      <c r="AV124" s="2">
        <f>IF(AU$4=$E124, $I124*AU$57,0) + IF(AU$4&gt;$E124,MIN(AU124,$I124-SUM($J124:AU124)))</f>
        <v>0</v>
      </c>
      <c r="AW124" s="2"/>
    </row>
    <row r="125" spans="5:49" ht="15" outlineLevel="1">
      <c r="E125" s="44">
        <f>INDEX($K$4:$AV$4,,COUNT(E$109:E124)+1)</f>
        <v>38807</v>
      </c>
      <c r="G125" s="2" t="s">
        <v>105</v>
      </c>
      <c r="I125" s="2">
        <f t="shared" si="64"/>
        <v>107.8513973764981</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5.3925698688249053</v>
      </c>
      <c r="AB125" s="2">
        <f>IF(AA$4=$E125, $I125*AA$57,0) + IF(AA$4&gt;$E125,MIN(AA125,$I125-SUM($J125:AA125)))</f>
        <v>5.3925698688249053</v>
      </c>
      <c r="AC125" s="2">
        <f>IF(AB$4=$E125, $I125*AB$57,0) + IF(AB$4&gt;$E125,MIN(AB125,$I125-SUM($J125:AB125)))</f>
        <v>5.3925698688249053</v>
      </c>
      <c r="AD125" s="2">
        <f>IF(AC$4=$E125, $I125*AC$57,0) + IF(AC$4&gt;$E125,MIN(AC125,$I125-SUM($J125:AC125)))</f>
        <v>5.3925698688249053</v>
      </c>
      <c r="AE125" s="2">
        <f>IF(AD$4=$E125, $I125*AD$57,0) + IF(AD$4&gt;$E125,MIN(AD125,$I125-SUM($J125:AD125)))</f>
        <v>5.3925698688249053</v>
      </c>
      <c r="AF125" s="2">
        <f>IF(AE$4=$E125, $I125*AE$57,0) + IF(AE$4&gt;$E125,MIN(AE125,$I125-SUM($J125:AE125)))</f>
        <v>5.3925698688249053</v>
      </c>
      <c r="AG125" s="2">
        <f>IF(AF$4=$E125, $I125*AF$57,0) + IF(AF$4&gt;$E125,MIN(AF125,$I125-SUM($J125:AF125)))</f>
        <v>5.3925698688249053</v>
      </c>
      <c r="AH125" s="2">
        <f>IF(AG$4=$E125, $I125*AG$57,0) + IF(AG$4&gt;$E125,MIN(AG125,$I125-SUM($J125:AG125)))</f>
        <v>5.3925698688249053</v>
      </c>
      <c r="AI125" s="2">
        <f>IF(AH$4=$E125, $I125*AH$57,0) + IF(AH$4&gt;$E125,MIN(AH125,$I125-SUM($J125:AH125)))</f>
        <v>5.3925698688249053</v>
      </c>
      <c r="AJ125" s="2">
        <f>IF(AI$4=$E125, $I125*AI$57,0) + IF(AI$4&gt;$E125,MIN(AI125,$I125-SUM($J125:AI125)))</f>
        <v>5.3925698688249053</v>
      </c>
      <c r="AK125" s="2">
        <f>IF(AJ$4=$E125, $I125*AJ$57,0) + IF(AJ$4&gt;$E125,MIN(AJ125,$I125-SUM($J125:AJ125)))</f>
        <v>5.3925698688249053</v>
      </c>
      <c r="AL125" s="2">
        <f>IF(AK$4=$E125, $I125*AK$57,0) + IF(AK$4&gt;$E125,MIN(AK125,$I125-SUM($J125:AK125)))</f>
        <v>5.3925698688249053</v>
      </c>
      <c r="AM125" s="2">
        <f>IF(AL$4=$E125, $I125*AL$57,0) + IF(AL$4&gt;$E125,MIN(AL125,$I125-SUM($J125:AL125)))</f>
        <v>5.3925698688249053</v>
      </c>
      <c r="AN125" s="2">
        <f>IF(AM$4=$E125, $I125*AM$57,0) + IF(AM$4&gt;$E125,MIN(AM125,$I125-SUM($J125:AM125)))</f>
        <v>5.3925698688249053</v>
      </c>
      <c r="AO125" s="2">
        <f>IF(AN$4=$E125, $I125*AN$57,0) + IF(AN$4&gt;$E125,MIN(AN125,$I125-SUM($J125:AN125)))</f>
        <v>5.3925698688249053</v>
      </c>
      <c r="AP125" s="2">
        <f>IF(AO$4=$E125, $I125*AO$57,0) + IF(AO$4&gt;$E125,MIN(AO125,$I125-SUM($J125:AO125)))</f>
        <v>5.3925698688249053</v>
      </c>
      <c r="AQ125" s="57">
        <f>IF(AP$4=$E125, $I125*AP$57,0) + IF(AP$4&gt;$E125,MIN(AP125,$I125-SUM($J125:AP125)))</f>
        <v>5.3925698688249053</v>
      </c>
      <c r="AR125" s="2">
        <f>IF(AQ$4=$E125, $I125*AQ$57,0) + IF(AQ$4&gt;$E125,MIN(AQ125,$I125-SUM($J125:AQ125)))</f>
        <v>5.3925698688249053</v>
      </c>
      <c r="AS125" s="2">
        <f>IF(AR$4=$E125, $I125*AR$57,0) + IF(AR$4&gt;$E125,MIN(AR125,$I125-SUM($J125:AR125)))</f>
        <v>5.3925698688249053</v>
      </c>
      <c r="AT125" s="2">
        <f>IF(AS$4=$E125, $I125*AS$57,0) + IF(AS$4&gt;$E125,MIN(AS125,$I125-SUM($J125:AS125)))</f>
        <v>5.3925698688248787</v>
      </c>
      <c r="AU125" s="2">
        <f>IF(AT$4=$E125, $I125*AT$57,0) + IF(AT$4&gt;$E125,MIN(AT125,$I125-SUM($J125:AT125)))</f>
        <v>0</v>
      </c>
      <c r="AV125" s="2">
        <f>IF(AU$4=$E125, $I125*AU$57,0) + IF(AU$4&gt;$E125,MIN(AU125,$I125-SUM($J125:AU125)))</f>
        <v>0</v>
      </c>
      <c r="AW125" s="2"/>
    </row>
    <row r="126" spans="5:49" ht="15" outlineLevel="1">
      <c r="E126" s="44">
        <f>INDEX($K$4:$AV$4,,COUNT(E$109:E125)+1)</f>
        <v>39172</v>
      </c>
      <c r="G126" s="2" t="s">
        <v>105</v>
      </c>
      <c r="I126" s="2">
        <f t="shared" si="64"/>
        <v>112.7814106362575</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5.6390705318128758</v>
      </c>
      <c r="AC126" s="2">
        <f>IF(AB$4=$E126, $I126*AB$57,0) + IF(AB$4&gt;$E126,MIN(AB126,$I126-SUM($J126:AB126)))</f>
        <v>5.6390705318128758</v>
      </c>
      <c r="AD126" s="2">
        <f>IF(AC$4=$E126, $I126*AC$57,0) + IF(AC$4&gt;$E126,MIN(AC126,$I126-SUM($J126:AC126)))</f>
        <v>5.6390705318128758</v>
      </c>
      <c r="AE126" s="2">
        <f>IF(AD$4=$E126, $I126*AD$57,0) + IF(AD$4&gt;$E126,MIN(AD126,$I126-SUM($J126:AD126)))</f>
        <v>5.6390705318128758</v>
      </c>
      <c r="AF126" s="2">
        <f>IF(AE$4=$E126, $I126*AE$57,0) + IF(AE$4&gt;$E126,MIN(AE126,$I126-SUM($J126:AE126)))</f>
        <v>5.6390705318128758</v>
      </c>
      <c r="AG126" s="2">
        <f>IF(AF$4=$E126, $I126*AF$57,0) + IF(AF$4&gt;$E126,MIN(AF126,$I126-SUM($J126:AF126)))</f>
        <v>5.6390705318128758</v>
      </c>
      <c r="AH126" s="2">
        <f>IF(AG$4=$E126, $I126*AG$57,0) + IF(AG$4&gt;$E126,MIN(AG126,$I126-SUM($J126:AG126)))</f>
        <v>5.6390705318128758</v>
      </c>
      <c r="AI126" s="2">
        <f>IF(AH$4=$E126, $I126*AH$57,0) + IF(AH$4&gt;$E126,MIN(AH126,$I126-SUM($J126:AH126)))</f>
        <v>5.6390705318128758</v>
      </c>
      <c r="AJ126" s="2">
        <f>IF(AI$4=$E126, $I126*AI$57,0) + IF(AI$4&gt;$E126,MIN(AI126,$I126-SUM($J126:AI126)))</f>
        <v>5.6390705318128758</v>
      </c>
      <c r="AK126" s="2">
        <f>IF(AJ$4=$E126, $I126*AJ$57,0) + IF(AJ$4&gt;$E126,MIN(AJ126,$I126-SUM($J126:AJ126)))</f>
        <v>5.6390705318128758</v>
      </c>
      <c r="AL126" s="2">
        <f>IF(AK$4=$E126, $I126*AK$57,0) + IF(AK$4&gt;$E126,MIN(AK126,$I126-SUM($J126:AK126)))</f>
        <v>5.6390705318128758</v>
      </c>
      <c r="AM126" s="2">
        <f>IF(AL$4=$E126, $I126*AL$57,0) + IF(AL$4&gt;$E126,MIN(AL126,$I126-SUM($J126:AL126)))</f>
        <v>5.6390705318128758</v>
      </c>
      <c r="AN126" s="2">
        <f>IF(AM$4=$E126, $I126*AM$57,0) + IF(AM$4&gt;$E126,MIN(AM126,$I126-SUM($J126:AM126)))</f>
        <v>5.6390705318128758</v>
      </c>
      <c r="AO126" s="2">
        <f>IF(AN$4=$E126, $I126*AN$57,0) + IF(AN$4&gt;$E126,MIN(AN126,$I126-SUM($J126:AN126)))</f>
        <v>5.6390705318128758</v>
      </c>
      <c r="AP126" s="2">
        <f>IF(AO$4=$E126, $I126*AO$57,0) + IF(AO$4&gt;$E126,MIN(AO126,$I126-SUM($J126:AO126)))</f>
        <v>5.6390705318128758</v>
      </c>
      <c r="AQ126" s="57">
        <f>IF(AP$4=$E126, $I126*AP$57,0) + IF(AP$4&gt;$E126,MIN(AP126,$I126-SUM($J126:AP126)))</f>
        <v>5.6390705318128758</v>
      </c>
      <c r="AR126" s="2">
        <f>IF(AQ$4=$E126, $I126*AQ$57,0) + IF(AQ$4&gt;$E126,MIN(AQ126,$I126-SUM($J126:AQ126)))</f>
        <v>5.6390705318128758</v>
      </c>
      <c r="AS126" s="2">
        <f>IF(AR$4=$E126, $I126*AR$57,0) + IF(AR$4&gt;$E126,MIN(AR126,$I126-SUM($J126:AR126)))</f>
        <v>5.6390705318128758</v>
      </c>
      <c r="AT126" s="2">
        <f>IF(AS$4=$E126, $I126*AS$57,0) + IF(AS$4&gt;$E126,MIN(AS126,$I126-SUM($J126:AS126)))</f>
        <v>5.6390705318128758</v>
      </c>
      <c r="AU126" s="2">
        <f>IF(AT$4=$E126, $I126*AT$57,0) + IF(AT$4&gt;$E126,MIN(AT126,$I126-SUM($J126:AT126)))</f>
        <v>5.6390705318128624</v>
      </c>
      <c r="AV126" s="2">
        <f>IF(AU$4=$E126, $I126*AU$57,0) + IF(AU$4&gt;$E126,MIN(AU126,$I126-SUM($J126:AU126)))</f>
        <v>0</v>
      </c>
      <c r="AW126" s="2"/>
    </row>
    <row r="127" spans="5:49" ht="15" outlineLevel="1">
      <c r="E127" s="44">
        <f>INDEX($K$4:$AV$4,,COUNT(E$109:E126)+1)</f>
        <v>39538</v>
      </c>
      <c r="G127" s="2" t="s">
        <v>105</v>
      </c>
      <c r="I127" s="2">
        <f t="shared" si="64"/>
        <v>129.46104758722427</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6.4730523793612136</v>
      </c>
      <c r="AD127" s="2">
        <f>IF(AC$4=$E127, $I127*AC$57,0) + IF(AC$4&gt;$E127,MIN(AC127,$I127-SUM($J127:AC127)))</f>
        <v>6.4730523793612136</v>
      </c>
      <c r="AE127" s="2">
        <f>IF(AD$4=$E127, $I127*AD$57,0) + IF(AD$4&gt;$E127,MIN(AD127,$I127-SUM($J127:AD127)))</f>
        <v>6.4730523793612136</v>
      </c>
      <c r="AF127" s="2">
        <f>IF(AE$4=$E127, $I127*AE$57,0) + IF(AE$4&gt;$E127,MIN(AE127,$I127-SUM($J127:AE127)))</f>
        <v>6.4730523793612136</v>
      </c>
      <c r="AG127" s="2">
        <f>IF(AF$4=$E127, $I127*AF$57,0) + IF(AF$4&gt;$E127,MIN(AF127,$I127-SUM($J127:AF127)))</f>
        <v>6.4730523793612136</v>
      </c>
      <c r="AH127" s="2">
        <f>IF(AG$4=$E127, $I127*AG$57,0) + IF(AG$4&gt;$E127,MIN(AG127,$I127-SUM($J127:AG127)))</f>
        <v>6.4730523793612136</v>
      </c>
      <c r="AI127" s="2">
        <f>IF(AH$4=$E127, $I127*AH$57,0) + IF(AH$4&gt;$E127,MIN(AH127,$I127-SUM($J127:AH127)))</f>
        <v>6.4730523793612136</v>
      </c>
      <c r="AJ127" s="2">
        <f>IF(AI$4=$E127, $I127*AI$57,0) + IF(AI$4&gt;$E127,MIN(AI127,$I127-SUM($J127:AI127)))</f>
        <v>6.4730523793612136</v>
      </c>
      <c r="AK127" s="2">
        <f>IF(AJ$4=$E127, $I127*AJ$57,0) + IF(AJ$4&gt;$E127,MIN(AJ127,$I127-SUM($J127:AJ127)))</f>
        <v>6.4730523793612136</v>
      </c>
      <c r="AL127" s="2">
        <f>IF(AK$4=$E127, $I127*AK$57,0) + IF(AK$4&gt;$E127,MIN(AK127,$I127-SUM($J127:AK127)))</f>
        <v>6.4730523793612136</v>
      </c>
      <c r="AM127" s="2">
        <f>IF(AL$4=$E127, $I127*AL$57,0) + IF(AL$4&gt;$E127,MIN(AL127,$I127-SUM($J127:AL127)))</f>
        <v>6.4730523793612136</v>
      </c>
      <c r="AN127" s="2">
        <f>IF(AM$4=$E127, $I127*AM$57,0) + IF(AM$4&gt;$E127,MIN(AM127,$I127-SUM($J127:AM127)))</f>
        <v>6.4730523793612136</v>
      </c>
      <c r="AO127" s="2">
        <f>IF(AN$4=$E127, $I127*AN$57,0) + IF(AN$4&gt;$E127,MIN(AN127,$I127-SUM($J127:AN127)))</f>
        <v>6.4730523793612136</v>
      </c>
      <c r="AP127" s="2">
        <f>IF(AO$4=$E127, $I127*AO$57,0) + IF(AO$4&gt;$E127,MIN(AO127,$I127-SUM($J127:AO127)))</f>
        <v>6.4730523793612136</v>
      </c>
      <c r="AQ127" s="57">
        <f>IF(AP$4=$E127, $I127*AP$57,0) + IF(AP$4&gt;$E127,MIN(AP127,$I127-SUM($J127:AP127)))</f>
        <v>6.4730523793612136</v>
      </c>
      <c r="AR127" s="2">
        <f>IF(AQ$4=$E127, $I127*AQ$57,0) + IF(AQ$4&gt;$E127,MIN(AQ127,$I127-SUM($J127:AQ127)))</f>
        <v>6.4730523793612136</v>
      </c>
      <c r="AS127" s="2">
        <f>IF(AR$4=$E127, $I127*AR$57,0) + IF(AR$4&gt;$E127,MIN(AR127,$I127-SUM($J127:AR127)))</f>
        <v>6.4730523793612136</v>
      </c>
      <c r="AT127" s="2">
        <f>IF(AS$4=$E127, $I127*AS$57,0) + IF(AS$4&gt;$E127,MIN(AS127,$I127-SUM($J127:AS127)))</f>
        <v>6.4730523793612136</v>
      </c>
      <c r="AU127" s="2">
        <f>IF(AT$4=$E127, $I127*AT$57,0) + IF(AT$4&gt;$E127,MIN(AT127,$I127-SUM($J127:AT127)))</f>
        <v>6.4730523793612136</v>
      </c>
      <c r="AV127" s="2">
        <f>IF(AU$4=$E127, $I127*AU$57,0) + IF(AU$4&gt;$E127,MIN(AU127,$I127-SUM($J127:AU127)))</f>
        <v>6.4730523793612136</v>
      </c>
      <c r="AW127" s="2"/>
    </row>
    <row r="128" spans="5:49" ht="15" outlineLevel="1">
      <c r="E128" s="44">
        <f>INDEX($K$4:$AV$4,,COUNT(E$109:E127)+1)</f>
        <v>39903</v>
      </c>
      <c r="G128" s="2" t="s">
        <v>105</v>
      </c>
      <c r="I128" s="2">
        <f t="shared" si="64"/>
        <v>128.05734461084816</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6.4028672305424088</v>
      </c>
      <c r="AE128" s="2">
        <f>IF(AD$4=$E128, $I128*AD$57,0) + IF(AD$4&gt;$E128,MIN(AD128,$I128-SUM($J128:AD128)))</f>
        <v>6.4028672305424088</v>
      </c>
      <c r="AF128" s="2">
        <f>IF(AE$4=$E128, $I128*AE$57,0) + IF(AE$4&gt;$E128,MIN(AE128,$I128-SUM($J128:AE128)))</f>
        <v>6.4028672305424088</v>
      </c>
      <c r="AG128" s="2">
        <f>IF(AF$4=$E128, $I128*AF$57,0) + IF(AF$4&gt;$E128,MIN(AF128,$I128-SUM($J128:AF128)))</f>
        <v>6.4028672305424088</v>
      </c>
      <c r="AH128" s="2">
        <f>IF(AG$4=$E128, $I128*AG$57,0) + IF(AG$4&gt;$E128,MIN(AG128,$I128-SUM($J128:AG128)))</f>
        <v>6.4028672305424088</v>
      </c>
      <c r="AI128" s="2">
        <f>IF(AH$4=$E128, $I128*AH$57,0) + IF(AH$4&gt;$E128,MIN(AH128,$I128-SUM($J128:AH128)))</f>
        <v>6.4028672305424088</v>
      </c>
      <c r="AJ128" s="2">
        <f>IF(AI$4=$E128, $I128*AI$57,0) + IF(AI$4&gt;$E128,MIN(AI128,$I128-SUM($J128:AI128)))</f>
        <v>6.4028672305424088</v>
      </c>
      <c r="AK128" s="2">
        <f>IF(AJ$4=$E128, $I128*AJ$57,0) + IF(AJ$4&gt;$E128,MIN(AJ128,$I128-SUM($J128:AJ128)))</f>
        <v>6.4028672305424088</v>
      </c>
      <c r="AL128" s="2">
        <f>IF(AK$4=$E128, $I128*AK$57,0) + IF(AK$4&gt;$E128,MIN(AK128,$I128-SUM($J128:AK128)))</f>
        <v>6.4028672305424088</v>
      </c>
      <c r="AM128" s="2">
        <f>IF(AL$4=$E128, $I128*AL$57,0) + IF(AL$4&gt;$E128,MIN(AL128,$I128-SUM($J128:AL128)))</f>
        <v>6.4028672305424088</v>
      </c>
      <c r="AN128" s="2">
        <f>IF(AM$4=$E128, $I128*AM$57,0) + IF(AM$4&gt;$E128,MIN(AM128,$I128-SUM($J128:AM128)))</f>
        <v>6.4028672305424088</v>
      </c>
      <c r="AO128" s="2">
        <f>IF(AN$4=$E128, $I128*AN$57,0) + IF(AN$4&gt;$E128,MIN(AN128,$I128-SUM($J128:AN128)))</f>
        <v>6.4028672305424088</v>
      </c>
      <c r="AP128" s="2">
        <f>IF(AO$4=$E128, $I128*AO$57,0) + IF(AO$4&gt;$E128,MIN(AO128,$I128-SUM($J128:AO128)))</f>
        <v>6.4028672305424088</v>
      </c>
      <c r="AQ128" s="57">
        <f>IF(AP$4=$E128, $I128*AP$57,0) + IF(AP$4&gt;$E128,MIN(AP128,$I128-SUM($J128:AP128)))</f>
        <v>6.4028672305424088</v>
      </c>
      <c r="AR128" s="2">
        <f>IF(AQ$4=$E128, $I128*AQ$57,0) + IF(AQ$4&gt;$E128,MIN(AQ128,$I128-SUM($J128:AQ128)))</f>
        <v>6.4028672305424088</v>
      </c>
      <c r="AS128" s="2">
        <f>IF(AR$4=$E128, $I128*AR$57,0) + IF(AR$4&gt;$E128,MIN(AR128,$I128-SUM($J128:AR128)))</f>
        <v>6.4028672305424088</v>
      </c>
      <c r="AT128" s="2">
        <f>IF(AS$4=$E128, $I128*AS$57,0) + IF(AS$4&gt;$E128,MIN(AS128,$I128-SUM($J128:AS128)))</f>
        <v>6.4028672305424088</v>
      </c>
      <c r="AU128" s="2">
        <f>IF(AT$4=$E128, $I128*AT$57,0) + IF(AT$4&gt;$E128,MIN(AT128,$I128-SUM($J128:AT128)))</f>
        <v>6.4028672305424088</v>
      </c>
      <c r="AV128" s="2">
        <f>IF(AU$4=$E128, $I128*AU$57,0) + IF(AU$4&gt;$E128,MIN(AU128,$I128-SUM($J128:AU128)))</f>
        <v>6.4028672305424088</v>
      </c>
      <c r="AW128" s="2"/>
    </row>
    <row r="129" spans="5:49" ht="15" outlineLevel="1">
      <c r="E129" s="44">
        <f>INDEX($K$4:$AV$4,,COUNT(E$109:E128)+1)</f>
        <v>40268</v>
      </c>
      <c r="G129" s="2" t="s">
        <v>105</v>
      </c>
      <c r="I129" s="2">
        <f t="shared" si="64"/>
        <v>124.36188074160526</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6.2180940370802631</v>
      </c>
      <c r="AF129" s="2">
        <f>IF(AE$4=$E129, $I129*AE$57,0) + IF(AE$4&gt;$E129,MIN(AE129,$I129-SUM($J129:AE129)))</f>
        <v>6.2180940370802631</v>
      </c>
      <c r="AG129" s="2">
        <f>IF(AF$4=$E129, $I129*AF$57,0) + IF(AF$4&gt;$E129,MIN(AF129,$I129-SUM($J129:AF129)))</f>
        <v>6.2180940370802631</v>
      </c>
      <c r="AH129" s="2">
        <f>IF(AG$4=$E129, $I129*AG$57,0) + IF(AG$4&gt;$E129,MIN(AG129,$I129-SUM($J129:AG129)))</f>
        <v>6.2180940370802631</v>
      </c>
      <c r="AI129" s="2">
        <f>IF(AH$4=$E129, $I129*AH$57,0) + IF(AH$4&gt;$E129,MIN(AH129,$I129-SUM($J129:AH129)))</f>
        <v>6.2180940370802631</v>
      </c>
      <c r="AJ129" s="2">
        <f>IF(AI$4=$E129, $I129*AI$57,0) + IF(AI$4&gt;$E129,MIN(AI129,$I129-SUM($J129:AI129)))</f>
        <v>6.2180940370802631</v>
      </c>
      <c r="AK129" s="2">
        <f>IF(AJ$4=$E129, $I129*AJ$57,0) + IF(AJ$4&gt;$E129,MIN(AJ129,$I129-SUM($J129:AJ129)))</f>
        <v>6.2180940370802631</v>
      </c>
      <c r="AL129" s="2">
        <f>IF(AK$4=$E129, $I129*AK$57,0) + IF(AK$4&gt;$E129,MIN(AK129,$I129-SUM($J129:AK129)))</f>
        <v>6.2180940370802631</v>
      </c>
      <c r="AM129" s="2">
        <f>IF(AL$4=$E129, $I129*AL$57,0) + IF(AL$4&gt;$E129,MIN(AL129,$I129-SUM($J129:AL129)))</f>
        <v>6.2180940370802631</v>
      </c>
      <c r="AN129" s="2">
        <f>IF(AM$4=$E129, $I129*AM$57,0) + IF(AM$4&gt;$E129,MIN(AM129,$I129-SUM($J129:AM129)))</f>
        <v>6.2180940370802631</v>
      </c>
      <c r="AO129" s="2">
        <f>IF(AN$4=$E129, $I129*AN$57,0) + IF(AN$4&gt;$E129,MIN(AN129,$I129-SUM($J129:AN129)))</f>
        <v>6.2180940370802631</v>
      </c>
      <c r="AP129" s="2">
        <f>IF(AO$4=$E129, $I129*AO$57,0) + IF(AO$4&gt;$E129,MIN(AO129,$I129-SUM($J129:AO129)))</f>
        <v>6.2180940370802631</v>
      </c>
      <c r="AQ129" s="57">
        <f>IF(AP$4=$E129, $I129*AP$57,0) + IF(AP$4&gt;$E129,MIN(AP129,$I129-SUM($J129:AP129)))</f>
        <v>6.2180940370802631</v>
      </c>
      <c r="AR129" s="2">
        <f>IF(AQ$4=$E129, $I129*AQ$57,0) + IF(AQ$4&gt;$E129,MIN(AQ129,$I129-SUM($J129:AQ129)))</f>
        <v>6.2180940370802631</v>
      </c>
      <c r="AS129" s="2">
        <f>IF(AR$4=$E129, $I129*AR$57,0) + IF(AR$4&gt;$E129,MIN(AR129,$I129-SUM($J129:AR129)))</f>
        <v>6.2180940370802631</v>
      </c>
      <c r="AT129" s="2">
        <f>IF(AS$4=$E129, $I129*AS$57,0) + IF(AS$4&gt;$E129,MIN(AS129,$I129-SUM($J129:AS129)))</f>
        <v>6.2180940370802631</v>
      </c>
      <c r="AU129" s="2">
        <f>IF(AT$4=$E129, $I129*AT$57,0) + IF(AT$4&gt;$E129,MIN(AT129,$I129-SUM($J129:AT129)))</f>
        <v>6.2180940370802631</v>
      </c>
      <c r="AV129" s="2">
        <f>IF(AU$4=$E129, $I129*AU$57,0) + IF(AU$4&gt;$E129,MIN(AU129,$I129-SUM($J129:AU129)))</f>
        <v>6.2180940370802631</v>
      </c>
      <c r="AW129" s="2"/>
    </row>
    <row r="130" spans="5:49" ht="15" outlineLevel="1">
      <c r="E130" s="44">
        <f>INDEX($K$4:$AV$4,,COUNT(E$109:E129)+1)</f>
        <v>40633</v>
      </c>
      <c r="G130" s="2" t="s">
        <v>105</v>
      </c>
      <c r="I130" s="2">
        <f t="shared" si="64"/>
        <v>110.51366635320358</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5.525683317660179</v>
      </c>
      <c r="AG130" s="2">
        <f>IF(AF$4=$E130, $I130*AF$57,0) + IF(AF$4&gt;$E130,MIN(AF130,$I130-SUM($J130:AF130)))</f>
        <v>5.525683317660179</v>
      </c>
      <c r="AH130" s="2">
        <f>IF(AG$4=$E130, $I130*AG$57,0) + IF(AG$4&gt;$E130,MIN(AG130,$I130-SUM($J130:AG130)))</f>
        <v>5.525683317660179</v>
      </c>
      <c r="AI130" s="2">
        <f>IF(AH$4=$E130, $I130*AH$57,0) + IF(AH$4&gt;$E130,MIN(AH130,$I130-SUM($J130:AH130)))</f>
        <v>5.525683317660179</v>
      </c>
      <c r="AJ130" s="2">
        <f>IF(AI$4=$E130, $I130*AI$57,0) + IF(AI$4&gt;$E130,MIN(AI130,$I130-SUM($J130:AI130)))</f>
        <v>5.525683317660179</v>
      </c>
      <c r="AK130" s="2">
        <f>IF(AJ$4=$E130, $I130*AJ$57,0) + IF(AJ$4&gt;$E130,MIN(AJ130,$I130-SUM($J130:AJ130)))</f>
        <v>5.525683317660179</v>
      </c>
      <c r="AL130" s="2">
        <f>IF(AK$4=$E130, $I130*AK$57,0) + IF(AK$4&gt;$E130,MIN(AK130,$I130-SUM($J130:AK130)))</f>
        <v>5.525683317660179</v>
      </c>
      <c r="AM130" s="2">
        <f>IF(AL$4=$E130, $I130*AL$57,0) + IF(AL$4&gt;$E130,MIN(AL130,$I130-SUM($J130:AL130)))</f>
        <v>5.525683317660179</v>
      </c>
      <c r="AN130" s="2">
        <f>IF(AM$4=$E130, $I130*AM$57,0) + IF(AM$4&gt;$E130,MIN(AM130,$I130-SUM($J130:AM130)))</f>
        <v>5.525683317660179</v>
      </c>
      <c r="AO130" s="2">
        <f>IF(AN$4=$E130, $I130*AN$57,0) + IF(AN$4&gt;$E130,MIN(AN130,$I130-SUM($J130:AN130)))</f>
        <v>5.525683317660179</v>
      </c>
      <c r="AP130" s="2">
        <f>IF(AO$4=$E130, $I130*AO$57,0) + IF(AO$4&gt;$E130,MIN(AO130,$I130-SUM($J130:AO130)))</f>
        <v>5.525683317660179</v>
      </c>
      <c r="AQ130" s="57">
        <f>IF(AP$4=$E130, $I130*AP$57,0) + IF(AP$4&gt;$E130,MIN(AP130,$I130-SUM($J130:AP130)))</f>
        <v>5.525683317660179</v>
      </c>
      <c r="AR130" s="2">
        <f>IF(AQ$4=$E130, $I130*AQ$57,0) + IF(AQ$4&gt;$E130,MIN(AQ130,$I130-SUM($J130:AQ130)))</f>
        <v>5.525683317660179</v>
      </c>
      <c r="AS130" s="2">
        <f>IF(AR$4=$E130, $I130*AR$57,0) + IF(AR$4&gt;$E130,MIN(AR130,$I130-SUM($J130:AR130)))</f>
        <v>5.525683317660179</v>
      </c>
      <c r="AT130" s="2">
        <f>IF(AS$4=$E130, $I130*AS$57,0) + IF(AS$4&gt;$E130,MIN(AS130,$I130-SUM($J130:AS130)))</f>
        <v>5.525683317660179</v>
      </c>
      <c r="AU130" s="2">
        <f>IF(AT$4=$E130, $I130*AT$57,0) + IF(AT$4&gt;$E130,MIN(AT130,$I130-SUM($J130:AT130)))</f>
        <v>5.525683317660179</v>
      </c>
      <c r="AV130" s="2">
        <f>IF(AU$4=$E130, $I130*AU$57,0) + IF(AU$4&gt;$E130,MIN(AU130,$I130-SUM($J130:AU130)))</f>
        <v>5.525683317660179</v>
      </c>
      <c r="AW130" s="2"/>
    </row>
    <row r="131" spans="5:49" ht="15" outlineLevel="1">
      <c r="E131" s="44">
        <f>INDEX($K$4:$AV$4,,COUNT(E$109:E130)+1)</f>
        <v>40999</v>
      </c>
      <c r="G131" s="2" t="s">
        <v>105</v>
      </c>
      <c r="I131" s="2">
        <f t="shared" si="64"/>
        <v>110.87417588734979</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5.5437087943674896</v>
      </c>
      <c r="AH131" s="2">
        <f>IF(AG$4=$E131, $I131*AG$57,0) + IF(AG$4&gt;$E131,MIN(AG131,$I131-SUM($J131:AG131)))</f>
        <v>5.5437087943674896</v>
      </c>
      <c r="AI131" s="2">
        <f>IF(AH$4=$E131, $I131*AH$57,0) + IF(AH$4&gt;$E131,MIN(AH131,$I131-SUM($J131:AH131)))</f>
        <v>5.5437087943674896</v>
      </c>
      <c r="AJ131" s="2">
        <f>IF(AI$4=$E131, $I131*AI$57,0) + IF(AI$4&gt;$E131,MIN(AI131,$I131-SUM($J131:AI131)))</f>
        <v>5.5437087943674896</v>
      </c>
      <c r="AK131" s="2">
        <f>IF(AJ$4=$E131, $I131*AJ$57,0) + IF(AJ$4&gt;$E131,MIN(AJ131,$I131-SUM($J131:AJ131)))</f>
        <v>5.5437087943674896</v>
      </c>
      <c r="AL131" s="2">
        <f>IF(AK$4=$E131, $I131*AK$57,0) + IF(AK$4&gt;$E131,MIN(AK131,$I131-SUM($J131:AK131)))</f>
        <v>5.5437087943674896</v>
      </c>
      <c r="AM131" s="2">
        <f>IF(AL$4=$E131, $I131*AL$57,0) + IF(AL$4&gt;$E131,MIN(AL131,$I131-SUM($J131:AL131)))</f>
        <v>5.5437087943674896</v>
      </c>
      <c r="AN131" s="2">
        <f>IF(AM$4=$E131, $I131*AM$57,0) + IF(AM$4&gt;$E131,MIN(AM131,$I131-SUM($J131:AM131)))</f>
        <v>5.5437087943674896</v>
      </c>
      <c r="AO131" s="2">
        <f>IF(AN$4=$E131, $I131*AN$57,0) + IF(AN$4&gt;$E131,MIN(AN131,$I131-SUM($J131:AN131)))</f>
        <v>5.5437087943674896</v>
      </c>
      <c r="AP131" s="2">
        <f>IF(AO$4=$E131, $I131*AO$57,0) + IF(AO$4&gt;$E131,MIN(AO131,$I131-SUM($J131:AO131)))</f>
        <v>5.5437087943674896</v>
      </c>
      <c r="AQ131" s="57">
        <f>IF(AP$4=$E131, $I131*AP$57,0) + IF(AP$4&gt;$E131,MIN(AP131,$I131-SUM($J131:AP131)))</f>
        <v>5.5437087943674896</v>
      </c>
      <c r="AR131" s="2">
        <f>IF(AQ$4=$E131, $I131*AQ$57,0) + IF(AQ$4&gt;$E131,MIN(AQ131,$I131-SUM($J131:AQ131)))</f>
        <v>5.5437087943674896</v>
      </c>
      <c r="AS131" s="2">
        <f>IF(AR$4=$E131, $I131*AR$57,0) + IF(AR$4&gt;$E131,MIN(AR131,$I131-SUM($J131:AR131)))</f>
        <v>5.5437087943674896</v>
      </c>
      <c r="AT131" s="2">
        <f>IF(AS$4=$E131, $I131*AS$57,0) + IF(AS$4&gt;$E131,MIN(AS131,$I131-SUM($J131:AS131)))</f>
        <v>5.5437087943674896</v>
      </c>
      <c r="AU131" s="2">
        <f>IF(AT$4=$E131, $I131*AT$57,0) + IF(AT$4&gt;$E131,MIN(AT131,$I131-SUM($J131:AT131)))</f>
        <v>5.5437087943674896</v>
      </c>
      <c r="AV131" s="2">
        <f>IF(AU$4=$E131, $I131*AU$57,0) + IF(AU$4&gt;$E131,MIN(AU131,$I131-SUM($J131:AU131)))</f>
        <v>5.5437087943674896</v>
      </c>
      <c r="AW131" s="2"/>
    </row>
    <row r="132" spans="5:49" ht="15" outlineLevel="1">
      <c r="E132" s="44">
        <f>INDEX($K$4:$AV$4,,COUNT(E$109:E131)+1)</f>
        <v>41364</v>
      </c>
      <c r="G132" s="2" t="s">
        <v>105</v>
      </c>
      <c r="I132" s="2">
        <f t="shared" si="64"/>
        <v>159.43632367418397</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7.9718161837091985</v>
      </c>
      <c r="AI132" s="2">
        <f>IF(AH$4=$E132, $I132*AH$57,0) + IF(AH$4&gt;$E132,MIN(AH132,$I132-SUM($J132:AH132)))</f>
        <v>7.9718161837091985</v>
      </c>
      <c r="AJ132" s="2">
        <f>IF(AI$4=$E132, $I132*AI$57,0) + IF(AI$4&gt;$E132,MIN(AI132,$I132-SUM($J132:AI132)))</f>
        <v>7.9718161837091985</v>
      </c>
      <c r="AK132" s="2">
        <f>IF(AJ$4=$E132, $I132*AJ$57,0) + IF(AJ$4&gt;$E132,MIN(AJ132,$I132-SUM($J132:AJ132)))</f>
        <v>7.9718161837091985</v>
      </c>
      <c r="AL132" s="2">
        <f>IF(AK$4=$E132, $I132*AK$57,0) + IF(AK$4&gt;$E132,MIN(AK132,$I132-SUM($J132:AK132)))</f>
        <v>7.9718161837091985</v>
      </c>
      <c r="AM132" s="2">
        <f>IF(AL$4=$E132, $I132*AL$57,0) + IF(AL$4&gt;$E132,MIN(AL132,$I132-SUM($J132:AL132)))</f>
        <v>7.9718161837091985</v>
      </c>
      <c r="AN132" s="2">
        <f>IF(AM$4=$E132, $I132*AM$57,0) + IF(AM$4&gt;$E132,MIN(AM132,$I132-SUM($J132:AM132)))</f>
        <v>7.9718161837091985</v>
      </c>
      <c r="AO132" s="2">
        <f>IF(AN$4=$E132, $I132*AN$57,0) + IF(AN$4&gt;$E132,MIN(AN132,$I132-SUM($J132:AN132)))</f>
        <v>7.9718161837091985</v>
      </c>
      <c r="AP132" s="2">
        <f>IF(AO$4=$E132, $I132*AO$57,0) + IF(AO$4&gt;$E132,MIN(AO132,$I132-SUM($J132:AO132)))</f>
        <v>7.9718161837091985</v>
      </c>
      <c r="AQ132" s="57">
        <f>IF(AP$4=$E132, $I132*AP$57,0) + IF(AP$4&gt;$E132,MIN(AP132,$I132-SUM($J132:AP132)))</f>
        <v>7.9718161837091985</v>
      </c>
      <c r="AR132" s="2">
        <f>IF(AQ$4=$E132, $I132*AQ$57,0) + IF(AQ$4&gt;$E132,MIN(AQ132,$I132-SUM($J132:AQ132)))</f>
        <v>7.9718161837091985</v>
      </c>
      <c r="AS132" s="2">
        <f>IF(AR$4=$E132, $I132*AR$57,0) + IF(AR$4&gt;$E132,MIN(AR132,$I132-SUM($J132:AR132)))</f>
        <v>7.9718161837091985</v>
      </c>
      <c r="AT132" s="2">
        <f>IF(AS$4=$E132, $I132*AS$57,0) + IF(AS$4&gt;$E132,MIN(AS132,$I132-SUM($J132:AS132)))</f>
        <v>7.9718161837091985</v>
      </c>
      <c r="AU132" s="2">
        <f>IF(AT$4=$E132, $I132*AT$57,0) + IF(AT$4&gt;$E132,MIN(AT132,$I132-SUM($J132:AT132)))</f>
        <v>7.9718161837091985</v>
      </c>
      <c r="AV132" s="2">
        <f>IF(AU$4=$E132, $I132*AU$57,0) + IF(AU$4&gt;$E132,MIN(AU132,$I132-SUM($J132:AU132)))</f>
        <v>7.9718161837091985</v>
      </c>
      <c r="AW132" s="2"/>
    </row>
    <row r="133" spans="5:49" ht="15" outlineLevel="1">
      <c r="E133" s="44">
        <f>INDEX($K$4:$AV$4,,COUNT(E$109:E132)+1)</f>
        <v>41729</v>
      </c>
      <c r="G133" s="2" t="s">
        <v>105</v>
      </c>
      <c r="I133" s="2">
        <f t="shared" si="64"/>
        <v>178.78617238698774</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8.9393086193493883</v>
      </c>
      <c r="AJ133" s="2">
        <f>IF(AI$4=$E133, $I133*AI$57,0) + IF(AI$4&gt;$E133,MIN(AI133,$I133-SUM($J133:AI133)))</f>
        <v>8.9393086193493883</v>
      </c>
      <c r="AK133" s="2">
        <f>IF(AJ$4=$E133, $I133*AJ$57,0) + IF(AJ$4&gt;$E133,MIN(AJ133,$I133-SUM($J133:AJ133)))</f>
        <v>8.9393086193493883</v>
      </c>
      <c r="AL133" s="2">
        <f>IF(AK$4=$E133, $I133*AK$57,0) + IF(AK$4&gt;$E133,MIN(AK133,$I133-SUM($J133:AK133)))</f>
        <v>8.9393086193493883</v>
      </c>
      <c r="AM133" s="2">
        <f>IF(AL$4=$E133, $I133*AL$57,0) + IF(AL$4&gt;$E133,MIN(AL133,$I133-SUM($J133:AL133)))</f>
        <v>8.9393086193493883</v>
      </c>
      <c r="AN133" s="2">
        <f>IF(AM$4=$E133, $I133*AM$57,0) + IF(AM$4&gt;$E133,MIN(AM133,$I133-SUM($J133:AM133)))</f>
        <v>8.9393086193493883</v>
      </c>
      <c r="AO133" s="2">
        <f>IF(AN$4=$E133, $I133*AN$57,0) + IF(AN$4&gt;$E133,MIN(AN133,$I133-SUM($J133:AN133)))</f>
        <v>8.9393086193493883</v>
      </c>
      <c r="AP133" s="2">
        <f>IF(AO$4=$E133, $I133*AO$57,0) + IF(AO$4&gt;$E133,MIN(AO133,$I133-SUM($J133:AO133)))</f>
        <v>8.9393086193493883</v>
      </c>
      <c r="AQ133" s="57">
        <f>IF(AP$4=$E133, $I133*AP$57,0) + IF(AP$4&gt;$E133,MIN(AP133,$I133-SUM($J133:AP133)))</f>
        <v>8.9393086193493883</v>
      </c>
      <c r="AR133" s="2">
        <f>IF(AQ$4=$E133, $I133*AQ$57,0) + IF(AQ$4&gt;$E133,MIN(AQ133,$I133-SUM($J133:AQ133)))</f>
        <v>8.9393086193493883</v>
      </c>
      <c r="AS133" s="2">
        <f>IF(AR$4=$E133, $I133*AR$57,0) + IF(AR$4&gt;$E133,MIN(AR133,$I133-SUM($J133:AR133)))</f>
        <v>8.9393086193493883</v>
      </c>
      <c r="AT133" s="2">
        <f>IF(AS$4=$E133, $I133*AS$57,0) + IF(AS$4&gt;$E133,MIN(AS133,$I133-SUM($J133:AS133)))</f>
        <v>8.9393086193493883</v>
      </c>
      <c r="AU133" s="2">
        <f>IF(AT$4=$E133, $I133*AT$57,0) + IF(AT$4&gt;$E133,MIN(AT133,$I133-SUM($J133:AT133)))</f>
        <v>8.9393086193493883</v>
      </c>
      <c r="AV133" s="2">
        <f>IF(AU$4=$E133, $I133*AU$57,0) + IF(AU$4&gt;$E133,MIN(AU133,$I133-SUM($J133:AU133)))</f>
        <v>8.9393086193493883</v>
      </c>
      <c r="AW133" s="2"/>
    </row>
    <row r="134" spans="5:49" ht="15" outlineLevel="1">
      <c r="E134" s="44">
        <f>INDEX($K$4:$AV$4,,COUNT(E$109:E133)+1)</f>
        <v>42094</v>
      </c>
      <c r="G134" s="2" t="s">
        <v>105</v>
      </c>
      <c r="I134" s="2">
        <f t="shared" si="64"/>
        <v>189.91789599238535</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9.4958947996192684</v>
      </c>
      <c r="AK134" s="2">
        <f>IF(AJ$4=$E134, $I134*AJ$57,0) + IF(AJ$4&gt;$E134,MIN(AJ134,$I134-SUM($J134:AJ134)))</f>
        <v>9.4958947996192684</v>
      </c>
      <c r="AL134" s="2">
        <f>IF(AK$4=$E134, $I134*AK$57,0) + IF(AK$4&gt;$E134,MIN(AK134,$I134-SUM($J134:AK134)))</f>
        <v>9.4958947996192684</v>
      </c>
      <c r="AM134" s="2">
        <f>IF(AL$4=$E134, $I134*AL$57,0) + IF(AL$4&gt;$E134,MIN(AL134,$I134-SUM($J134:AL134)))</f>
        <v>9.4958947996192684</v>
      </c>
      <c r="AN134" s="2">
        <f>IF(AM$4=$E134, $I134*AM$57,0) + IF(AM$4&gt;$E134,MIN(AM134,$I134-SUM($J134:AM134)))</f>
        <v>9.4958947996192684</v>
      </c>
      <c r="AO134" s="2">
        <f>IF(AN$4=$E134, $I134*AN$57,0) + IF(AN$4&gt;$E134,MIN(AN134,$I134-SUM($J134:AN134)))</f>
        <v>9.4958947996192684</v>
      </c>
      <c r="AP134" s="2">
        <f>IF(AO$4=$E134, $I134*AO$57,0) + IF(AO$4&gt;$E134,MIN(AO134,$I134-SUM($J134:AO134)))</f>
        <v>9.4958947996192684</v>
      </c>
      <c r="AQ134" s="57">
        <f>IF(AP$4=$E134, $I134*AP$57,0) + IF(AP$4&gt;$E134,MIN(AP134,$I134-SUM($J134:AP134)))</f>
        <v>9.4958947996192684</v>
      </c>
      <c r="AR134" s="2">
        <f>IF(AQ$4=$E134, $I134*AQ$57,0) + IF(AQ$4&gt;$E134,MIN(AQ134,$I134-SUM($J134:AQ134)))</f>
        <v>9.4958947996192684</v>
      </c>
      <c r="AS134" s="2">
        <f>IF(AR$4=$E134, $I134*AR$57,0) + IF(AR$4&gt;$E134,MIN(AR134,$I134-SUM($J134:AR134)))</f>
        <v>9.4958947996192684</v>
      </c>
      <c r="AT134" s="2">
        <f>IF(AS$4=$E134, $I134*AS$57,0) + IF(AS$4&gt;$E134,MIN(AS134,$I134-SUM($J134:AS134)))</f>
        <v>9.4958947996192684</v>
      </c>
      <c r="AU134" s="2">
        <f>IF(AT$4=$E134, $I134*AT$57,0) + IF(AT$4&gt;$E134,MIN(AT134,$I134-SUM($J134:AT134)))</f>
        <v>9.4958947996192684</v>
      </c>
      <c r="AV134" s="2">
        <f>IF(AU$4=$E134, $I134*AU$57,0) + IF(AU$4&gt;$E134,MIN(AU134,$I134-SUM($J134:AU134)))</f>
        <v>9.4958947996192684</v>
      </c>
      <c r="AW134" s="2"/>
    </row>
    <row r="135" spans="5:49" ht="15" outlineLevel="1">
      <c r="E135" s="44">
        <f>INDEX($K$4:$AV$4,,COUNT(E$109:E134)+1)</f>
        <v>42460</v>
      </c>
      <c r="G135" s="2" t="s">
        <v>105</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5" outlineLevel="1">
      <c r="E136" s="44">
        <f>INDEX($K$4:$AV$4,,COUNT(E$109:E135)+1)</f>
        <v>42825</v>
      </c>
      <c r="G136" s="2" t="s">
        <v>105</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5" outlineLevel="1">
      <c r="E137" s="44">
        <f>INDEX($K$4:$AV$4,,COUNT(E$109:E136)+1)</f>
        <v>43190</v>
      </c>
      <c r="G137" s="2" t="s">
        <v>105</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5" outlineLevel="1">
      <c r="E138" s="44">
        <f>INDEX($K$4:$AV$4,,COUNT(E$109:E137)+1)</f>
        <v>43555</v>
      </c>
      <c r="G138" s="2" t="s">
        <v>105</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5" outlineLevel="1">
      <c r="E139" s="44">
        <f>INDEX($K$4:$AV$4,,COUNT(E$109:E138)+1)</f>
        <v>43921</v>
      </c>
      <c r="G139" s="2" t="s">
        <v>105</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5" outlineLevel="1">
      <c r="E140" s="44">
        <f>INDEX($K$4:$AV$4,,COUNT(E$109:E139)+1)</f>
        <v>44286</v>
      </c>
      <c r="G140" s="2" t="s">
        <v>105</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5" outlineLevel="1">
      <c r="E141" s="44">
        <f>INDEX($K$4:$AV$4,,COUNT(E$109:E140)+1)</f>
        <v>44651</v>
      </c>
      <c r="G141" s="2" t="s">
        <v>105</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5" outlineLevel="1">
      <c r="E142" s="44">
        <f>INDEX($K$4:$AV$4,,COUNT(E$109:E141)+1)</f>
        <v>45016</v>
      </c>
      <c r="G142" s="2" t="s">
        <v>105</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5" outlineLevel="1">
      <c r="E143" s="44">
        <f>INDEX($K$4:$AV$4,,COUNT(E$109:E142)+1)</f>
        <v>45382</v>
      </c>
      <c r="G143" s="2" t="s">
        <v>105</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5" outlineLevel="1">
      <c r="E144" s="44">
        <f>INDEX($K$4:$AV$4,,COUNT(E$109:E143)+1)</f>
        <v>45747</v>
      </c>
      <c r="G144" s="2" t="s">
        <v>105</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5" outlineLevel="1">
      <c r="E145" s="44">
        <f>INDEX($K$4:$AV$4,,COUNT(E$109:E144)+1)</f>
        <v>46112</v>
      </c>
      <c r="G145" s="2" t="s">
        <v>105</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5" outlineLevel="1">
      <c r="E146" s="44">
        <f>INDEX($K$4:$AV$4,,COUNT(E$109:E145)+1)</f>
        <v>46477</v>
      </c>
      <c r="G146" s="2" t="s">
        <v>105</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5" outlineLevel="1">
      <c r="E147" s="44">
        <f>INDEX($K$4:$AV$4,,COUNT(E$109:E146)+1)</f>
        <v>46843</v>
      </c>
      <c r="G147" s="2" t="s">
        <v>105</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5">
      <c r="A149" s="2"/>
      <c r="B149" s="2"/>
      <c r="C149" s="28" t="s">
        <v>897</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5">
      <c r="A150" s="2"/>
      <c r="B150" s="2"/>
      <c r="C150" s="4" t="s">
        <v>898</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5" outlineLevel="1">
      <c r="E152" s="34" t="s">
        <v>899</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0</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5" outlineLevel="1">
      <c r="E153" s="34" t="s">
        <v>900</v>
      </c>
      <c r="G153" s="34" t="s">
        <v>281</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5" outlineLevel="1">
      <c r="E154" s="34" t="s">
        <v>901</v>
      </c>
      <c r="G154" s="34" t="s">
        <v>209</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0</v>
      </c>
      <c r="X154" s="201">
        <f>(1-X152) * IF(COUNTIF($J154:W154,"&gt;"&amp;0)&lt;=$I153-1,1,0) * (1/$I153)</f>
        <v>0</v>
      </c>
      <c r="Y154" s="201">
        <f>(1-Y152) * IF(COUNTIF($J154:X154,"&gt;"&amp;0)&lt;=$I153-1,1,0) * (1/$I153)</f>
        <v>0</v>
      </c>
      <c r="Z154" s="201">
        <f>(1-Z152) * IF(COUNTIF($J154:Y154,"&gt;"&amp;0)&lt;=$I153-1,1,0) * (1/$I153)</f>
        <v>6.6666666666666666E-2</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6.6666666666666666E-2</v>
      </c>
      <c r="AM154" s="294">
        <f>(1-AM152) * IF(COUNTIF($J154:AL154,"&gt;"&amp;0)&lt;=$I153-1,1,0) * (1/$I153)</f>
        <v>6.6666666666666666E-2</v>
      </c>
      <c r="AN154" s="294">
        <f>(1-AN152) * IF(COUNTIF($J154:AM154,"&gt;"&amp;0)&lt;=$I153-1,1,0) * (1/$I153)</f>
        <v>6.6666666666666666E-2</v>
      </c>
      <c r="AO154" s="294">
        <f>(1-AO152) * IF(COUNTIF($J154:AN154,"&gt;"&amp;0)&lt;=$I153-1,1,0) * (1/$I153)</f>
        <v>0</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5" outlineLevel="1">
      <c r="E156" s="44">
        <f t="shared" ref="E156:E191" si="66">E66</f>
        <v>33328</v>
      </c>
      <c r="G156" s="2" t="s">
        <v>105</v>
      </c>
      <c r="I156" s="2">
        <f>SUMPRODUCT(K110:AV110,$K$152:$AV$152) - SUMPRODUCT(K66:AV66,$K$152:$AV$152)</f>
        <v>6.7841730065060037</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0.45227820043373357</v>
      </c>
      <c r="AA156" s="2">
        <f t="shared" si="68"/>
        <v>0.45227820043373357</v>
      </c>
      <c r="AB156" s="2">
        <f t="shared" si="68"/>
        <v>0.45227820043373357</v>
      </c>
      <c r="AC156" s="2">
        <f t="shared" si="68"/>
        <v>0.45227820043373357</v>
      </c>
      <c r="AD156" s="2">
        <f t="shared" si="68"/>
        <v>0.45227820043373357</v>
      </c>
      <c r="AE156" s="2">
        <f t="shared" si="68"/>
        <v>0.45227820043373357</v>
      </c>
      <c r="AF156" s="2">
        <f t="shared" si="68"/>
        <v>0.45227820043373357</v>
      </c>
      <c r="AG156" s="2">
        <f t="shared" si="68"/>
        <v>0.45227820043373357</v>
      </c>
      <c r="AH156" s="2">
        <f t="shared" si="68"/>
        <v>0.45227820043373357</v>
      </c>
      <c r="AI156" s="2">
        <f t="shared" si="68"/>
        <v>0.45227820043373357</v>
      </c>
      <c r="AJ156" s="2">
        <f t="shared" si="68"/>
        <v>0.45227820043373357</v>
      </c>
      <c r="AK156" s="2">
        <f t="shared" si="68"/>
        <v>0.45227820043373357</v>
      </c>
      <c r="AL156" s="2">
        <f t="shared" si="68"/>
        <v>0.45227820043373357</v>
      </c>
      <c r="AM156" s="2">
        <f t="shared" si="68"/>
        <v>0.45227820043373357</v>
      </c>
      <c r="AN156" s="2">
        <f t="shared" si="68"/>
        <v>0.45227820043373357</v>
      </c>
      <c r="AO156" s="2">
        <f t="shared" si="68"/>
        <v>0</v>
      </c>
      <c r="AP156" s="2">
        <f t="shared" si="68"/>
        <v>0</v>
      </c>
      <c r="AQ156" s="57">
        <f t="shared" si="68"/>
        <v>0</v>
      </c>
      <c r="AR156" s="2">
        <f t="shared" si="68"/>
        <v>0</v>
      </c>
      <c r="AS156" s="2">
        <f t="shared" si="68"/>
        <v>0</v>
      </c>
      <c r="AT156" s="2">
        <f t="shared" si="68"/>
        <v>0</v>
      </c>
      <c r="AU156" s="2">
        <f t="shared" si="68"/>
        <v>0</v>
      </c>
      <c r="AV156" s="2">
        <f t="shared" si="68"/>
        <v>0</v>
      </c>
      <c r="AW156" s="2"/>
    </row>
    <row r="157" spans="1:49" ht="15" outlineLevel="1">
      <c r="E157" s="44">
        <f t="shared" si="66"/>
        <v>33694</v>
      </c>
      <c r="G157" s="2" t="s">
        <v>105</v>
      </c>
      <c r="I157" s="2">
        <f>SUMPRODUCT(K111:AV111,$K$152:$AV$152) - SUMPRODUCT(K67:AV67,$K$152:$AV$152)</f>
        <v>19.620094670942116</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1.3080063113961411</v>
      </c>
      <c r="AA157" s="2">
        <f t="shared" si="68"/>
        <v>1.3080063113961411</v>
      </c>
      <c r="AB157" s="2">
        <f t="shared" si="68"/>
        <v>1.3080063113961411</v>
      </c>
      <c r="AC157" s="2">
        <f t="shared" si="68"/>
        <v>1.3080063113961411</v>
      </c>
      <c r="AD157" s="2">
        <f t="shared" si="68"/>
        <v>1.3080063113961411</v>
      </c>
      <c r="AE157" s="2">
        <f t="shared" si="68"/>
        <v>1.3080063113961411</v>
      </c>
      <c r="AF157" s="2">
        <f t="shared" si="68"/>
        <v>1.3080063113961411</v>
      </c>
      <c r="AG157" s="2">
        <f t="shared" si="68"/>
        <v>1.3080063113961411</v>
      </c>
      <c r="AH157" s="2">
        <f t="shared" si="68"/>
        <v>1.3080063113961411</v>
      </c>
      <c r="AI157" s="2">
        <f t="shared" si="68"/>
        <v>1.3080063113961411</v>
      </c>
      <c r="AJ157" s="2">
        <f t="shared" si="68"/>
        <v>1.3080063113961411</v>
      </c>
      <c r="AK157" s="2">
        <f t="shared" si="68"/>
        <v>1.3080063113961411</v>
      </c>
      <c r="AL157" s="2">
        <f t="shared" si="68"/>
        <v>1.3080063113961411</v>
      </c>
      <c r="AM157" s="2">
        <f t="shared" si="68"/>
        <v>1.3080063113961411</v>
      </c>
      <c r="AN157" s="2">
        <f t="shared" si="68"/>
        <v>1.3080063113961411</v>
      </c>
      <c r="AO157" s="2">
        <f t="shared" si="68"/>
        <v>0</v>
      </c>
      <c r="AP157" s="2">
        <f t="shared" si="68"/>
        <v>0</v>
      </c>
      <c r="AQ157" s="57">
        <f t="shared" si="68"/>
        <v>0</v>
      </c>
      <c r="AR157" s="2">
        <f t="shared" si="68"/>
        <v>0</v>
      </c>
      <c r="AS157" s="2">
        <f t="shared" si="68"/>
        <v>0</v>
      </c>
      <c r="AT157" s="2">
        <f t="shared" si="68"/>
        <v>0</v>
      </c>
      <c r="AU157" s="2">
        <f t="shared" si="68"/>
        <v>0</v>
      </c>
      <c r="AV157" s="2">
        <f t="shared" si="68"/>
        <v>0</v>
      </c>
      <c r="AW157" s="2"/>
    </row>
    <row r="158" spans="1:49" ht="15" outlineLevel="1">
      <c r="E158" s="44">
        <f t="shared" si="66"/>
        <v>34059</v>
      </c>
      <c r="G158" s="2" t="s">
        <v>105</v>
      </c>
      <c r="I158" s="2">
        <f t="shared" ref="I158:I193" si="70">SUMPRODUCT(K112:AV112,$K$152:$AV$152) - SUMPRODUCT(K68:AV68,$K$152:$AV$152)</f>
        <v>18.821086290677531</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1.2547390860451688</v>
      </c>
      <c r="AA158" s="2">
        <f t="shared" si="68"/>
        <v>1.2547390860451688</v>
      </c>
      <c r="AB158" s="2">
        <f t="shared" si="68"/>
        <v>1.2547390860451688</v>
      </c>
      <c r="AC158" s="2">
        <f t="shared" si="68"/>
        <v>1.2547390860451688</v>
      </c>
      <c r="AD158" s="2">
        <f t="shared" si="68"/>
        <v>1.2547390860451688</v>
      </c>
      <c r="AE158" s="2">
        <f t="shared" si="68"/>
        <v>1.2547390860451688</v>
      </c>
      <c r="AF158" s="2">
        <f t="shared" si="68"/>
        <v>1.2547390860451688</v>
      </c>
      <c r="AG158" s="2">
        <f t="shared" si="68"/>
        <v>1.2547390860451688</v>
      </c>
      <c r="AH158" s="2">
        <f t="shared" si="68"/>
        <v>1.2547390860451688</v>
      </c>
      <c r="AI158" s="2">
        <f t="shared" si="68"/>
        <v>1.2547390860451688</v>
      </c>
      <c r="AJ158" s="2">
        <f t="shared" si="68"/>
        <v>1.2547390860451688</v>
      </c>
      <c r="AK158" s="2">
        <f t="shared" si="68"/>
        <v>1.2547390860451688</v>
      </c>
      <c r="AL158" s="2">
        <f t="shared" si="68"/>
        <v>1.2547390860451688</v>
      </c>
      <c r="AM158" s="2">
        <f t="shared" si="68"/>
        <v>1.2547390860451688</v>
      </c>
      <c r="AN158" s="2">
        <f t="shared" si="68"/>
        <v>1.2547390860451688</v>
      </c>
      <c r="AO158" s="2">
        <f t="shared" si="68"/>
        <v>0</v>
      </c>
      <c r="AP158" s="2">
        <f t="shared" si="68"/>
        <v>0</v>
      </c>
      <c r="AQ158" s="57">
        <f t="shared" si="68"/>
        <v>0</v>
      </c>
      <c r="AR158" s="2">
        <f t="shared" si="68"/>
        <v>0</v>
      </c>
      <c r="AS158" s="2">
        <f t="shared" si="68"/>
        <v>0</v>
      </c>
      <c r="AT158" s="2">
        <f t="shared" si="68"/>
        <v>0</v>
      </c>
      <c r="AU158" s="2">
        <f t="shared" si="68"/>
        <v>0</v>
      </c>
      <c r="AV158" s="2">
        <f t="shared" si="68"/>
        <v>0</v>
      </c>
      <c r="AW158" s="2"/>
    </row>
    <row r="159" spans="1:49" ht="15" outlineLevel="1">
      <c r="E159" s="44">
        <f t="shared" si="66"/>
        <v>34424</v>
      </c>
      <c r="G159" s="2" t="s">
        <v>105</v>
      </c>
      <c r="I159" s="2">
        <f t="shared" si="70"/>
        <v>19.572006203611409</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1.3048004135740938</v>
      </c>
      <c r="AA159" s="2">
        <f t="shared" si="68"/>
        <v>1.3048004135740938</v>
      </c>
      <c r="AB159" s="2">
        <f t="shared" si="68"/>
        <v>1.3048004135740938</v>
      </c>
      <c r="AC159" s="2">
        <f t="shared" si="68"/>
        <v>1.3048004135740938</v>
      </c>
      <c r="AD159" s="2">
        <f t="shared" si="68"/>
        <v>1.3048004135740938</v>
      </c>
      <c r="AE159" s="2">
        <f t="shared" si="68"/>
        <v>1.3048004135740938</v>
      </c>
      <c r="AF159" s="2">
        <f t="shared" si="68"/>
        <v>1.3048004135740938</v>
      </c>
      <c r="AG159" s="2">
        <f t="shared" si="68"/>
        <v>1.3048004135740938</v>
      </c>
      <c r="AH159" s="2">
        <f t="shared" si="68"/>
        <v>1.3048004135740938</v>
      </c>
      <c r="AI159" s="2">
        <f t="shared" si="68"/>
        <v>1.3048004135740938</v>
      </c>
      <c r="AJ159" s="2">
        <f t="shared" si="68"/>
        <v>1.3048004135740938</v>
      </c>
      <c r="AK159" s="2">
        <f t="shared" si="68"/>
        <v>1.3048004135740938</v>
      </c>
      <c r="AL159" s="2">
        <f t="shared" si="68"/>
        <v>1.3048004135740938</v>
      </c>
      <c r="AM159" s="2">
        <f t="shared" si="68"/>
        <v>1.3048004135740938</v>
      </c>
      <c r="AN159" s="2">
        <f t="shared" si="68"/>
        <v>1.3048004135740938</v>
      </c>
      <c r="AO159" s="2">
        <f t="shared" si="68"/>
        <v>0</v>
      </c>
      <c r="AP159" s="2">
        <f t="shared" si="68"/>
        <v>0</v>
      </c>
      <c r="AQ159" s="57">
        <f t="shared" si="68"/>
        <v>0</v>
      </c>
      <c r="AR159" s="2">
        <f t="shared" si="68"/>
        <v>0</v>
      </c>
      <c r="AS159" s="2">
        <f t="shared" si="68"/>
        <v>0</v>
      </c>
      <c r="AT159" s="2">
        <f t="shared" si="68"/>
        <v>0</v>
      </c>
      <c r="AU159" s="2">
        <f t="shared" si="68"/>
        <v>0</v>
      </c>
      <c r="AV159" s="2">
        <f t="shared" si="68"/>
        <v>0</v>
      </c>
      <c r="AW159" s="2"/>
    </row>
    <row r="160" spans="1:49" ht="15" outlineLevel="1">
      <c r="E160" s="44">
        <f t="shared" si="66"/>
        <v>34789</v>
      </c>
      <c r="G160" s="2" t="s">
        <v>105</v>
      </c>
      <c r="I160" s="2">
        <f t="shared" si="70"/>
        <v>21.010961110662013</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1.4007307407108009</v>
      </c>
      <c r="AA160" s="2">
        <f t="shared" si="71"/>
        <v>1.4007307407108009</v>
      </c>
      <c r="AB160" s="2">
        <f t="shared" si="71"/>
        <v>1.4007307407108009</v>
      </c>
      <c r="AC160" s="2">
        <f t="shared" si="71"/>
        <v>1.4007307407108009</v>
      </c>
      <c r="AD160" s="2">
        <f t="shared" si="71"/>
        <v>1.4007307407108009</v>
      </c>
      <c r="AE160" s="2">
        <f t="shared" si="71"/>
        <v>1.4007307407108009</v>
      </c>
      <c r="AF160" s="2">
        <f t="shared" si="71"/>
        <v>1.4007307407108009</v>
      </c>
      <c r="AG160" s="2">
        <f t="shared" si="71"/>
        <v>1.4007307407108009</v>
      </c>
      <c r="AH160" s="2">
        <f t="shared" si="71"/>
        <v>1.4007307407108009</v>
      </c>
      <c r="AI160" s="2">
        <f t="shared" si="71"/>
        <v>1.4007307407108009</v>
      </c>
      <c r="AJ160" s="2">
        <f t="shared" si="71"/>
        <v>1.4007307407108009</v>
      </c>
      <c r="AK160" s="2">
        <f t="shared" si="71"/>
        <v>1.4007307407108009</v>
      </c>
      <c r="AL160" s="2">
        <f t="shared" si="71"/>
        <v>1.4007307407108009</v>
      </c>
      <c r="AM160" s="2">
        <f t="shared" si="71"/>
        <v>1.4007307407108009</v>
      </c>
      <c r="AN160" s="2">
        <f t="shared" si="71"/>
        <v>1.4007307407108009</v>
      </c>
      <c r="AO160" s="2">
        <f t="shared" si="71"/>
        <v>0</v>
      </c>
      <c r="AP160" s="2">
        <f t="shared" si="71"/>
        <v>0</v>
      </c>
      <c r="AQ160" s="57">
        <f t="shared" si="71"/>
        <v>0</v>
      </c>
      <c r="AR160" s="2">
        <f t="shared" si="71"/>
        <v>0</v>
      </c>
      <c r="AS160" s="2">
        <f t="shared" si="71"/>
        <v>0</v>
      </c>
      <c r="AT160" s="2">
        <f t="shared" si="71"/>
        <v>0</v>
      </c>
      <c r="AU160" s="2">
        <f t="shared" si="71"/>
        <v>0</v>
      </c>
      <c r="AV160" s="2">
        <f t="shared" si="71"/>
        <v>0</v>
      </c>
      <c r="AW160" s="2"/>
    </row>
    <row r="161" spans="5:49" ht="15" outlineLevel="1">
      <c r="E161" s="44">
        <f t="shared" si="66"/>
        <v>35155</v>
      </c>
      <c r="G161" s="2" t="s">
        <v>105</v>
      </c>
      <c r="I161" s="2">
        <f t="shared" si="70"/>
        <v>13.949354638786339</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0.92995697591908921</v>
      </c>
      <c r="AA161" s="2">
        <f t="shared" si="71"/>
        <v>0.92995697591908921</v>
      </c>
      <c r="AB161" s="2">
        <f t="shared" si="71"/>
        <v>0.92995697591908921</v>
      </c>
      <c r="AC161" s="2">
        <f t="shared" si="71"/>
        <v>0.92995697591908921</v>
      </c>
      <c r="AD161" s="2">
        <f t="shared" si="71"/>
        <v>0.92995697591908921</v>
      </c>
      <c r="AE161" s="2">
        <f t="shared" si="71"/>
        <v>0.92995697591908921</v>
      </c>
      <c r="AF161" s="2">
        <f t="shared" si="71"/>
        <v>0.92995697591908921</v>
      </c>
      <c r="AG161" s="2">
        <f t="shared" si="71"/>
        <v>0.92995697591908921</v>
      </c>
      <c r="AH161" s="2">
        <f t="shared" si="71"/>
        <v>0.92995697591908921</v>
      </c>
      <c r="AI161" s="2">
        <f t="shared" si="71"/>
        <v>0.92995697591908921</v>
      </c>
      <c r="AJ161" s="2">
        <f t="shared" si="71"/>
        <v>0.92995697591908921</v>
      </c>
      <c r="AK161" s="2">
        <f t="shared" si="71"/>
        <v>0.92995697591908921</v>
      </c>
      <c r="AL161" s="2">
        <f t="shared" si="71"/>
        <v>0.92995697591908921</v>
      </c>
      <c r="AM161" s="2">
        <f t="shared" si="71"/>
        <v>0.92995697591908921</v>
      </c>
      <c r="AN161" s="2">
        <f t="shared" si="71"/>
        <v>0.92995697591908921</v>
      </c>
      <c r="AO161" s="2">
        <f t="shared" si="71"/>
        <v>0</v>
      </c>
      <c r="AP161" s="2">
        <f t="shared" si="71"/>
        <v>0</v>
      </c>
      <c r="AQ161" s="57">
        <f t="shared" si="71"/>
        <v>0</v>
      </c>
      <c r="AR161" s="2">
        <f t="shared" si="71"/>
        <v>0</v>
      </c>
      <c r="AS161" s="2">
        <f t="shared" si="71"/>
        <v>0</v>
      </c>
      <c r="AT161" s="2">
        <f t="shared" si="71"/>
        <v>0</v>
      </c>
      <c r="AU161" s="2">
        <f t="shared" si="71"/>
        <v>0</v>
      </c>
      <c r="AV161" s="2">
        <f t="shared" si="71"/>
        <v>0</v>
      </c>
      <c r="AW161" s="2"/>
    </row>
    <row r="162" spans="5:49" ht="15" outlineLevel="1">
      <c r="E162" s="44">
        <f t="shared" si="66"/>
        <v>35520</v>
      </c>
      <c r="G162" s="2" t="s">
        <v>105</v>
      </c>
      <c r="I162" s="2">
        <f t="shared" si="70"/>
        <v>13.287213434770759</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0.88581422898471729</v>
      </c>
      <c r="AA162" s="2">
        <f t="shared" si="71"/>
        <v>0.88581422898471729</v>
      </c>
      <c r="AB162" s="2">
        <f t="shared" si="71"/>
        <v>0.88581422898471729</v>
      </c>
      <c r="AC162" s="2">
        <f t="shared" si="71"/>
        <v>0.88581422898471729</v>
      </c>
      <c r="AD162" s="2">
        <f t="shared" si="71"/>
        <v>0.88581422898471729</v>
      </c>
      <c r="AE162" s="2">
        <f t="shared" si="71"/>
        <v>0.88581422898471729</v>
      </c>
      <c r="AF162" s="2">
        <f t="shared" si="71"/>
        <v>0.88581422898471729</v>
      </c>
      <c r="AG162" s="2">
        <f t="shared" si="71"/>
        <v>0.88581422898471729</v>
      </c>
      <c r="AH162" s="2">
        <f t="shared" si="71"/>
        <v>0.88581422898471729</v>
      </c>
      <c r="AI162" s="2">
        <f t="shared" si="71"/>
        <v>0.88581422898471729</v>
      </c>
      <c r="AJ162" s="2">
        <f t="shared" si="71"/>
        <v>0.88581422898471729</v>
      </c>
      <c r="AK162" s="2">
        <f t="shared" si="71"/>
        <v>0.88581422898471729</v>
      </c>
      <c r="AL162" s="2">
        <f t="shared" si="71"/>
        <v>0.88581422898471729</v>
      </c>
      <c r="AM162" s="2">
        <f t="shared" si="71"/>
        <v>0.88581422898471729</v>
      </c>
      <c r="AN162" s="2">
        <f t="shared" si="71"/>
        <v>0.88581422898471729</v>
      </c>
      <c r="AO162" s="2">
        <f t="shared" si="71"/>
        <v>0</v>
      </c>
      <c r="AP162" s="2">
        <f t="shared" si="71"/>
        <v>0</v>
      </c>
      <c r="AQ162" s="57">
        <f t="shared" si="71"/>
        <v>0</v>
      </c>
      <c r="AR162" s="2">
        <f t="shared" si="71"/>
        <v>0</v>
      </c>
      <c r="AS162" s="2">
        <f t="shared" si="71"/>
        <v>0</v>
      </c>
      <c r="AT162" s="2">
        <f t="shared" si="71"/>
        <v>0</v>
      </c>
      <c r="AU162" s="2">
        <f t="shared" si="71"/>
        <v>0</v>
      </c>
      <c r="AV162" s="2">
        <f t="shared" si="71"/>
        <v>0</v>
      </c>
      <c r="AW162" s="2"/>
    </row>
    <row r="163" spans="5:49" ht="15" outlineLevel="1">
      <c r="E163" s="44">
        <f t="shared" si="66"/>
        <v>35885</v>
      </c>
      <c r="G163" s="2" t="s">
        <v>105</v>
      </c>
      <c r="I163" s="2">
        <f t="shared" si="70"/>
        <v>10.668241521681203</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0.71121610144541358</v>
      </c>
      <c r="AA163" s="2">
        <f t="shared" si="71"/>
        <v>0.71121610144541358</v>
      </c>
      <c r="AB163" s="2">
        <f t="shared" si="71"/>
        <v>0.71121610144541358</v>
      </c>
      <c r="AC163" s="2">
        <f t="shared" si="71"/>
        <v>0.71121610144541358</v>
      </c>
      <c r="AD163" s="2">
        <f t="shared" si="71"/>
        <v>0.71121610144541358</v>
      </c>
      <c r="AE163" s="2">
        <f t="shared" si="71"/>
        <v>0.71121610144541358</v>
      </c>
      <c r="AF163" s="2">
        <f t="shared" si="71"/>
        <v>0.71121610144541358</v>
      </c>
      <c r="AG163" s="2">
        <f t="shared" si="71"/>
        <v>0.71121610144541358</v>
      </c>
      <c r="AH163" s="2">
        <f t="shared" si="71"/>
        <v>0.71121610144541358</v>
      </c>
      <c r="AI163" s="2">
        <f t="shared" si="71"/>
        <v>0.71121610144541358</v>
      </c>
      <c r="AJ163" s="2">
        <f t="shared" si="71"/>
        <v>0.71121610144541358</v>
      </c>
      <c r="AK163" s="2">
        <f t="shared" si="71"/>
        <v>0.71121610144541358</v>
      </c>
      <c r="AL163" s="2">
        <f t="shared" si="71"/>
        <v>0.71121610144541358</v>
      </c>
      <c r="AM163" s="2">
        <f t="shared" si="71"/>
        <v>0.71121610144541358</v>
      </c>
      <c r="AN163" s="2">
        <f t="shared" si="71"/>
        <v>0.71121610144541358</v>
      </c>
      <c r="AO163" s="2">
        <f t="shared" si="71"/>
        <v>0</v>
      </c>
      <c r="AP163" s="2">
        <f t="shared" si="71"/>
        <v>0</v>
      </c>
      <c r="AQ163" s="57">
        <f t="shared" si="71"/>
        <v>0</v>
      </c>
      <c r="AR163" s="2">
        <f t="shared" si="71"/>
        <v>0</v>
      </c>
      <c r="AS163" s="2">
        <f t="shared" si="71"/>
        <v>0</v>
      </c>
      <c r="AT163" s="2">
        <f t="shared" si="71"/>
        <v>0</v>
      </c>
      <c r="AU163" s="2">
        <f t="shared" si="71"/>
        <v>0</v>
      </c>
      <c r="AV163" s="2">
        <f t="shared" si="71"/>
        <v>0</v>
      </c>
      <c r="AW163" s="2"/>
    </row>
    <row r="164" spans="5:49" ht="15" outlineLevel="1">
      <c r="E164" s="44">
        <f t="shared" si="66"/>
        <v>36250</v>
      </c>
      <c r="G164" s="2" t="s">
        <v>105</v>
      </c>
      <c r="I164" s="2">
        <f t="shared" si="70"/>
        <v>9.7502761017594857</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0.65001840678396572</v>
      </c>
      <c r="AA164" s="2">
        <f t="shared" si="69"/>
        <v>0.65001840678396572</v>
      </c>
      <c r="AB164" s="2">
        <f t="shared" si="69"/>
        <v>0.65001840678396572</v>
      </c>
      <c r="AC164" s="2">
        <f t="shared" ref="AC164:AR180" si="72">AC$154 * $I164</f>
        <v>0.65001840678396572</v>
      </c>
      <c r="AD164" s="2">
        <f t="shared" si="72"/>
        <v>0.65001840678396572</v>
      </c>
      <c r="AE164" s="2">
        <f t="shared" si="72"/>
        <v>0.65001840678396572</v>
      </c>
      <c r="AF164" s="2">
        <f t="shared" si="72"/>
        <v>0.65001840678396572</v>
      </c>
      <c r="AG164" s="2">
        <f t="shared" si="72"/>
        <v>0.65001840678396572</v>
      </c>
      <c r="AH164" s="2">
        <f t="shared" si="72"/>
        <v>0.65001840678396572</v>
      </c>
      <c r="AI164" s="2">
        <f t="shared" si="72"/>
        <v>0.65001840678396572</v>
      </c>
      <c r="AJ164" s="2">
        <f t="shared" si="72"/>
        <v>0.65001840678396572</v>
      </c>
      <c r="AK164" s="2">
        <f t="shared" si="72"/>
        <v>0.65001840678396572</v>
      </c>
      <c r="AL164" s="2">
        <f t="shared" si="72"/>
        <v>0.65001840678396572</v>
      </c>
      <c r="AM164" s="2">
        <f t="shared" si="72"/>
        <v>0.65001840678396572</v>
      </c>
      <c r="AN164" s="2">
        <f t="shared" si="72"/>
        <v>0.65001840678396572</v>
      </c>
      <c r="AO164" s="2">
        <f t="shared" si="72"/>
        <v>0</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5" outlineLevel="1">
      <c r="E165" s="44">
        <f t="shared" si="66"/>
        <v>36616</v>
      </c>
      <c r="G165" s="2" t="s">
        <v>105</v>
      </c>
      <c r="I165" s="2">
        <f t="shared" si="70"/>
        <v>8.6342959280290188</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0.57561972853526788</v>
      </c>
      <c r="AA165" s="2">
        <f t="shared" si="69"/>
        <v>0.57561972853526788</v>
      </c>
      <c r="AB165" s="2">
        <f t="shared" si="69"/>
        <v>0.57561972853526788</v>
      </c>
      <c r="AC165" s="2">
        <f t="shared" si="72"/>
        <v>0.57561972853526788</v>
      </c>
      <c r="AD165" s="2">
        <f t="shared" si="72"/>
        <v>0.57561972853526788</v>
      </c>
      <c r="AE165" s="2">
        <f t="shared" si="72"/>
        <v>0.57561972853526788</v>
      </c>
      <c r="AF165" s="2">
        <f t="shared" si="72"/>
        <v>0.57561972853526788</v>
      </c>
      <c r="AG165" s="2">
        <f t="shared" si="72"/>
        <v>0.57561972853526788</v>
      </c>
      <c r="AH165" s="2">
        <f t="shared" si="72"/>
        <v>0.57561972853526788</v>
      </c>
      <c r="AI165" s="2">
        <f t="shared" si="72"/>
        <v>0.57561972853526788</v>
      </c>
      <c r="AJ165" s="2">
        <f t="shared" si="72"/>
        <v>0.57561972853526788</v>
      </c>
      <c r="AK165" s="2">
        <f t="shared" si="72"/>
        <v>0.57561972853526788</v>
      </c>
      <c r="AL165" s="2">
        <f t="shared" si="72"/>
        <v>0.57561972853526788</v>
      </c>
      <c r="AM165" s="2">
        <f t="shared" si="72"/>
        <v>0.57561972853526788</v>
      </c>
      <c r="AN165" s="2">
        <f t="shared" si="72"/>
        <v>0.57561972853526788</v>
      </c>
      <c r="AO165" s="2">
        <f t="shared" si="72"/>
        <v>0</v>
      </c>
      <c r="AP165" s="2">
        <f t="shared" si="72"/>
        <v>0</v>
      </c>
      <c r="AQ165" s="57">
        <f t="shared" si="72"/>
        <v>0</v>
      </c>
      <c r="AR165" s="2">
        <f t="shared" si="72"/>
        <v>0</v>
      </c>
      <c r="AS165" s="2">
        <f t="shared" si="73"/>
        <v>0</v>
      </c>
      <c r="AT165" s="2">
        <f t="shared" si="73"/>
        <v>0</v>
      </c>
      <c r="AU165" s="2">
        <f t="shared" si="73"/>
        <v>0</v>
      </c>
      <c r="AV165" s="2">
        <f t="shared" si="73"/>
        <v>0</v>
      </c>
      <c r="AW165" s="2"/>
    </row>
    <row r="166" spans="5:49" ht="15" outlineLevel="1">
      <c r="E166" s="44">
        <f t="shared" si="66"/>
        <v>36981</v>
      </c>
      <c r="G166" s="2" t="s">
        <v>105</v>
      </c>
      <c r="I166" s="2">
        <f t="shared" si="70"/>
        <v>7.0912335625829162</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0.4727489041721944</v>
      </c>
      <c r="AA166" s="2">
        <f t="shared" si="69"/>
        <v>0.4727489041721944</v>
      </c>
      <c r="AB166" s="2">
        <f t="shared" si="69"/>
        <v>0.4727489041721944</v>
      </c>
      <c r="AC166" s="2">
        <f t="shared" si="72"/>
        <v>0.4727489041721944</v>
      </c>
      <c r="AD166" s="2">
        <f t="shared" si="72"/>
        <v>0.4727489041721944</v>
      </c>
      <c r="AE166" s="2">
        <f t="shared" si="72"/>
        <v>0.4727489041721944</v>
      </c>
      <c r="AF166" s="2">
        <f t="shared" si="72"/>
        <v>0.4727489041721944</v>
      </c>
      <c r="AG166" s="2">
        <f t="shared" si="72"/>
        <v>0.4727489041721944</v>
      </c>
      <c r="AH166" s="2">
        <f t="shared" si="72"/>
        <v>0.4727489041721944</v>
      </c>
      <c r="AI166" s="2">
        <f t="shared" si="72"/>
        <v>0.4727489041721944</v>
      </c>
      <c r="AJ166" s="2">
        <f t="shared" si="72"/>
        <v>0.4727489041721944</v>
      </c>
      <c r="AK166" s="2">
        <f t="shared" si="72"/>
        <v>0.4727489041721944</v>
      </c>
      <c r="AL166" s="2">
        <f t="shared" si="72"/>
        <v>0.4727489041721944</v>
      </c>
      <c r="AM166" s="2">
        <f t="shared" si="72"/>
        <v>0.4727489041721944</v>
      </c>
      <c r="AN166" s="2">
        <f t="shared" si="72"/>
        <v>0.4727489041721944</v>
      </c>
      <c r="AO166" s="2">
        <f t="shared" si="72"/>
        <v>0</v>
      </c>
      <c r="AP166" s="2">
        <f t="shared" si="72"/>
        <v>0</v>
      </c>
      <c r="AQ166" s="57">
        <f t="shared" si="72"/>
        <v>0</v>
      </c>
      <c r="AR166" s="2">
        <f t="shared" si="72"/>
        <v>0</v>
      </c>
      <c r="AS166" s="2">
        <f t="shared" si="73"/>
        <v>0</v>
      </c>
      <c r="AT166" s="2">
        <f t="shared" si="73"/>
        <v>0</v>
      </c>
      <c r="AU166" s="2">
        <f t="shared" si="73"/>
        <v>0</v>
      </c>
      <c r="AV166" s="2">
        <f t="shared" si="73"/>
        <v>0</v>
      </c>
      <c r="AW166" s="2"/>
    </row>
    <row r="167" spans="5:49" ht="15" outlineLevel="1">
      <c r="E167" s="44">
        <f t="shared" si="66"/>
        <v>37346</v>
      </c>
      <c r="G167" s="2" t="s">
        <v>105</v>
      </c>
      <c r="I167" s="2">
        <f t="shared" si="70"/>
        <v>5.9902157369447089</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0.3993477157963139</v>
      </c>
      <c r="AA167" s="2">
        <f t="shared" si="69"/>
        <v>0.3993477157963139</v>
      </c>
      <c r="AB167" s="2">
        <f t="shared" si="69"/>
        <v>0.3993477157963139</v>
      </c>
      <c r="AC167" s="2">
        <f t="shared" si="72"/>
        <v>0.3993477157963139</v>
      </c>
      <c r="AD167" s="2">
        <f t="shared" si="72"/>
        <v>0.3993477157963139</v>
      </c>
      <c r="AE167" s="2">
        <f t="shared" si="72"/>
        <v>0.3993477157963139</v>
      </c>
      <c r="AF167" s="2">
        <f t="shared" si="72"/>
        <v>0.3993477157963139</v>
      </c>
      <c r="AG167" s="2">
        <f t="shared" si="72"/>
        <v>0.3993477157963139</v>
      </c>
      <c r="AH167" s="2">
        <f t="shared" si="72"/>
        <v>0.3993477157963139</v>
      </c>
      <c r="AI167" s="2">
        <f t="shared" si="72"/>
        <v>0.3993477157963139</v>
      </c>
      <c r="AJ167" s="2">
        <f t="shared" si="72"/>
        <v>0.3993477157963139</v>
      </c>
      <c r="AK167" s="2">
        <f t="shared" si="72"/>
        <v>0.3993477157963139</v>
      </c>
      <c r="AL167" s="2">
        <f t="shared" si="72"/>
        <v>0.3993477157963139</v>
      </c>
      <c r="AM167" s="2">
        <f t="shared" si="72"/>
        <v>0.3993477157963139</v>
      </c>
      <c r="AN167" s="2">
        <f t="shared" si="72"/>
        <v>0.3993477157963139</v>
      </c>
      <c r="AO167" s="2">
        <f t="shared" si="72"/>
        <v>0</v>
      </c>
      <c r="AP167" s="2">
        <f t="shared" si="72"/>
        <v>0</v>
      </c>
      <c r="AQ167" s="57">
        <f t="shared" si="72"/>
        <v>0</v>
      </c>
      <c r="AR167" s="2">
        <f t="shared" si="72"/>
        <v>0</v>
      </c>
      <c r="AS167" s="2">
        <f t="shared" si="73"/>
        <v>0</v>
      </c>
      <c r="AT167" s="2">
        <f t="shared" si="73"/>
        <v>0</v>
      </c>
      <c r="AU167" s="2">
        <f t="shared" si="73"/>
        <v>0</v>
      </c>
      <c r="AV167" s="2">
        <f t="shared" si="73"/>
        <v>0</v>
      </c>
      <c r="AW167" s="2"/>
    </row>
    <row r="168" spans="5:49" ht="15" outlineLevel="1">
      <c r="E168" s="44">
        <f t="shared" si="66"/>
        <v>37711</v>
      </c>
      <c r="G168" s="2" t="s">
        <v>105</v>
      </c>
      <c r="I168" s="2">
        <f t="shared" si="70"/>
        <v>3.6878396109906335</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0.24585597406604223</v>
      </c>
      <c r="AA168" s="2">
        <f t="shared" si="69"/>
        <v>0.24585597406604223</v>
      </c>
      <c r="AB168" s="2">
        <f t="shared" si="69"/>
        <v>0.24585597406604223</v>
      </c>
      <c r="AC168" s="2">
        <f t="shared" si="72"/>
        <v>0.24585597406604223</v>
      </c>
      <c r="AD168" s="2">
        <f t="shared" si="72"/>
        <v>0.24585597406604223</v>
      </c>
      <c r="AE168" s="2">
        <f t="shared" si="72"/>
        <v>0.24585597406604223</v>
      </c>
      <c r="AF168" s="2">
        <f t="shared" si="72"/>
        <v>0.24585597406604223</v>
      </c>
      <c r="AG168" s="2">
        <f t="shared" si="72"/>
        <v>0.24585597406604223</v>
      </c>
      <c r="AH168" s="2">
        <f t="shared" si="72"/>
        <v>0.24585597406604223</v>
      </c>
      <c r="AI168" s="2">
        <f t="shared" si="72"/>
        <v>0.24585597406604223</v>
      </c>
      <c r="AJ168" s="2">
        <f t="shared" si="72"/>
        <v>0.24585597406604223</v>
      </c>
      <c r="AK168" s="2">
        <f t="shared" si="72"/>
        <v>0.24585597406604223</v>
      </c>
      <c r="AL168" s="2">
        <f t="shared" si="72"/>
        <v>0.24585597406604223</v>
      </c>
      <c r="AM168" s="2">
        <f t="shared" si="72"/>
        <v>0.24585597406604223</v>
      </c>
      <c r="AN168" s="2">
        <f t="shared" si="72"/>
        <v>0.24585597406604223</v>
      </c>
      <c r="AO168" s="2">
        <f t="shared" si="72"/>
        <v>0</v>
      </c>
      <c r="AP168" s="2">
        <f t="shared" si="72"/>
        <v>0</v>
      </c>
      <c r="AQ168" s="57">
        <f t="shared" si="72"/>
        <v>0</v>
      </c>
      <c r="AR168" s="2">
        <f t="shared" si="72"/>
        <v>0</v>
      </c>
      <c r="AS168" s="2">
        <f t="shared" si="73"/>
        <v>0</v>
      </c>
      <c r="AT168" s="2">
        <f t="shared" si="73"/>
        <v>0</v>
      </c>
      <c r="AU168" s="2">
        <f t="shared" si="73"/>
        <v>0</v>
      </c>
      <c r="AV168" s="2">
        <f t="shared" si="73"/>
        <v>0</v>
      </c>
      <c r="AW168" s="2"/>
    </row>
    <row r="169" spans="5:49" ht="15" outlineLevel="1">
      <c r="E169" s="44">
        <f t="shared" si="66"/>
        <v>38077</v>
      </c>
      <c r="G169" s="2" t="s">
        <v>105</v>
      </c>
      <c r="I169" s="2">
        <f t="shared" si="70"/>
        <v>1.9451785805660067</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0.12967857203773378</v>
      </c>
      <c r="AA169" s="2">
        <f t="shared" si="69"/>
        <v>0.12967857203773378</v>
      </c>
      <c r="AB169" s="2">
        <f t="shared" si="69"/>
        <v>0.12967857203773378</v>
      </c>
      <c r="AC169" s="2">
        <f t="shared" si="72"/>
        <v>0.12967857203773378</v>
      </c>
      <c r="AD169" s="2">
        <f t="shared" si="72"/>
        <v>0.12967857203773378</v>
      </c>
      <c r="AE169" s="2">
        <f t="shared" si="72"/>
        <v>0.12967857203773378</v>
      </c>
      <c r="AF169" s="2">
        <f t="shared" si="72"/>
        <v>0.12967857203773378</v>
      </c>
      <c r="AG169" s="2">
        <f t="shared" si="72"/>
        <v>0.12967857203773378</v>
      </c>
      <c r="AH169" s="2">
        <f t="shared" si="72"/>
        <v>0.12967857203773378</v>
      </c>
      <c r="AI169" s="2">
        <f t="shared" si="72"/>
        <v>0.12967857203773378</v>
      </c>
      <c r="AJ169" s="2">
        <f t="shared" si="72"/>
        <v>0.12967857203773378</v>
      </c>
      <c r="AK169" s="2">
        <f t="shared" si="72"/>
        <v>0.12967857203773378</v>
      </c>
      <c r="AL169" s="2">
        <f t="shared" si="72"/>
        <v>0.12967857203773378</v>
      </c>
      <c r="AM169" s="2">
        <f t="shared" si="72"/>
        <v>0.12967857203773378</v>
      </c>
      <c r="AN169" s="2">
        <f t="shared" si="72"/>
        <v>0.12967857203773378</v>
      </c>
      <c r="AO169" s="2">
        <f t="shared" si="72"/>
        <v>0</v>
      </c>
      <c r="AP169" s="2">
        <f t="shared" si="72"/>
        <v>0</v>
      </c>
      <c r="AQ169" s="57">
        <f t="shared" si="72"/>
        <v>0</v>
      </c>
      <c r="AR169" s="2">
        <f t="shared" si="72"/>
        <v>0</v>
      </c>
      <c r="AS169" s="2">
        <f t="shared" si="73"/>
        <v>0</v>
      </c>
      <c r="AT169" s="2">
        <f t="shared" si="73"/>
        <v>0</v>
      </c>
      <c r="AU169" s="2">
        <f t="shared" si="73"/>
        <v>0</v>
      </c>
      <c r="AV169" s="2">
        <f t="shared" si="73"/>
        <v>0</v>
      </c>
      <c r="AW169" s="2"/>
    </row>
    <row r="170" spans="5:49" ht="15" outlineLevel="1">
      <c r="E170" s="44">
        <f t="shared" si="66"/>
        <v>38442</v>
      </c>
      <c r="G170" s="2" t="s">
        <v>105</v>
      </c>
      <c r="I170" s="2">
        <f t="shared" si="70"/>
        <v>0</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v>
      </c>
      <c r="AB170" s="2">
        <f t="shared" si="69"/>
        <v>0</v>
      </c>
      <c r="AC170" s="2">
        <f t="shared" si="72"/>
        <v>0</v>
      </c>
      <c r="AD170" s="2">
        <f t="shared" si="72"/>
        <v>0</v>
      </c>
      <c r="AE170" s="2">
        <f t="shared" si="72"/>
        <v>0</v>
      </c>
      <c r="AF170" s="2">
        <f t="shared" si="72"/>
        <v>0</v>
      </c>
      <c r="AG170" s="2">
        <f t="shared" si="72"/>
        <v>0</v>
      </c>
      <c r="AH170" s="2">
        <f t="shared" si="72"/>
        <v>0</v>
      </c>
      <c r="AI170" s="2">
        <f t="shared" si="72"/>
        <v>0</v>
      </c>
      <c r="AJ170" s="2">
        <f t="shared" si="72"/>
        <v>0</v>
      </c>
      <c r="AK170" s="2">
        <f t="shared" si="72"/>
        <v>0</v>
      </c>
      <c r="AL170" s="2">
        <f t="shared" si="72"/>
        <v>0</v>
      </c>
      <c r="AM170" s="2">
        <f t="shared" si="72"/>
        <v>0</v>
      </c>
      <c r="AN170" s="2">
        <f t="shared" si="72"/>
        <v>0</v>
      </c>
      <c r="AO170" s="2">
        <f t="shared" si="72"/>
        <v>0</v>
      </c>
      <c r="AP170" s="2">
        <f t="shared" si="72"/>
        <v>0</v>
      </c>
      <c r="AQ170" s="57">
        <f t="shared" si="72"/>
        <v>0</v>
      </c>
      <c r="AR170" s="2">
        <f t="shared" si="72"/>
        <v>0</v>
      </c>
      <c r="AS170" s="2">
        <f t="shared" si="73"/>
        <v>0</v>
      </c>
      <c r="AT170" s="2">
        <f t="shared" si="73"/>
        <v>0</v>
      </c>
      <c r="AU170" s="2">
        <f t="shared" si="73"/>
        <v>0</v>
      </c>
      <c r="AV170" s="2">
        <f t="shared" si="73"/>
        <v>0</v>
      </c>
      <c r="AW170" s="2"/>
    </row>
    <row r="171" spans="5:49" ht="15" outlineLevel="1">
      <c r="E171" s="44">
        <f t="shared" si="66"/>
        <v>38807</v>
      </c>
      <c r="G171" s="2" t="s">
        <v>105</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5" outlineLevel="1">
      <c r="E172" s="44">
        <f t="shared" si="66"/>
        <v>39172</v>
      </c>
      <c r="G172" s="2" t="s">
        <v>105</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5" outlineLevel="1">
      <c r="E173" s="44">
        <f t="shared" si="66"/>
        <v>39538</v>
      </c>
      <c r="G173" s="2" t="s">
        <v>105</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5" outlineLevel="1">
      <c r="E174" s="44">
        <f t="shared" si="66"/>
        <v>39903</v>
      </c>
      <c r="G174" s="2" t="s">
        <v>105</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5" outlineLevel="1">
      <c r="E175" s="44">
        <f t="shared" si="66"/>
        <v>40268</v>
      </c>
      <c r="G175" s="2" t="s">
        <v>105</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5" outlineLevel="1">
      <c r="E176" s="44">
        <f t="shared" si="66"/>
        <v>40633</v>
      </c>
      <c r="G176" s="2" t="s">
        <v>105</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5" outlineLevel="1">
      <c r="E177" s="44">
        <f t="shared" si="66"/>
        <v>40999</v>
      </c>
      <c r="G177" s="2" t="s">
        <v>105</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5" outlineLevel="1">
      <c r="E178" s="44">
        <f t="shared" si="66"/>
        <v>41364</v>
      </c>
      <c r="G178" s="2" t="s">
        <v>105</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5" outlineLevel="1">
      <c r="E179" s="44">
        <f t="shared" si="66"/>
        <v>41729</v>
      </c>
      <c r="G179" s="2" t="s">
        <v>105</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5" outlineLevel="1">
      <c r="E180" s="44">
        <f t="shared" si="66"/>
        <v>42094</v>
      </c>
      <c r="G180" s="2" t="s">
        <v>105</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5" outlineLevel="1">
      <c r="E181" s="44">
        <f t="shared" si="66"/>
        <v>42460</v>
      </c>
      <c r="G181" s="2" t="s">
        <v>105</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5" outlineLevel="1">
      <c r="E182" s="44">
        <f t="shared" si="66"/>
        <v>42825</v>
      </c>
      <c r="G182" s="2" t="s">
        <v>105</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5" outlineLevel="1">
      <c r="E183" s="44">
        <f t="shared" si="66"/>
        <v>43190</v>
      </c>
      <c r="G183" s="2" t="s">
        <v>105</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5" outlineLevel="1">
      <c r="E184" s="44">
        <f t="shared" si="66"/>
        <v>43555</v>
      </c>
      <c r="G184" s="2" t="s">
        <v>105</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5" outlineLevel="1">
      <c r="E185" s="44">
        <f t="shared" si="66"/>
        <v>43921</v>
      </c>
      <c r="G185" s="2" t="s">
        <v>105</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5" outlineLevel="1">
      <c r="E186" s="44">
        <f t="shared" si="66"/>
        <v>44286</v>
      </c>
      <c r="G186" s="2" t="s">
        <v>105</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5" outlineLevel="1">
      <c r="E187" s="44">
        <f t="shared" si="66"/>
        <v>44651</v>
      </c>
      <c r="G187" s="2" t="s">
        <v>105</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5" outlineLevel="1">
      <c r="E188" s="44">
        <f t="shared" si="66"/>
        <v>45016</v>
      </c>
      <c r="G188" s="2" t="s">
        <v>105</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5" outlineLevel="1">
      <c r="E189" s="44">
        <f t="shared" si="66"/>
        <v>45382</v>
      </c>
      <c r="G189" s="2" t="s">
        <v>105</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5" outlineLevel="1">
      <c r="E190" s="44">
        <f t="shared" si="66"/>
        <v>45747</v>
      </c>
      <c r="G190" s="2" t="s">
        <v>105</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5" outlineLevel="1">
      <c r="E191" s="44">
        <f t="shared" si="66"/>
        <v>46112</v>
      </c>
      <c r="G191" s="2" t="s">
        <v>105</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5" outlineLevel="1">
      <c r="E192" s="44">
        <f t="shared" ref="E192:E193" si="79">E102</f>
        <v>46477</v>
      </c>
      <c r="G192" s="2" t="s">
        <v>105</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5" outlineLevel="1">
      <c r="E193" s="44">
        <f t="shared" si="79"/>
        <v>46843</v>
      </c>
      <c r="G193" s="2" t="s">
        <v>105</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5">
      <c r="A196" s="2"/>
      <c r="B196" s="22" t="s">
        <v>902</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5">
      <c r="B197" s="4" t="s">
        <v>903</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5">
      <c r="B199" s="34"/>
      <c r="C199" s="20" t="s">
        <v>904</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5"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5" outlineLevel="1">
      <c r="B201" s="34"/>
      <c r="C201" s="34"/>
      <c r="D201" s="34"/>
      <c r="E201" s="34" t="s">
        <v>905</v>
      </c>
      <c r="F201" s="34"/>
      <c r="G201" s="7" t="s">
        <v>281</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20</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5" outlineLevel="1">
      <c r="B202" s="34"/>
      <c r="C202" s="34"/>
      <c r="D202" s="34"/>
      <c r="E202" s="34" t="s">
        <v>890</v>
      </c>
      <c r="F202" s="34"/>
      <c r="G202" s="7" t="s">
        <v>209</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3.0030030030030033E-2</v>
      </c>
      <c r="X202" s="142">
        <f t="shared" si="84"/>
        <v>3.0030030030030033E-2</v>
      </c>
      <c r="Y202" s="142">
        <f t="shared" si="84"/>
        <v>3.0030030030030033E-2</v>
      </c>
      <c r="Z202" s="142">
        <f t="shared" si="84"/>
        <v>0.05</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5"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5">
      <c r="B204" s="34"/>
      <c r="C204" s="34"/>
      <c r="D204" s="34"/>
      <c r="E204" s="34" t="s">
        <v>906</v>
      </c>
      <c r="F204" s="34"/>
      <c r="G204" s="2" t="s">
        <v>105</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6.5815781022823669</v>
      </c>
      <c r="AL204" s="34">
        <f t="shared" si="85"/>
        <v>12.267289497173486</v>
      </c>
      <c r="AM204" s="34">
        <f t="shared" si="85"/>
        <v>16.946378592494536</v>
      </c>
      <c r="AN204" s="34">
        <f t="shared" si="85"/>
        <v>21.189077967885733</v>
      </c>
      <c r="AO204" s="34">
        <f t="shared" si="85"/>
        <v>25.24773284910362</v>
      </c>
      <c r="AP204" s="34">
        <f t="shared" si="85"/>
        <v>28.799715515427838</v>
      </c>
      <c r="AQ204" s="36">
        <f t="shared" si="85"/>
        <v>31.842555242347277</v>
      </c>
      <c r="AR204" s="34">
        <f t="shared" si="85"/>
        <v>34.405343672533945</v>
      </c>
      <c r="AS204" s="34">
        <f t="shared" si="85"/>
        <v>34.405343672533945</v>
      </c>
      <c r="AT204" s="34">
        <f t="shared" si="85"/>
        <v>34.405343672533945</v>
      </c>
      <c r="AU204" s="34">
        <f t="shared" si="85"/>
        <v>34.405343672533945</v>
      </c>
      <c r="AV204" s="34">
        <f t="shared" si="85"/>
        <v>34.405343672533945</v>
      </c>
    </row>
    <row r="205" spans="1:49">
      <c r="AQ205" s="220"/>
    </row>
    <row r="206" spans="1:49" ht="15">
      <c r="A206" s="2"/>
      <c r="B206" s="2"/>
      <c r="C206" s="20" t="s">
        <v>907</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5" outlineLevel="1">
      <c r="E208" s="34" t="s">
        <v>908</v>
      </c>
      <c r="G208" s="2" t="s">
        <v>105</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6.5815781022823669</v>
      </c>
      <c r="AL208" s="2">
        <f t="shared" si="86"/>
        <v>12.267289497173486</v>
      </c>
      <c r="AM208" s="2">
        <f t="shared" si="86"/>
        <v>16.946378592494536</v>
      </c>
      <c r="AN208" s="2">
        <f t="shared" si="86"/>
        <v>21.189077967885733</v>
      </c>
      <c r="AO208" s="2">
        <f t="shared" si="86"/>
        <v>25.24773284910362</v>
      </c>
      <c r="AP208" s="2">
        <f t="shared" si="86"/>
        <v>28.799715515427838</v>
      </c>
      <c r="AQ208" s="57">
        <f t="shared" si="86"/>
        <v>31.842555242347277</v>
      </c>
      <c r="AR208" s="2">
        <f t="shared" si="86"/>
        <v>34.405343672533945</v>
      </c>
      <c r="AS208" s="2">
        <f t="shared" si="86"/>
        <v>34.405343672533945</v>
      </c>
      <c r="AT208" s="2">
        <f t="shared" si="86"/>
        <v>34.405343672533945</v>
      </c>
      <c r="AU208" s="2">
        <f t="shared" si="86"/>
        <v>34.405343672533945</v>
      </c>
      <c r="AV208" s="2">
        <f t="shared" si="86"/>
        <v>34.405343672533945</v>
      </c>
    </row>
    <row r="209" spans="5:49" outlineLevel="1">
      <c r="AQ209" s="220"/>
    </row>
    <row r="210" spans="5:49" ht="15" outlineLevel="1">
      <c r="E210" s="44">
        <f>INDEX($K$4:$AV$4,,COUNT(E$209:E209)+1)</f>
        <v>33328</v>
      </c>
      <c r="G210" s="2" t="s">
        <v>105</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5" outlineLevel="1">
      <c r="E211" s="44">
        <f>INDEX($K$4:$AV$4,,COUNT(E$209:E210)+1)</f>
        <v>33694</v>
      </c>
      <c r="G211" s="2" t="s">
        <v>105</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5" outlineLevel="1">
      <c r="E212" s="44">
        <f>INDEX($K$4:$AV$4,,COUNT(E$209:E211)+1)</f>
        <v>34059</v>
      </c>
      <c r="G212" s="2" t="s">
        <v>105</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5" outlineLevel="1">
      <c r="E213" s="44">
        <f>INDEX($K$4:$AV$4,,COUNT(E$209:E212)+1)</f>
        <v>34424</v>
      </c>
      <c r="G213" s="2" t="s">
        <v>105</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5" outlineLevel="1">
      <c r="E214" s="44">
        <f>INDEX($K$4:$AV$4,,COUNT(E$209:E213)+1)</f>
        <v>34789</v>
      </c>
      <c r="G214" s="2" t="s">
        <v>105</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5" outlineLevel="1">
      <c r="E215" s="44">
        <f>INDEX($K$4:$AV$4,,COUNT(E$209:E214)+1)</f>
        <v>35155</v>
      </c>
      <c r="G215" s="2" t="s">
        <v>105</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5" outlineLevel="1">
      <c r="E216" s="44">
        <f>INDEX($K$4:$AV$4,,COUNT(E$209:E215)+1)</f>
        <v>35520</v>
      </c>
      <c r="G216" s="2" t="s">
        <v>105</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5" outlineLevel="1">
      <c r="E217" s="44">
        <f>INDEX($K$4:$AV$4,,COUNT(E$209:E216)+1)</f>
        <v>35885</v>
      </c>
      <c r="G217" s="2" t="s">
        <v>105</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5" outlineLevel="1">
      <c r="E218" s="44">
        <f>INDEX($K$4:$AV$4,,COUNT(E$209:E217)+1)</f>
        <v>36250</v>
      </c>
      <c r="G218" s="2" t="s">
        <v>105</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5" outlineLevel="1">
      <c r="E219" s="44">
        <f>INDEX($K$4:$AV$4,,COUNT(E$209:E218)+1)</f>
        <v>36616</v>
      </c>
      <c r="G219" s="2" t="s">
        <v>105</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5" outlineLevel="1">
      <c r="E220" s="44">
        <f>INDEX($K$4:$AV$4,,COUNT(E$209:E219)+1)</f>
        <v>36981</v>
      </c>
      <c r="G220" s="2" t="s">
        <v>105</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5" outlineLevel="1">
      <c r="E221" s="44">
        <f>INDEX($K$4:$AV$4,,COUNT(E$209:E220)+1)</f>
        <v>37346</v>
      </c>
      <c r="G221" s="2" t="s">
        <v>105</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5" outlineLevel="1">
      <c r="E222" s="44">
        <f>INDEX($K$4:$AV$4,,COUNT(E$209:E221)+1)</f>
        <v>37711</v>
      </c>
      <c r="G222" s="2" t="s">
        <v>105</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5" outlineLevel="1">
      <c r="E223" s="44">
        <f>INDEX($K$4:$AV$4,,COUNT(E$209:E222)+1)</f>
        <v>38077</v>
      </c>
      <c r="G223" s="2" t="s">
        <v>105</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5" outlineLevel="1">
      <c r="E224" s="44">
        <f>INDEX($K$4:$AV$4,,COUNT(E$209:E223)+1)</f>
        <v>38442</v>
      </c>
      <c r="G224" s="2" t="s">
        <v>105</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5" outlineLevel="1">
      <c r="E225" s="44">
        <f>INDEX($K$4:$AV$4,,COUNT(E$209:E224)+1)</f>
        <v>38807</v>
      </c>
      <c r="G225" s="2" t="s">
        <v>105</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5" outlineLevel="1">
      <c r="E226" s="44">
        <f>INDEX($K$4:$AV$4,,COUNT(E$209:E225)+1)</f>
        <v>39172</v>
      </c>
      <c r="G226" s="2" t="s">
        <v>105</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5" outlineLevel="1">
      <c r="E227" s="44">
        <f>INDEX($K$4:$AV$4,,COUNT(E$209:E226)+1)</f>
        <v>39538</v>
      </c>
      <c r="G227" s="2" t="s">
        <v>105</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5" outlineLevel="1">
      <c r="E228" s="44">
        <f>INDEX($K$4:$AV$4,,COUNT(E$209:E227)+1)</f>
        <v>39903</v>
      </c>
      <c r="G228" s="2" t="s">
        <v>105</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5" outlineLevel="1">
      <c r="E229" s="44">
        <f>INDEX($K$4:$AV$4,,COUNT(E$209:E228)+1)</f>
        <v>40268</v>
      </c>
      <c r="G229" s="2" t="s">
        <v>105</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5" outlineLevel="1">
      <c r="E230" s="44">
        <f>INDEX($K$4:$AV$4,,COUNT(E$209:E229)+1)</f>
        <v>40633</v>
      </c>
      <c r="G230" s="2" t="s">
        <v>105</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5" outlineLevel="1">
      <c r="E231" s="44">
        <f>INDEX($K$4:$AV$4,,COUNT(E$209:E230)+1)</f>
        <v>40999</v>
      </c>
      <c r="G231" s="2" t="s">
        <v>105</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5" outlineLevel="1">
      <c r="E232" s="44">
        <f>INDEX($K$4:$AV$4,,COUNT(E$209:E231)+1)</f>
        <v>41364</v>
      </c>
      <c r="G232" s="2" t="s">
        <v>105</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5" outlineLevel="1">
      <c r="E233" s="44">
        <f>INDEX($K$4:$AV$4,,COUNT(E$209:E232)+1)</f>
        <v>41729</v>
      </c>
      <c r="G233" s="2" t="s">
        <v>105</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5" outlineLevel="1">
      <c r="E234" s="44">
        <f>INDEX($K$4:$AV$4,,COUNT(E$209:E233)+1)</f>
        <v>42094</v>
      </c>
      <c r="G234" s="2" t="s">
        <v>105</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5" outlineLevel="1">
      <c r="E235" s="44">
        <f>INDEX($K$4:$AV$4,,COUNT(E$209:E234)+1)</f>
        <v>42460</v>
      </c>
      <c r="G235" s="2" t="s">
        <v>105</v>
      </c>
      <c r="I235" s="2" cm="1">
        <f t="array" ref="I235">INDEX($K$25:$AV$25,,MATCH(E235,$K$4:$AV$4,0))</f>
        <v>152.19899361527973</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6.5815781022823669</v>
      </c>
      <c r="AL235" s="2">
        <f>IF(AK$4=$E235, $I235*AK$202,0) + IF(AK$4&gt;$E235,MIN(AK235,$I235-SUM($J235:AK235)))</f>
        <v>6.5815781022823669</v>
      </c>
      <c r="AM235" s="2">
        <f>IF(AL$4=$E235, $I235*AL$202,0) + IF(AL$4&gt;$E235,MIN(AL235,$I235-SUM($J235:AL235)))</f>
        <v>6.5815781022823669</v>
      </c>
      <c r="AN235" s="2">
        <f>IF(AM$4=$E235, $I235*AM$202,0) + IF(AM$4&gt;$E235,MIN(AM235,$I235-SUM($J235:AM235)))</f>
        <v>6.5815781022823669</v>
      </c>
      <c r="AO235" s="2">
        <f>IF(AN$4=$E235, $I235*AN$202,0) + IF(AN$4&gt;$E235,MIN(AN235,$I235-SUM($J235:AN235)))</f>
        <v>6.5815781022823669</v>
      </c>
      <c r="AP235" s="2">
        <f>IF(AO$4=$E235, $I235*AO$202,0) + IF(AO$4&gt;$E235,MIN(AO235,$I235-SUM($J235:AO235)))</f>
        <v>6.5815781022823669</v>
      </c>
      <c r="AQ235" s="57">
        <f>IF(AP$4=$E235, $I235*AP$202,0) + IF(AP$4&gt;$E235,MIN(AP235,$I235-SUM($J235:AP235)))</f>
        <v>6.5815781022823669</v>
      </c>
      <c r="AR235" s="2">
        <f>IF(AQ$4=$E235, $I235*AQ$202,0) + IF(AQ$4&gt;$E235,MIN(AQ235,$I235-SUM($J235:AQ235)))</f>
        <v>6.5815781022823669</v>
      </c>
      <c r="AS235" s="2">
        <f>IF(AR$4=$E235, $I235*AR$202,0) + IF(AR$4&gt;$E235,MIN(AR235,$I235-SUM($J235:AR235)))</f>
        <v>6.5815781022823669</v>
      </c>
      <c r="AT235" s="2">
        <f>IF(AS$4=$E235, $I235*AS$202,0) + IF(AS$4&gt;$E235,MIN(AS235,$I235-SUM($J235:AS235)))</f>
        <v>6.5815781022823669</v>
      </c>
      <c r="AU235" s="2">
        <f>IF(AT$4=$E235, $I235*AT$202,0) + IF(AT$4&gt;$E235,MIN(AT235,$I235-SUM($J235:AT235)))</f>
        <v>6.5815781022823669</v>
      </c>
      <c r="AV235" s="2">
        <f>IF(AU$4=$E235, $I235*AU$202,0) + IF(AU$4&gt;$E235,MIN(AU235,$I235-SUM($J235:AU235)))</f>
        <v>6.5815781022823669</v>
      </c>
      <c r="AW235" s="2"/>
    </row>
    <row r="236" spans="5:49" ht="15" outlineLevel="1">
      <c r="E236" s="44">
        <f>INDEX($K$4:$AV$4,,COUNT(E$209:E235)+1)</f>
        <v>42825</v>
      </c>
      <c r="G236" s="2" t="s">
        <v>105</v>
      </c>
      <c r="I236" s="2" cm="1">
        <f t="array" ref="I236">INDEX($K$25:$AV$25,,MATCH(E236,$K$4:$AV$4,0))</f>
        <v>149.2499241158919</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5.6857113948911202</v>
      </c>
      <c r="AM236" s="2">
        <f>IF(AL$4=$E236, $I236*AL$202,0) + IF(AL$4&gt;$E236,MIN(AL236,$I236-SUM($J236:AL236)))</f>
        <v>5.6857113948911202</v>
      </c>
      <c r="AN236" s="2">
        <f>IF(AM$4=$E236, $I236*AM$202,0) + IF(AM$4&gt;$E236,MIN(AM236,$I236-SUM($J236:AM236)))</f>
        <v>5.6857113948911202</v>
      </c>
      <c r="AO236" s="2">
        <f>IF(AN$4=$E236, $I236*AN$202,0) + IF(AN$4&gt;$E236,MIN(AN236,$I236-SUM($J236:AN236)))</f>
        <v>5.6857113948911202</v>
      </c>
      <c r="AP236" s="2">
        <f>IF(AO$4=$E236, $I236*AO$202,0) + IF(AO$4&gt;$E236,MIN(AO236,$I236-SUM($J236:AO236)))</f>
        <v>5.6857113948911202</v>
      </c>
      <c r="AQ236" s="57">
        <f>IF(AP$4=$E236, $I236*AP$202,0) + IF(AP$4&gt;$E236,MIN(AP236,$I236-SUM($J236:AP236)))</f>
        <v>5.6857113948911202</v>
      </c>
      <c r="AR236" s="2">
        <f>IF(AQ$4=$E236, $I236*AQ$202,0) + IF(AQ$4&gt;$E236,MIN(AQ236,$I236-SUM($J236:AQ236)))</f>
        <v>5.6857113948911202</v>
      </c>
      <c r="AS236" s="2">
        <f>IF(AR$4=$E236, $I236*AR$202,0) + IF(AR$4&gt;$E236,MIN(AR236,$I236-SUM($J236:AR236)))</f>
        <v>5.6857113948911202</v>
      </c>
      <c r="AT236" s="2">
        <f>IF(AS$4=$E236, $I236*AS$202,0) + IF(AS$4&gt;$E236,MIN(AS236,$I236-SUM($J236:AS236)))</f>
        <v>5.6857113948911202</v>
      </c>
      <c r="AU236" s="2">
        <f>IF(AT$4=$E236, $I236*AT$202,0) + IF(AT$4&gt;$E236,MIN(AT236,$I236-SUM($J236:AT236)))</f>
        <v>5.6857113948911202</v>
      </c>
      <c r="AV236" s="2">
        <f>IF(AU$4=$E236, $I236*AU$202,0) + IF(AU$4&gt;$E236,MIN(AU236,$I236-SUM($J236:AU236)))</f>
        <v>5.6857113948911202</v>
      </c>
      <c r="AW236" s="2"/>
    </row>
    <row r="237" spans="5:49" ht="15" outlineLevel="1">
      <c r="E237" s="44">
        <f>INDEX($K$4:$AV$4,,COUNT(E$209:E236)+1)</f>
        <v>43190</v>
      </c>
      <c r="G237" s="2" t="s">
        <v>105</v>
      </c>
      <c r="I237" s="2" cm="1">
        <f t="array" ref="I237">INDEX($K$25:$AV$25,,MATCH(E237,$K$4:$AV$4,0))</f>
        <v>137.44824217505581</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4.6790890953210491</v>
      </c>
      <c r="AN237" s="2">
        <f>IF(AM$4=$E237, $I237*AM$202,0) + IF(AM$4&gt;$E237,MIN(AM237,$I237-SUM($J237:AM237)))</f>
        <v>4.6790890953210491</v>
      </c>
      <c r="AO237" s="2">
        <f>IF(AN$4=$E237, $I237*AN$202,0) + IF(AN$4&gt;$E237,MIN(AN237,$I237-SUM($J237:AN237)))</f>
        <v>4.6790890953210491</v>
      </c>
      <c r="AP237" s="2">
        <f>IF(AO$4=$E237, $I237*AO$202,0) + IF(AO$4&gt;$E237,MIN(AO237,$I237-SUM($J237:AO237)))</f>
        <v>4.6790890953210491</v>
      </c>
      <c r="AQ237" s="57">
        <f>IF(AP$4=$E237, $I237*AP$202,0) + IF(AP$4&gt;$E237,MIN(AP237,$I237-SUM($J237:AP237)))</f>
        <v>4.6790890953210491</v>
      </c>
      <c r="AR237" s="2">
        <f>IF(AQ$4=$E237, $I237*AQ$202,0) + IF(AQ$4&gt;$E237,MIN(AQ237,$I237-SUM($J237:AQ237)))</f>
        <v>4.6790890953210491</v>
      </c>
      <c r="AS237" s="2">
        <f>IF(AR$4=$E237, $I237*AR$202,0) + IF(AR$4&gt;$E237,MIN(AR237,$I237-SUM($J237:AR237)))</f>
        <v>4.6790890953210491</v>
      </c>
      <c r="AT237" s="2">
        <f>IF(AS$4=$E237, $I237*AS$202,0) + IF(AS$4&gt;$E237,MIN(AS237,$I237-SUM($J237:AS237)))</f>
        <v>4.6790890953210491</v>
      </c>
      <c r="AU237" s="2">
        <f>IF(AT$4=$E237, $I237*AT$202,0) + IF(AT$4&gt;$E237,MIN(AT237,$I237-SUM($J237:AT237)))</f>
        <v>4.6790890953210491</v>
      </c>
      <c r="AV237" s="2">
        <f>IF(AU$4=$E237, $I237*AU$202,0) + IF(AU$4&gt;$E237,MIN(AU237,$I237-SUM($J237:AU237)))</f>
        <v>4.6790890953210491</v>
      </c>
      <c r="AW237" s="2"/>
    </row>
    <row r="238" spans="5:49" ht="15" outlineLevel="1">
      <c r="E238" s="44">
        <f>INDEX($K$4:$AV$4,,COUNT(E$209:E237)+1)</f>
        <v>43555</v>
      </c>
      <c r="G238" s="2" t="s">
        <v>105</v>
      </c>
      <c r="I238" s="2" cm="1">
        <f t="array" ref="I238">INDEX($K$25:$AV$25,,MATCH(E238,$K$4:$AV$4,0))</f>
        <v>137.88772970021392</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4.2426993753911981</v>
      </c>
      <c r="AO238" s="2">
        <f>IF(AN$4=$E238, $I238*AN$202,0) + IF(AN$4&gt;$E238,MIN(AN238,$I238-SUM($J238:AN238)))</f>
        <v>4.2426993753911981</v>
      </c>
      <c r="AP238" s="2">
        <f>IF(AO$4=$E238, $I238*AO$202,0) + IF(AO$4&gt;$E238,MIN(AO238,$I238-SUM($J238:AO238)))</f>
        <v>4.2426993753911981</v>
      </c>
      <c r="AQ238" s="57">
        <f>IF(AP$4=$E238, $I238*AP$202,0) + IF(AP$4&gt;$E238,MIN(AP238,$I238-SUM($J238:AP238)))</f>
        <v>4.2426993753911981</v>
      </c>
      <c r="AR238" s="2">
        <f>IF(AQ$4=$E238, $I238*AQ$202,0) + IF(AQ$4&gt;$E238,MIN(AQ238,$I238-SUM($J238:AQ238)))</f>
        <v>4.2426993753911981</v>
      </c>
      <c r="AS238" s="2">
        <f>IF(AR$4=$E238, $I238*AR$202,0) + IF(AR$4&gt;$E238,MIN(AR238,$I238-SUM($J238:AR238)))</f>
        <v>4.2426993753911981</v>
      </c>
      <c r="AT238" s="2">
        <f>IF(AS$4=$E238, $I238*AS$202,0) + IF(AS$4&gt;$E238,MIN(AS238,$I238-SUM($J238:AS238)))</f>
        <v>4.2426993753911981</v>
      </c>
      <c r="AU238" s="2">
        <f>IF(AT$4=$E238, $I238*AT$202,0) + IF(AT$4&gt;$E238,MIN(AT238,$I238-SUM($J238:AT238)))</f>
        <v>4.2426993753911981</v>
      </c>
      <c r="AV238" s="2">
        <f>IF(AU$4=$E238, $I238*AU$202,0) + IF(AU$4&gt;$E238,MIN(AU238,$I238-SUM($J238:AU238)))</f>
        <v>4.2426993753911981</v>
      </c>
      <c r="AW238" s="2"/>
    </row>
    <row r="239" spans="5:49" ht="15" outlineLevel="1">
      <c r="E239" s="44">
        <f>INDEX($K$4:$AV$4,,COUNT(E$209:E238)+1)</f>
        <v>43921</v>
      </c>
      <c r="G239" s="2" t="s">
        <v>105</v>
      </c>
      <c r="I239" s="2" cm="1">
        <f t="array" ref="I239">INDEX($K$25:$AV$25,,MATCH(E239,$K$4:$AV$4,0))</f>
        <v>144.58958014338717</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4.0586548812178851</v>
      </c>
      <c r="AP239" s="2">
        <f>IF(AO$4=$E239, $I239*AO$202,0) + IF(AO$4&gt;$E239,MIN(AO239,$I239-SUM($J239:AO239)))</f>
        <v>4.0586548812178851</v>
      </c>
      <c r="AQ239" s="57">
        <f>IF(AP$4=$E239, $I239*AP$202,0) + IF(AP$4&gt;$E239,MIN(AP239,$I239-SUM($J239:AP239)))</f>
        <v>4.0586548812178851</v>
      </c>
      <c r="AR239" s="2">
        <f>IF(AQ$4=$E239, $I239*AQ$202,0) + IF(AQ$4&gt;$E239,MIN(AQ239,$I239-SUM($J239:AQ239)))</f>
        <v>4.0586548812178851</v>
      </c>
      <c r="AS239" s="2">
        <f>IF(AR$4=$E239, $I239*AR$202,0) + IF(AR$4&gt;$E239,MIN(AR239,$I239-SUM($J239:AR239)))</f>
        <v>4.0586548812178851</v>
      </c>
      <c r="AT239" s="2">
        <f>IF(AS$4=$E239, $I239*AS$202,0) + IF(AS$4&gt;$E239,MIN(AS239,$I239-SUM($J239:AS239)))</f>
        <v>4.0586548812178851</v>
      </c>
      <c r="AU239" s="2">
        <f>IF(AT$4=$E239, $I239*AT$202,0) + IF(AT$4&gt;$E239,MIN(AT239,$I239-SUM($J239:AT239)))</f>
        <v>4.0586548812178851</v>
      </c>
      <c r="AV239" s="2">
        <f>IF(AU$4=$E239, $I239*AU$202,0) + IF(AU$4&gt;$E239,MIN(AU239,$I239-SUM($J239:AU239)))</f>
        <v>4.0586548812178851</v>
      </c>
      <c r="AW239" s="2"/>
    </row>
    <row r="240" spans="5:49" ht="15" outlineLevel="1">
      <c r="E240" s="44">
        <f>INDEX($K$4:$AV$4,,COUNT(E$209:E239)+1)</f>
        <v>44286</v>
      </c>
      <c r="G240" s="2" t="s">
        <v>105</v>
      </c>
      <c r="I240" s="2" cm="1">
        <f t="array" ref="I240">INDEX($K$25:$AV$25,,MATCH(E240,$K$4:$AV$4,0))</f>
        <v>137.63932832006341</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3.5519826663242169</v>
      </c>
      <c r="AQ240" s="57">
        <f>IF(AP$4=$E240, $I240*AP$202,0) + IF(AP$4&gt;$E240,MIN(AP240,$I240-SUM($J240:AP240)))</f>
        <v>3.5519826663242169</v>
      </c>
      <c r="AR240" s="2">
        <f>IF(AQ$4=$E240, $I240*AQ$202,0) + IF(AQ$4&gt;$E240,MIN(AQ240,$I240-SUM($J240:AQ240)))</f>
        <v>3.5519826663242169</v>
      </c>
      <c r="AS240" s="2">
        <f>IF(AR$4=$E240, $I240*AR$202,0) + IF(AR$4&gt;$E240,MIN(AR240,$I240-SUM($J240:AR240)))</f>
        <v>3.5519826663242169</v>
      </c>
      <c r="AT240" s="2">
        <f>IF(AS$4=$E240, $I240*AS$202,0) + IF(AS$4&gt;$E240,MIN(AS240,$I240-SUM($J240:AS240)))</f>
        <v>3.5519826663242169</v>
      </c>
      <c r="AU240" s="2">
        <f>IF(AT$4=$E240, $I240*AT$202,0) + IF(AT$4&gt;$E240,MIN(AT240,$I240-SUM($J240:AT240)))</f>
        <v>3.5519826663242169</v>
      </c>
      <c r="AV240" s="2">
        <f>IF(AU$4=$E240, $I240*AU$202,0) + IF(AU$4&gt;$E240,MIN(AU240,$I240-SUM($J240:AU240)))</f>
        <v>3.5519826663242169</v>
      </c>
      <c r="AW240" s="2"/>
    </row>
    <row r="241" spans="1:49" ht="15" outlineLevel="1">
      <c r="E241" s="44">
        <f>INDEX($K$4:$AV$4,,COUNT(E$209:E240)+1)</f>
        <v>44651</v>
      </c>
      <c r="G241" s="2" t="s">
        <v>105</v>
      </c>
      <c r="I241" s="2" cm="1">
        <f t="array" ref="I241">INDEX($K$25:$AV$25,,MATCH(E241,$K$4:$AV$4,0))</f>
        <v>127.41891356475148</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3.0428397269194383</v>
      </c>
      <c r="AR241" s="2">
        <f>IF(AQ$4=$E241, $I241*AQ$202,0) + IF(AQ$4&gt;$E241,MIN(AQ241,$I241-SUM($J241:AQ241)))</f>
        <v>3.0428397269194383</v>
      </c>
      <c r="AS241" s="2">
        <f>IF(AR$4=$E241, $I241*AR$202,0) + IF(AR$4&gt;$E241,MIN(AR241,$I241-SUM($J241:AR241)))</f>
        <v>3.0428397269194383</v>
      </c>
      <c r="AT241" s="2">
        <f>IF(AS$4=$E241, $I241*AS$202,0) + IF(AS$4&gt;$E241,MIN(AS241,$I241-SUM($J241:AS241)))</f>
        <v>3.0428397269194383</v>
      </c>
      <c r="AU241" s="2">
        <f>IF(AT$4=$E241, $I241*AT$202,0) + IF(AT$4&gt;$E241,MIN(AT241,$I241-SUM($J241:AT241)))</f>
        <v>3.0428397269194383</v>
      </c>
      <c r="AV241" s="2">
        <f>IF(AU$4=$E241, $I241*AU$202,0) + IF(AU$4&gt;$E241,MIN(AU241,$I241-SUM($J241:AU241)))</f>
        <v>3.0428397269194383</v>
      </c>
      <c r="AW241" s="2"/>
    </row>
    <row r="242" spans="1:49" ht="15" outlineLevel="1">
      <c r="E242" s="44">
        <f>INDEX($K$4:$AV$4,,COUNT(E$209:E241)+1)</f>
        <v>45016</v>
      </c>
      <c r="G242" s="2" t="s">
        <v>105</v>
      </c>
      <c r="I242" s="2" cm="1">
        <f t="array" ref="I242">INDEX($K$25:$AV$25,,MATCH(E242,$K$4:$AV$4,0))</f>
        <v>115.32547935840009</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2.5627884301866688</v>
      </c>
      <c r="AS242" s="2">
        <f>IF(AR$4=$E242, $I242*AR$202,0) + IF(AR$4&gt;$E242,MIN(AR242,$I242-SUM($J242:AR242)))</f>
        <v>2.5627884301866688</v>
      </c>
      <c r="AT242" s="2">
        <f>IF(AS$4=$E242, $I242*AS$202,0) + IF(AS$4&gt;$E242,MIN(AS242,$I242-SUM($J242:AS242)))</f>
        <v>2.5627884301866688</v>
      </c>
      <c r="AU242" s="2">
        <f>IF(AT$4=$E242, $I242*AT$202,0) + IF(AT$4&gt;$E242,MIN(AT242,$I242-SUM($J242:AT242)))</f>
        <v>2.5627884301866688</v>
      </c>
      <c r="AV242" s="2">
        <f>IF(AU$4=$E242, $I242*AU$202,0) + IF(AU$4&gt;$E242,MIN(AU242,$I242-SUM($J242:AU242)))</f>
        <v>2.5627884301866688</v>
      </c>
      <c r="AW242" s="2"/>
    </row>
    <row r="243" spans="1:49" ht="15" outlineLevel="1">
      <c r="E243" s="44">
        <f>INDEX($K$4:$AV$4,,COUNT(E$209:E242)+1)</f>
        <v>45382</v>
      </c>
      <c r="G243" s="2" t="s">
        <v>105</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5" outlineLevel="1">
      <c r="E244" s="44">
        <f>INDEX($K$4:$AV$4,,COUNT(E$209:E243)+1)</f>
        <v>45747</v>
      </c>
      <c r="G244" s="2" t="s">
        <v>105</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5" outlineLevel="1">
      <c r="E245" s="44">
        <f>INDEX($K$4:$AV$4,,COUNT(E$209:E244)+1)</f>
        <v>46112</v>
      </c>
      <c r="G245" s="2" t="s">
        <v>105</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5" outlineLevel="1">
      <c r="E246" s="44">
        <f>INDEX($K$4:$AV$4,,COUNT(E$209:E245)+1)</f>
        <v>46477</v>
      </c>
      <c r="G246" s="2" t="s">
        <v>105</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5" outlineLevel="1">
      <c r="E247" s="44">
        <f>INDEX($K$4:$AV$4,,COUNT(E$209:E246)+1)</f>
        <v>46843</v>
      </c>
      <c r="G247" s="2" t="s">
        <v>105</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5" outlineLevel="1">
      <c r="E248" s="44"/>
      <c r="I248" s="2"/>
      <c r="AQ248" s="220"/>
    </row>
    <row r="249" spans="1:49">
      <c r="AQ249" s="220"/>
    </row>
    <row r="250" spans="1:49" ht="15">
      <c r="A250" s="2"/>
      <c r="B250" s="22" t="s">
        <v>909</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5" outlineLevel="1">
      <c r="E252" s="34" t="s">
        <v>910</v>
      </c>
      <c r="F252" s="34"/>
      <c r="G252" s="7" t="s">
        <v>281</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5" outlineLevel="1">
      <c r="E253" s="34" t="s">
        <v>911</v>
      </c>
      <c r="F253" s="34"/>
      <c r="G253" s="7" t="s">
        <v>209</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0</v>
      </c>
      <c r="X253" s="145">
        <f t="shared" si="87"/>
        <v>0</v>
      </c>
      <c r="Y253" s="145">
        <f t="shared" si="87"/>
        <v>0</v>
      </c>
      <c r="Z253" s="145">
        <f t="shared" si="87"/>
        <v>2.2222222222222223E-2</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5"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5">
      <c r="E255" s="44" t="s">
        <v>912</v>
      </c>
      <c r="G255" s="2" t="s">
        <v>105</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3.131941443772174</v>
      </c>
      <c r="AT255" s="2">
        <f t="shared" si="88"/>
        <v>7.0041493640943688</v>
      </c>
      <c r="AU255" s="2">
        <f t="shared" si="88"/>
        <v>10.999843340717655</v>
      </c>
      <c r="AV255" s="2">
        <f t="shared" si="88"/>
        <v>15.180953420838</v>
      </c>
    </row>
    <row r="256" spans="1:49">
      <c r="AQ256" s="220"/>
    </row>
    <row r="257" spans="1:49" ht="15">
      <c r="A257" s="2"/>
      <c r="B257" s="2"/>
      <c r="C257" s="28" t="s">
        <v>913</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5" outlineLevel="1">
      <c r="E258" s="34"/>
      <c r="I258" s="2"/>
      <c r="AQ258" s="220"/>
    </row>
    <row r="259" spans="1:49" ht="15" outlineLevel="1">
      <c r="E259" s="34" t="s">
        <v>914</v>
      </c>
      <c r="G259" s="34" t="s">
        <v>209</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0</v>
      </c>
      <c r="X259" s="145">
        <f t="shared" si="89"/>
        <v>0</v>
      </c>
      <c r="Y259" s="145">
        <f t="shared" si="89"/>
        <v>0</v>
      </c>
      <c r="Z259" s="145">
        <f t="shared" si="89"/>
        <v>2.2222222222222223E-2</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5" outlineLevel="1">
      <c r="E260" s="34"/>
      <c r="I260" s="2"/>
      <c r="AQ260" s="220"/>
    </row>
    <row r="261" spans="1:49" ht="15" outlineLevel="1">
      <c r="E261" s="34" t="s">
        <v>908</v>
      </c>
      <c r="G261" s="2" t="s">
        <v>105</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3.131941443772174</v>
      </c>
      <c r="AT261" s="2">
        <f t="shared" si="90"/>
        <v>7.0041493640943688</v>
      </c>
      <c r="AU261" s="2">
        <f t="shared" si="90"/>
        <v>10.999843340717655</v>
      </c>
      <c r="AV261" s="2">
        <f t="shared" si="90"/>
        <v>15.180953420838</v>
      </c>
    </row>
    <row r="262" spans="1:49" ht="15" outlineLevel="1">
      <c r="K262" s="2"/>
      <c r="AQ262" s="220"/>
    </row>
    <row r="263" spans="1:49" ht="15" outlineLevel="1">
      <c r="D263" s="45"/>
      <c r="E263" s="44">
        <f>INDEX($K$4:$AV$4,,COUNT(E$262:E262)+1)</f>
        <v>33328</v>
      </c>
      <c r="G263" s="2" t="s">
        <v>105</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5" outlineLevel="1">
      <c r="D264" s="45"/>
      <c r="E264" s="44">
        <f>INDEX($K$4:$AV$4,,COUNT(E$262:E263)+1)</f>
        <v>33694</v>
      </c>
      <c r="G264" s="2" t="s">
        <v>105</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5" outlineLevel="1">
      <c r="D265" s="45"/>
      <c r="E265" s="44">
        <f>INDEX($K$4:$AV$4,,COUNT(E$262:E264)+1)</f>
        <v>34059</v>
      </c>
      <c r="G265" s="2" t="s">
        <v>105</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5" outlineLevel="1">
      <c r="D266" s="45"/>
      <c r="E266" s="44">
        <f>INDEX($K$4:$AV$4,,COUNT(E$262:E265)+1)</f>
        <v>34424</v>
      </c>
      <c r="G266" s="2" t="s">
        <v>105</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5" outlineLevel="1">
      <c r="D267" s="45"/>
      <c r="E267" s="44">
        <f>INDEX($K$4:$AV$4,,COUNT(E$262:E266)+1)</f>
        <v>34789</v>
      </c>
      <c r="G267" s="2" t="s">
        <v>105</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5" outlineLevel="1">
      <c r="D268" s="45"/>
      <c r="E268" s="44">
        <f>INDEX($K$4:$AV$4,,COUNT(E$262:E267)+1)</f>
        <v>35155</v>
      </c>
      <c r="G268" s="2" t="s">
        <v>105</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5" outlineLevel="1">
      <c r="D269" s="45"/>
      <c r="E269" s="44">
        <f>INDEX($K$4:$AV$4,,COUNT(E$262:E268)+1)</f>
        <v>35520</v>
      </c>
      <c r="G269" s="2" t="s">
        <v>105</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5" outlineLevel="1">
      <c r="D270" s="45"/>
      <c r="E270" s="44">
        <f>INDEX($K$4:$AV$4,,COUNT(E$262:E269)+1)</f>
        <v>35885</v>
      </c>
      <c r="G270" s="2" t="s">
        <v>105</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5" outlineLevel="1">
      <c r="D271" s="45"/>
      <c r="E271" s="44">
        <f>INDEX($K$4:$AV$4,,COUNT(E$262:E270)+1)</f>
        <v>36250</v>
      </c>
      <c r="G271" s="2" t="s">
        <v>105</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5" outlineLevel="1">
      <c r="D272" s="45"/>
      <c r="E272" s="44">
        <f>INDEX($K$4:$AV$4,,COUNT(E$262:E271)+1)</f>
        <v>36616</v>
      </c>
      <c r="G272" s="2" t="s">
        <v>105</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5" outlineLevel="1">
      <c r="D273" s="45"/>
      <c r="E273" s="44">
        <f>INDEX($K$4:$AV$4,,COUNT(E$262:E272)+1)</f>
        <v>36981</v>
      </c>
      <c r="G273" s="2" t="s">
        <v>105</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5" outlineLevel="1">
      <c r="D274" s="45"/>
      <c r="E274" s="44">
        <f>INDEX($K$4:$AV$4,,COUNT(E$262:E273)+1)</f>
        <v>37346</v>
      </c>
      <c r="G274" s="2" t="s">
        <v>105</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5" outlineLevel="1">
      <c r="D275" s="45"/>
      <c r="E275" s="44">
        <f>INDEX($K$4:$AV$4,,COUNT(E$262:E274)+1)</f>
        <v>37711</v>
      </c>
      <c r="G275" s="2" t="s">
        <v>105</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5" outlineLevel="1">
      <c r="D276" s="45"/>
      <c r="E276" s="44">
        <f>INDEX($K$4:$AV$4,,COUNT(E$262:E275)+1)</f>
        <v>38077</v>
      </c>
      <c r="G276" s="2" t="s">
        <v>105</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5" outlineLevel="1">
      <c r="D277" s="45"/>
      <c r="E277" s="44">
        <f>INDEX($K$4:$AV$4,,COUNT(E$262:E276)+1)</f>
        <v>38442</v>
      </c>
      <c r="G277" s="2" t="s">
        <v>105</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5" outlineLevel="1">
      <c r="D278" s="45"/>
      <c r="E278" s="44">
        <f>INDEX($K$4:$AV$4,,COUNT(E$262:E277)+1)</f>
        <v>38807</v>
      </c>
      <c r="G278" s="2" t="s">
        <v>105</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5" outlineLevel="1">
      <c r="D279" s="45"/>
      <c r="E279" s="44">
        <f>INDEX($K$4:$AV$4,,COUNT(E$262:E278)+1)</f>
        <v>39172</v>
      </c>
      <c r="G279" s="2" t="s">
        <v>105</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5" outlineLevel="1">
      <c r="D280" s="45"/>
      <c r="E280" s="44">
        <f>INDEX($K$4:$AV$4,,COUNT(E$262:E279)+1)</f>
        <v>39538</v>
      </c>
      <c r="G280" s="2" t="s">
        <v>105</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5" outlineLevel="1">
      <c r="D281" s="45"/>
      <c r="E281" s="44">
        <f>INDEX($K$4:$AV$4,,COUNT(E$262:E280)+1)</f>
        <v>39903</v>
      </c>
      <c r="G281" s="2" t="s">
        <v>105</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5" outlineLevel="1">
      <c r="D282" s="45"/>
      <c r="E282" s="44">
        <f>INDEX($K$4:$AV$4,,COUNT(E$262:E281)+1)</f>
        <v>40268</v>
      </c>
      <c r="G282" s="2" t="s">
        <v>105</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5" outlineLevel="1">
      <c r="D283" s="45"/>
      <c r="E283" s="44">
        <f>INDEX($K$4:$AV$4,,COUNT(E$262:E282)+1)</f>
        <v>40633</v>
      </c>
      <c r="G283" s="2" t="s">
        <v>105</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5" outlineLevel="1">
      <c r="D284" s="45"/>
      <c r="E284" s="44">
        <f>INDEX($K$4:$AV$4,,COUNT(E$262:E283)+1)</f>
        <v>40999</v>
      </c>
      <c r="G284" s="2" t="s">
        <v>105</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5" outlineLevel="1">
      <c r="D285" s="45"/>
      <c r="E285" s="44">
        <f>INDEX($K$4:$AV$4,,COUNT(E$262:E284)+1)</f>
        <v>41364</v>
      </c>
      <c r="G285" s="2" t="s">
        <v>105</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5" outlineLevel="1">
      <c r="D286" s="45"/>
      <c r="E286" s="44">
        <f>INDEX($K$4:$AV$4,,COUNT(E$262:E285)+1)</f>
        <v>41729</v>
      </c>
      <c r="G286" s="2" t="s">
        <v>105</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5" outlineLevel="1">
      <c r="D287" s="45"/>
      <c r="E287" s="44">
        <f>INDEX($K$4:$AV$4,,COUNT(E$262:E286)+1)</f>
        <v>42094</v>
      </c>
      <c r="G287" s="2" t="s">
        <v>105</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5" outlineLevel="1">
      <c r="D288" s="45"/>
      <c r="E288" s="44">
        <f>INDEX($K$4:$AV$4,,COUNT(E$262:E287)+1)</f>
        <v>42460</v>
      </c>
      <c r="G288" s="2" t="s">
        <v>105</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5" outlineLevel="1">
      <c r="D289" s="45"/>
      <c r="E289" s="44">
        <f>INDEX($K$4:$AV$4,,COUNT(E$262:E288)+1)</f>
        <v>42825</v>
      </c>
      <c r="G289" s="2" t="s">
        <v>105</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5" outlineLevel="1">
      <c r="D290" s="45"/>
      <c r="E290" s="44">
        <f>INDEX($K$4:$AV$4,,COUNT(E$262:E289)+1)</f>
        <v>43190</v>
      </c>
      <c r="G290" s="2" t="s">
        <v>105</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5" outlineLevel="1">
      <c r="D291" s="45"/>
      <c r="E291" s="44">
        <f>INDEX($K$4:$AV$4,,COUNT(E$262:E290)+1)</f>
        <v>43555</v>
      </c>
      <c r="G291" s="2" t="s">
        <v>105</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5" outlineLevel="1">
      <c r="D292" s="45"/>
      <c r="E292" s="44">
        <f>INDEX($K$4:$AV$4,,COUNT(E$262:E291)+1)</f>
        <v>43921</v>
      </c>
      <c r="G292" s="2" t="s">
        <v>105</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5" outlineLevel="1">
      <c r="D293" s="45"/>
      <c r="E293" s="44">
        <f>INDEX($K$4:$AV$4,,COUNT(E$262:E292)+1)</f>
        <v>44286</v>
      </c>
      <c r="G293" s="2" t="s">
        <v>105</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5" outlineLevel="1">
      <c r="D294" s="45"/>
      <c r="E294" s="44">
        <f>INDEX($K$4:$AV$4,,COUNT(E$262:E293)+1)</f>
        <v>44651</v>
      </c>
      <c r="G294" s="2" t="s">
        <v>105</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5" outlineLevel="1">
      <c r="D295" s="45"/>
      <c r="E295" s="44">
        <f>INDEX($K$4:$AV$4,,COUNT(E$262:E294)+1)</f>
        <v>45016</v>
      </c>
      <c r="G295" s="2" t="s">
        <v>105</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5" outlineLevel="1">
      <c r="D296" s="45"/>
      <c r="E296" s="44">
        <f>INDEX($K$4:$AV$4,,COUNT(E$262:E295)+1)</f>
        <v>45382</v>
      </c>
      <c r="G296" s="2" t="s">
        <v>105</v>
      </c>
      <c r="I296" s="2" cm="1">
        <f t="array" ref="I296">INDEX($K$26:$AV$26,,MATCH(E296,$K$4:$AV$4,0))</f>
        <v>140.93736496974782</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3.131941443772174</v>
      </c>
      <c r="AT296" s="2">
        <f>IF(AS$4=$E296, $I296*AS$259,0) + IF(AS$4&gt;$E296,MIN(AS296,$I296-SUM($J296:AS296)))</f>
        <v>3.131941443772174</v>
      </c>
      <c r="AU296" s="2">
        <f>IF(AT$4=$E296, $I296*AT$259,0) + IF(AT$4&gt;$E296,MIN(AT296,$I296-SUM($J296:AT296)))</f>
        <v>3.131941443772174</v>
      </c>
      <c r="AV296" s="2">
        <f>IF(AU$4=$E296, $I296*AU$259,0) + IF(AU$4&gt;$E296,MIN(AU296,$I296-SUM($J296:AU296)))</f>
        <v>3.131941443772174</v>
      </c>
      <c r="AW296" s="2"/>
    </row>
    <row r="297" spans="1:49" ht="15" outlineLevel="1">
      <c r="D297" s="45"/>
      <c r="E297" s="44">
        <f>INDEX($K$4:$AV$4,,COUNT(E$262:E296)+1)</f>
        <v>45747</v>
      </c>
      <c r="G297" s="2" t="s">
        <v>105</v>
      </c>
      <c r="I297" s="2" cm="1">
        <f t="array" ref="I297">INDEX($K$26:$AV$26,,MATCH(E297,$K$4:$AV$4,0))</f>
        <v>174.24935641449875</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3.8722079203221944</v>
      </c>
      <c r="AU297" s="2">
        <f>IF(AT$4=$E297, $I297*AT$259,0) + IF(AT$4&gt;$E297,MIN(AT297,$I297-SUM($J297:AT297)))</f>
        <v>3.8722079203221944</v>
      </c>
      <c r="AV297" s="2">
        <f>IF(AU$4=$E297, $I297*AU$259,0) + IF(AU$4&gt;$E297,MIN(AU297,$I297-SUM($J297:AU297)))</f>
        <v>3.8722079203221944</v>
      </c>
      <c r="AW297" s="2"/>
    </row>
    <row r="298" spans="1:49" ht="15" outlineLevel="1">
      <c r="D298" s="45"/>
      <c r="E298" s="44">
        <f>INDEX($K$4:$AV$4,,COUNT(E$262:E297)+1)</f>
        <v>46112</v>
      </c>
      <c r="G298" s="2" t="s">
        <v>105</v>
      </c>
      <c r="I298" s="2" cm="1">
        <f t="array" ref="I298">INDEX($K$26:$AV$26,,MATCH(E298,$K$4:$AV$4,0))</f>
        <v>179.8062289480479</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3.9956939766232868</v>
      </c>
      <c r="AV298" s="2">
        <f>IF(AU$4=$E298, $I298*AU$259,0) + IF(AU$4&gt;$E298,MIN(AU298,$I298-SUM($J298:AU298)))</f>
        <v>3.9956939766232868</v>
      </c>
      <c r="AW298" s="2"/>
    </row>
    <row r="299" spans="1:49" ht="15" outlineLevel="1">
      <c r="D299" s="45"/>
      <c r="E299" s="44">
        <f>INDEX($K$4:$AV$4,,COUNT(E$262:E298)+1)</f>
        <v>46477</v>
      </c>
      <c r="G299" s="2" t="s">
        <v>105</v>
      </c>
      <c r="I299" s="2" cm="1">
        <f t="array" ref="I299">INDEX($K$26:$AV$26,,MATCH(E299,$K$4:$AV$4,0))</f>
        <v>188.1499536054155</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4.1811100801203445</v>
      </c>
      <c r="AW299" s="2"/>
    </row>
    <row r="300" spans="1:49" ht="15" outlineLevel="1">
      <c r="D300" s="45"/>
      <c r="E300" s="44">
        <f>INDEX($K$4:$AV$4,,COUNT(E$262:E299)+1)</f>
        <v>46843</v>
      </c>
      <c r="G300" s="2" t="s">
        <v>105</v>
      </c>
      <c r="I300" s="2" cm="1">
        <f t="array" ref="I300">INDEX($K$26:$AV$26,,MATCH(E300,$K$4:$AV$4,0))</f>
        <v>184.12888600552651</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5">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5">
      <c r="A302" s="2"/>
      <c r="B302" s="37" t="s">
        <v>79</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5">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5">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4" priority="18" operator="equal">
      <formula>FALSE()</formula>
    </cfRule>
  </conditionalFormatting>
  <conditionalFormatting sqref="K252:AV255">
    <cfRule type="cellIs" dxfId="83" priority="7" operator="equal">
      <formula>FALSE()</formula>
    </cfRule>
  </conditionalFormatting>
  <conditionalFormatting sqref="K259:AV259">
    <cfRule type="cellIs" dxfId="82" priority="1" operator="equal">
      <formula>FALSE()</formula>
    </cfRule>
  </conditionalFormatting>
  <conditionalFormatting sqref="AM2">
    <cfRule type="expression" dxfId="81" priority="2">
      <formula>mac_sensitivity=2</formula>
    </cfRule>
    <cfRule type="expression" dxfId="80" priority="3">
      <formula>mac_sensitivity=1</formula>
    </cfRule>
  </conditionalFormatting>
  <conditionalFormatting sqref="AM3">
    <cfRule type="expression" dxfId="79"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10" bestFit="1" customWidth="1"/>
    <col min="37" max="48" width="9.625" customWidth="1"/>
    <col min="49" max="49" width="3" customWidth="1"/>
    <col min="50" max="16384" width="9" hidden="1"/>
  </cols>
  <sheetData>
    <row r="1" spans="1:49" ht="19.5">
      <c r="A1" s="195" t="s">
        <v>915</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527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5">
      <c r="A8" s="2"/>
      <c r="B8" s="2"/>
      <c r="C8" s="20" t="s">
        <v>916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5">
      <c r="A9" s="2"/>
      <c r="B9" s="2"/>
      <c r="C9" s="4" t="s">
        <v>917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10" t="s">
        <v>918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5">
      <c r="E12" s="47" t="s">
        <v>596</v>
      </c>
      <c r="G12" s="21" t="s">
        <v>249</v>
      </c>
      <c r="H12" s="48"/>
      <c r="AJ12" s="49"/>
      <c r="AK12" s="49"/>
      <c r="AL12" s="49"/>
      <c r="AM12" s="49"/>
      <c r="AN12" s="49"/>
      <c r="AO12" s="49"/>
      <c r="AP12" s="49"/>
      <c r="AQ12" s="214"/>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5">
      <c r="E13" s="41" t="s">
        <v>919</v>
      </c>
      <c r="G13" s="21" t="s">
        <v>100</v>
      </c>
      <c r="H13" s="48"/>
      <c r="AJ13" s="121"/>
      <c r="AK13" s="121"/>
      <c r="AL13" s="121"/>
      <c r="AM13" s="121"/>
      <c r="AN13" s="121"/>
      <c r="AO13" s="121"/>
      <c r="AP13" s="121"/>
      <c r="AQ13" s="231"/>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5">
      <c r="E14" s="41"/>
      <c r="H14" s="48"/>
      <c r="AJ14" s="13"/>
      <c r="AK14" s="13"/>
      <c r="AL14" s="13"/>
      <c r="AM14" s="13"/>
      <c r="AN14" s="13"/>
      <c r="AO14" s="13"/>
      <c r="AP14" s="13"/>
      <c r="AQ14" s="50"/>
      <c r="AR14" s="13"/>
      <c r="AS14" s="13"/>
      <c r="AT14" s="13"/>
      <c r="AU14" s="13"/>
      <c r="AV14" s="13"/>
      <c r="AW14" s="48"/>
    </row>
    <row r="15" spans="1:49" s="21" customFormat="1" ht="15">
      <c r="E15" s="41" t="s">
        <v>920</v>
      </c>
      <c r="G15" s="2" t="s">
        <v>105</v>
      </c>
      <c r="H15" s="48"/>
      <c r="AJ15" s="7"/>
      <c r="AK15" s="7"/>
      <c r="AL15" s="7"/>
      <c r="AM15" s="7"/>
      <c r="AN15" s="7"/>
      <c r="AO15" s="7"/>
      <c r="AP15" s="7"/>
      <c r="AQ15" s="65"/>
      <c r="AR15" s="7">
        <f t="shared" ref="AR15:AU15" si="1">AR46</f>
        <v>1516.0001751270891</v>
      </c>
      <c r="AS15" s="7">
        <f t="shared" si="1"/>
        <v>1580.5474579114568</v>
      </c>
      <c r="AT15" s="7">
        <f t="shared" si="1"/>
        <v>1651.3421280605492</v>
      </c>
      <c r="AU15" s="7">
        <f t="shared" si="1"/>
        <v>1731.8773987592108</v>
      </c>
      <c r="AV15" s="7">
        <f>AV46</f>
        <v>1809.849562309676</v>
      </c>
      <c r="AW15" s="48"/>
    </row>
    <row r="16" spans="1:49" s="21" customFormat="1" ht="15">
      <c r="E16" s="41"/>
      <c r="G16" s="2"/>
      <c r="H16" s="48"/>
      <c r="AJ16" s="7"/>
      <c r="AK16" s="7"/>
      <c r="AL16" s="7"/>
      <c r="AM16" s="7"/>
      <c r="AN16" s="7"/>
      <c r="AO16" s="7"/>
      <c r="AP16" s="7"/>
      <c r="AQ16" s="65"/>
      <c r="AR16" s="7"/>
      <c r="AS16" s="7"/>
      <c r="AT16" s="7"/>
      <c r="AU16" s="7"/>
      <c r="AV16" s="7"/>
      <c r="AW16" s="48"/>
    </row>
    <row r="17" spans="1:49" s="21" customFormat="1" ht="15">
      <c r="E17" s="47" t="s">
        <v>921</v>
      </c>
      <c r="G17" s="2" t="s">
        <v>105</v>
      </c>
      <c r="H17" s="48"/>
      <c r="AJ17" s="461"/>
      <c r="AK17" s="461"/>
      <c r="AL17" s="461"/>
      <c r="AM17" s="461"/>
      <c r="AN17" s="461"/>
      <c r="AO17" s="461"/>
      <c r="AP17" s="461"/>
      <c r="AQ17" s="386"/>
      <c r="AR17" s="461">
        <f t="shared" ref="AR17:AU17" si="2">AR13 * AR15</f>
        <v>1458.0659967012389</v>
      </c>
      <c r="AS17" s="461">
        <f t="shared" si="2"/>
        <v>1517.7575500141868</v>
      </c>
      <c r="AT17" s="461">
        <f t="shared" si="2"/>
        <v>1586.4101109327119</v>
      </c>
      <c r="AU17" s="461">
        <f t="shared" si="2"/>
        <v>1663.4854968176628</v>
      </c>
      <c r="AV17" s="461">
        <f>AV13 * AV15</f>
        <v>1738.2495683884279</v>
      </c>
      <c r="AW17" s="48"/>
    </row>
    <row r="18" spans="1:49" s="21" customFormat="1" ht="15">
      <c r="E18" s="41"/>
      <c r="H18" s="48"/>
      <c r="AJ18" s="8"/>
      <c r="AK18" s="8"/>
      <c r="AL18" s="8"/>
      <c r="AM18" s="8"/>
      <c r="AN18" s="8"/>
      <c r="AO18" s="8"/>
      <c r="AP18" s="8"/>
      <c r="AQ18" s="9"/>
      <c r="AR18" s="8"/>
      <c r="AS18" s="8"/>
      <c r="AT18" s="8"/>
      <c r="AU18" s="8"/>
      <c r="AV18" s="8"/>
      <c r="AW18" s="48"/>
    </row>
    <row r="19" spans="1:49" s="21" customFormat="1" ht="15">
      <c r="D19" s="10" t="s">
        <v>922</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5">
      <c r="E20" s="41" t="s">
        <v>923</v>
      </c>
      <c r="G20" s="2" t="s">
        <v>105</v>
      </c>
      <c r="H20" s="48"/>
      <c r="AJ20" s="7"/>
      <c r="AK20" s="7"/>
      <c r="AL20" s="7"/>
      <c r="AM20" s="7"/>
      <c r="AN20" s="7"/>
      <c r="AO20" s="7"/>
      <c r="AP20" s="7"/>
      <c r="AQ20" s="65"/>
      <c r="AR20" s="7">
        <f>AR43</f>
        <v>1486.5032014965459</v>
      </c>
      <c r="AS20" s="7">
        <f t="shared" ref="AS20:AV20" si="3">AS43</f>
        <v>1516.0001751270891</v>
      </c>
      <c r="AT20" s="7">
        <f t="shared" si="3"/>
        <v>1580.5474579114568</v>
      </c>
      <c r="AU20" s="7">
        <f t="shared" si="3"/>
        <v>1651.3421280605492</v>
      </c>
      <c r="AV20" s="7">
        <f t="shared" si="3"/>
        <v>1731.8773987592108</v>
      </c>
      <c r="AW20" s="48"/>
    </row>
    <row r="21" spans="1:49" s="21" customFormat="1" ht="15">
      <c r="E21" s="41" t="s">
        <v>921</v>
      </c>
      <c r="G21" s="2" t="s">
        <v>105</v>
      </c>
      <c r="H21" s="48"/>
      <c r="AJ21" s="7"/>
      <c r="AK21" s="7"/>
      <c r="AL21" s="7"/>
      <c r="AM21" s="7"/>
      <c r="AN21" s="7"/>
      <c r="AO21" s="7"/>
      <c r="AP21" s="7"/>
      <c r="AQ21" s="65"/>
      <c r="AR21" s="7">
        <f>AR17</f>
        <v>1458.0659967012389</v>
      </c>
      <c r="AS21" s="7">
        <f t="shared" ref="AS21:AV21" si="4">AS17</f>
        <v>1517.7575500141868</v>
      </c>
      <c r="AT21" s="7">
        <f t="shared" si="4"/>
        <v>1586.4101109327119</v>
      </c>
      <c r="AU21" s="7">
        <f t="shared" si="4"/>
        <v>1663.4854968176628</v>
      </c>
      <c r="AV21" s="7">
        <f t="shared" si="4"/>
        <v>1738.2495683884279</v>
      </c>
      <c r="AW21" s="48"/>
    </row>
    <row r="22" spans="1:49" s="21" customFormat="1" ht="15">
      <c r="E22" s="47"/>
      <c r="H22" s="48"/>
      <c r="AJ22" s="7"/>
      <c r="AK22" s="7"/>
      <c r="AL22" s="7"/>
      <c r="AM22" s="7"/>
      <c r="AN22" s="7"/>
      <c r="AO22" s="7"/>
      <c r="AP22" s="7"/>
      <c r="AQ22" s="65"/>
      <c r="AR22" s="7"/>
      <c r="AS22" s="7"/>
      <c r="AT22" s="7"/>
      <c r="AU22" s="7"/>
      <c r="AV22" s="7"/>
      <c r="AW22" s="48"/>
    </row>
    <row r="23" spans="1:49" s="21" customFormat="1" ht="15">
      <c r="E23" s="47" t="s">
        <v>922</v>
      </c>
      <c r="G23" s="2" t="s">
        <v>105</v>
      </c>
      <c r="H23" s="48"/>
      <c r="AJ23" s="461"/>
      <c r="AK23" s="461"/>
      <c r="AL23" s="461"/>
      <c r="AM23" s="461"/>
      <c r="AN23" s="461"/>
      <c r="AO23" s="461"/>
      <c r="AP23" s="461"/>
      <c r="AQ23" s="386"/>
      <c r="AR23" s="461">
        <f t="shared" ref="AR23:AU23" si="5">AVERAGE(AR20:AR21)</f>
        <v>1472.2845990988924</v>
      </c>
      <c r="AS23" s="461">
        <f t="shared" si="5"/>
        <v>1516.8788625706379</v>
      </c>
      <c r="AT23" s="461">
        <f t="shared" si="5"/>
        <v>1583.4787844220843</v>
      </c>
      <c r="AU23" s="461">
        <f t="shared" si="5"/>
        <v>1657.4138124391061</v>
      </c>
      <c r="AV23" s="461">
        <f>AVERAGE(AV20:AV21)</f>
        <v>1735.0634835738192</v>
      </c>
      <c r="AW23" s="48"/>
    </row>
    <row r="24" spans="1:49" s="21" customFormat="1" ht="15">
      <c r="E24" s="47"/>
      <c r="H24" s="48"/>
      <c r="AJ24" s="8"/>
      <c r="AK24" s="8"/>
      <c r="AL24" s="8"/>
      <c r="AM24" s="8"/>
      <c r="AN24" s="8"/>
      <c r="AO24" s="8"/>
      <c r="AP24" s="8"/>
      <c r="AQ24" s="9"/>
      <c r="AR24" s="8"/>
      <c r="AS24" s="8"/>
      <c r="AT24" s="8"/>
      <c r="AU24" s="8"/>
      <c r="AV24" s="8"/>
      <c r="AW24" s="48"/>
    </row>
    <row r="25" spans="1:49" s="21" customFormat="1" ht="15">
      <c r="C25" s="20" t="s">
        <v>924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5">
      <c r="E26" s="47"/>
      <c r="H26" s="48"/>
      <c r="AJ26" s="8"/>
      <c r="AK26" s="8"/>
      <c r="AL26" s="8"/>
      <c r="AM26" s="8"/>
      <c r="AN26" s="8"/>
      <c r="AO26" s="8"/>
      <c r="AP26" s="8"/>
      <c r="AQ26" s="9"/>
      <c r="AR26" s="8"/>
      <c r="AS26" s="8"/>
      <c r="AT26" s="8"/>
      <c r="AU26" s="8"/>
      <c r="AV26" s="8"/>
      <c r="AW26" s="48"/>
    </row>
    <row r="27" spans="1:49" s="21" customFormat="1" ht="15">
      <c r="E27" s="47" t="s">
        <v>922</v>
      </c>
      <c r="G27" s="2" t="s">
        <v>105</v>
      </c>
      <c r="H27" s="48"/>
      <c r="AJ27" s="7"/>
      <c r="AK27" s="7"/>
      <c r="AL27" s="7"/>
      <c r="AM27" s="7"/>
      <c r="AN27" s="7"/>
      <c r="AO27" s="7"/>
      <c r="AP27" s="7"/>
      <c r="AQ27" s="65"/>
      <c r="AR27" s="7">
        <f t="shared" ref="AR27:AU27" si="6">AR23</f>
        <v>1472.2845990988924</v>
      </c>
      <c r="AS27" s="7">
        <f t="shared" si="6"/>
        <v>1516.8788625706379</v>
      </c>
      <c r="AT27" s="7">
        <f t="shared" si="6"/>
        <v>1583.4787844220843</v>
      </c>
      <c r="AU27" s="7">
        <f t="shared" si="6"/>
        <v>1657.4138124391061</v>
      </c>
      <c r="AV27" s="7">
        <f>AV23</f>
        <v>1735.0634835738192</v>
      </c>
      <c r="AW27" s="48"/>
    </row>
    <row r="28" spans="1:49" s="21" customFormat="1" ht="15">
      <c r="E28" s="47" t="s">
        <v>596</v>
      </c>
      <c r="G28" s="21" t="s">
        <v>249</v>
      </c>
      <c r="H28" s="48"/>
      <c r="AJ28" s="185"/>
      <c r="AK28" s="185"/>
      <c r="AL28" s="185"/>
      <c r="AM28" s="185"/>
      <c r="AN28" s="185"/>
      <c r="AO28" s="185"/>
      <c r="AP28" s="185"/>
      <c r="AQ28" s="190"/>
      <c r="AR28" s="185">
        <f>AR12</f>
        <v>3.97335776E-2</v>
      </c>
      <c r="AS28" s="185">
        <f>AS12</f>
        <v>4.1370183200000001E-2</v>
      </c>
      <c r="AT28" s="185">
        <f>AT12</f>
        <v>4.09301584E-2</v>
      </c>
      <c r="AU28" s="185">
        <f>AU12</f>
        <v>4.1113614800000003E-2</v>
      </c>
      <c r="AV28" s="185">
        <f>AV12</f>
        <v>4.1190859599999997E-2</v>
      </c>
      <c r="AW28" s="48"/>
    </row>
    <row r="29" spans="1:49" s="21" customFormat="1" ht="15">
      <c r="E29" s="47"/>
      <c r="H29" s="48"/>
      <c r="AJ29" s="7"/>
      <c r="AK29" s="7"/>
      <c r="AL29" s="7"/>
      <c r="AM29" s="7"/>
      <c r="AN29" s="7"/>
      <c r="AO29" s="7"/>
      <c r="AP29" s="7"/>
      <c r="AQ29" s="65"/>
      <c r="AR29" s="7"/>
      <c r="AS29" s="7"/>
      <c r="AT29" s="7"/>
      <c r="AU29" s="7"/>
      <c r="AV29" s="7"/>
      <c r="AW29" s="48"/>
    </row>
    <row r="30" spans="1:49" s="21" customFormat="1" ht="15">
      <c r="E30" s="47" t="s">
        <v>527</v>
      </c>
      <c r="G30" s="2" t="s">
        <v>105</v>
      </c>
      <c r="H30" s="48"/>
      <c r="AJ30" s="538"/>
      <c r="AK30" s="538"/>
      <c r="AL30" s="538"/>
      <c r="AM30" s="538"/>
      <c r="AN30" s="538"/>
      <c r="AO30" s="538"/>
      <c r="AP30" s="538"/>
      <c r="AQ30" s="385"/>
      <c r="AR30" s="538">
        <f t="shared" ref="AR30:AU30" si="7">AR27 * AR28</f>
        <v>58.49913436758073</v>
      </c>
      <c r="AS30" s="538">
        <f t="shared" si="7"/>
        <v>62.753556436754913</v>
      </c>
      <c r="AT30" s="538">
        <f t="shared" si="7"/>
        <v>64.812037469435367</v>
      </c>
      <c r="AU30" s="538">
        <f t="shared" si="7"/>
        <v>68.142273048820869</v>
      </c>
      <c r="AV30" s="538">
        <f>AV27 * AV28</f>
        <v>71.468756348976086</v>
      </c>
      <c r="AW30" s="48"/>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5">
      <c r="B32" s="51" t="s">
        <v>274</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5">
      <c r="B33" s="4" t="s">
        <v>925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5">
      <c r="C35" s="28" t="s">
        <v>926</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5">
      <c r="B37" s="34"/>
      <c r="C37" s="34"/>
      <c r="D37" s="34"/>
      <c r="E37" s="34" t="s">
        <v>927</v>
      </c>
      <c r="F37" s="34"/>
      <c r="G37" s="2" t="s">
        <v>547</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5">
      <c r="C38" s="55"/>
      <c r="E38" s="41"/>
      <c r="J38" s="42"/>
      <c r="K38" s="42"/>
      <c r="L38" s="42"/>
      <c r="M38" s="42"/>
      <c r="N38" s="42"/>
      <c r="O38" s="42"/>
      <c r="P38" s="42"/>
      <c r="Q38" s="42"/>
      <c r="R38" s="42"/>
      <c r="S38" s="42"/>
      <c r="T38" s="42"/>
      <c r="U38" s="42"/>
      <c r="V38" s="42"/>
      <c r="W38" s="42"/>
      <c r="X38" s="42"/>
      <c r="Y38" s="42"/>
      <c r="Z38" s="42"/>
      <c r="AQ38" s="57"/>
    </row>
    <row r="39" spans="2:48" s="2" customFormat="1" ht="15">
      <c r="C39" s="28" t="s">
        <v>928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5">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5">
      <c r="C41" s="73"/>
      <c r="E41" s="74" t="s">
        <v>929</v>
      </c>
      <c r="G41" s="2" t="s">
        <v>105</v>
      </c>
      <c r="J41" s="75"/>
      <c r="K41" s="75"/>
      <c r="L41" s="75"/>
      <c r="M41" s="75"/>
      <c r="N41" s="75"/>
      <c r="O41" s="75"/>
      <c r="P41" s="75"/>
      <c r="Q41" s="75"/>
      <c r="R41" s="75"/>
      <c r="S41" s="75"/>
      <c r="T41" s="75"/>
      <c r="U41" s="75"/>
      <c r="V41" s="75"/>
      <c r="W41" s="75"/>
      <c r="X41" s="75"/>
      <c r="Y41" s="75"/>
      <c r="Z41" s="75"/>
      <c r="AJ41" s="72">
        <f t="shared" ref="AJ41:AV41" si="8">(AJ55 - AJ63 - AJ73) * AJ$37</f>
        <v>1357.6034012245436</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5">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5">
      <c r="D43" s="180"/>
      <c r="E43" s="56" t="s">
        <v>930</v>
      </c>
      <c r="G43" s="2" t="s">
        <v>105</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1357.6034012245436</v>
      </c>
      <c r="AK43" s="2">
        <f t="shared" si="9"/>
        <v>1387.7444400316051</v>
      </c>
      <c r="AL43" s="2">
        <f t="shared" si="9"/>
        <v>1412.2354787680874</v>
      </c>
      <c r="AM43" s="2">
        <f t="shared" si="9"/>
        <v>1423.3976223584841</v>
      </c>
      <c r="AN43" s="2">
        <f t="shared" si="9"/>
        <v>1434.1359800894802</v>
      </c>
      <c r="AO43" s="2">
        <f t="shared" si="9"/>
        <v>1451.4022131262107</v>
      </c>
      <c r="AP43" s="2">
        <f t="shared" si="9"/>
        <v>1472.7039907341402</v>
      </c>
      <c r="AQ43" s="57">
        <f t="shared" si="9"/>
        <v>1484.6720565902458</v>
      </c>
      <c r="AR43" s="2">
        <f t="shared" si="9"/>
        <v>1486.5032014965459</v>
      </c>
      <c r="AS43" s="2">
        <f t="shared" si="9"/>
        <v>1516.0001751270891</v>
      </c>
      <c r="AT43" s="2">
        <f t="shared" si="9"/>
        <v>1580.5474579114568</v>
      </c>
      <c r="AU43" s="2">
        <f t="shared" si="9"/>
        <v>1651.3421280605492</v>
      </c>
      <c r="AV43" s="2">
        <f t="shared" si="9"/>
        <v>1731.8773987592108</v>
      </c>
    </row>
    <row r="44" spans="2:48" s="2" customFormat="1" ht="15">
      <c r="E44" s="56" t="s">
        <v>931</v>
      </c>
      <c r="G44" s="2" t="s">
        <v>105</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152.19899361527973</v>
      </c>
      <c r="AK44" s="30">
        <f t="shared" si="10"/>
        <v>149.2499241158919</v>
      </c>
      <c r="AL44" s="30">
        <f t="shared" si="10"/>
        <v>137.44824217505581</v>
      </c>
      <c r="AM44" s="30">
        <f t="shared" si="10"/>
        <v>137.88772970021392</v>
      </c>
      <c r="AN44" s="30">
        <f t="shared" si="10"/>
        <v>144.58958014338717</v>
      </c>
      <c r="AO44" s="30">
        <f t="shared" si="10"/>
        <v>137.63932832006341</v>
      </c>
      <c r="AP44" s="30">
        <f t="shared" si="10"/>
        <v>127.41891356475148</v>
      </c>
      <c r="AQ44" s="218">
        <f t="shared" si="10"/>
        <v>115.32547935840009</v>
      </c>
      <c r="AR44" s="30">
        <f t="shared" ref="AR44:AV44" si="11">AR57</f>
        <v>140.93736496974782</v>
      </c>
      <c r="AS44" s="30">
        <f t="shared" si="11"/>
        <v>174.24935641449875</v>
      </c>
      <c r="AT44" s="30">
        <f t="shared" si="11"/>
        <v>179.8062289480479</v>
      </c>
      <c r="AU44" s="30">
        <f t="shared" si="11"/>
        <v>188.1499536054155</v>
      </c>
      <c r="AV44" s="30">
        <f t="shared" si="11"/>
        <v>184.12888600552651</v>
      </c>
    </row>
    <row r="45" spans="2:48" s="2" customFormat="1" ht="15">
      <c r="E45" s="56" t="s">
        <v>932</v>
      </c>
      <c r="G45" s="2" t="s">
        <v>105</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-122.05795480821823</v>
      </c>
      <c r="AK45" s="30">
        <f t="shared" si="12"/>
        <v>-124.75888537940965</v>
      </c>
      <c r="AL45" s="30">
        <f t="shared" si="12"/>
        <v>-126.28609858465916</v>
      </c>
      <c r="AM45" s="30">
        <f t="shared" si="12"/>
        <v>-127.14937196921777</v>
      </c>
      <c r="AN45" s="30">
        <f t="shared" si="12"/>
        <v>-127.3233471066567</v>
      </c>
      <c r="AO45" s="30">
        <f t="shared" si="12"/>
        <v>-116.33755071213383</v>
      </c>
      <c r="AP45" s="30">
        <f t="shared" si="12"/>
        <v>-115.45084770864578</v>
      </c>
      <c r="AQ45" s="218">
        <f t="shared" si="12"/>
        <v>-113.49433445210009</v>
      </c>
      <c r="AR45" s="30">
        <f t="shared" ref="AR45:AV45" si="13">-AR65</f>
        <v>-111.44039133920448</v>
      </c>
      <c r="AS45" s="30">
        <f t="shared" si="13"/>
        <v>-109.70207363013095</v>
      </c>
      <c r="AT45" s="30">
        <f t="shared" si="13"/>
        <v>-109.01155879895549</v>
      </c>
      <c r="AU45" s="30">
        <f t="shared" si="13"/>
        <v>-107.61468290675388</v>
      </c>
      <c r="AV45" s="30">
        <f t="shared" si="13"/>
        <v>-106.15672245506136</v>
      </c>
    </row>
    <row r="46" spans="2:48" s="2" customFormat="1" ht="15">
      <c r="E46" s="56" t="s">
        <v>920</v>
      </c>
      <c r="G46" s="2" t="s">
        <v>105</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1387.7444400316051</v>
      </c>
      <c r="AK46" s="526">
        <f t="shared" si="14"/>
        <v>1412.2354787680874</v>
      </c>
      <c r="AL46" s="526">
        <f t="shared" si="14"/>
        <v>1423.3976223584841</v>
      </c>
      <c r="AM46" s="526">
        <f t="shared" si="14"/>
        <v>1434.1359800894802</v>
      </c>
      <c r="AN46" s="526">
        <f t="shared" si="14"/>
        <v>1451.4022131262107</v>
      </c>
      <c r="AO46" s="526">
        <f t="shared" si="14"/>
        <v>1472.7039907341402</v>
      </c>
      <c r="AP46" s="526">
        <f t="shared" si="14"/>
        <v>1484.6720565902458</v>
      </c>
      <c r="AQ46" s="531">
        <f t="shared" si="14"/>
        <v>1486.5032014965459</v>
      </c>
      <c r="AR46" s="526">
        <f t="shared" si="14"/>
        <v>1516.0001751270891</v>
      </c>
      <c r="AS46" s="526">
        <f t="shared" si="14"/>
        <v>1580.5474579114568</v>
      </c>
      <c r="AT46" s="526">
        <f t="shared" si="14"/>
        <v>1651.3421280605492</v>
      </c>
      <c r="AU46" s="526">
        <f t="shared" si="14"/>
        <v>1731.8773987592108</v>
      </c>
      <c r="AV46" s="526">
        <f t="shared" si="14"/>
        <v>1809.849562309676</v>
      </c>
    </row>
    <row r="47" spans="2:48" s="2" customFormat="1" ht="15">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5">
      <c r="C48" s="28" t="s">
        <v>933</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5">
      <c r="C49" s="4" t="s">
        <v>934</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5">
      <c r="C50" s="4" t="s">
        <v>935</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5">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5">
      <c r="D52" s="60" t="s">
        <v>936</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5">
      <c r="A53" s="7"/>
      <c r="E53" s="74" t="s">
        <v>929</v>
      </c>
      <c r="G53" s="2" t="s">
        <v>105</v>
      </c>
      <c r="J53" s="42"/>
      <c r="AJ53" s="79">
        <f>Depn!AJ45</f>
        <v>2599.433218968974</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5">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5">
      <c r="D55" s="2"/>
      <c r="E55" s="56" t="s">
        <v>937</v>
      </c>
      <c r="F55" s="2"/>
      <c r="G55" s="2" t="s">
        <v>105</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2599.433218968974</v>
      </c>
      <c r="AK55" s="2">
        <f t="shared" si="15"/>
        <v>2751.6322125842535</v>
      </c>
      <c r="AL55" s="2">
        <f t="shared" si="15"/>
        <v>2900.8821367001456</v>
      </c>
      <c r="AM55" s="2">
        <f t="shared" si="15"/>
        <v>3038.3303788752014</v>
      </c>
      <c r="AN55" s="2">
        <f t="shared" si="15"/>
        <v>3176.2181085754155</v>
      </c>
      <c r="AO55" s="2">
        <f t="shared" si="15"/>
        <v>3320.8076887188026</v>
      </c>
      <c r="AP55" s="2">
        <f t="shared" si="15"/>
        <v>3458.4470170388659</v>
      </c>
      <c r="AQ55" s="57">
        <f t="shared" si="15"/>
        <v>3585.8659306036175</v>
      </c>
      <c r="AR55" s="2">
        <f t="shared" si="15"/>
        <v>3701.1914099620176</v>
      </c>
      <c r="AS55" s="2">
        <f t="shared" si="15"/>
        <v>3842.1287749317653</v>
      </c>
      <c r="AT55" s="2">
        <f t="shared" si="15"/>
        <v>4016.3781313462641</v>
      </c>
      <c r="AU55" s="2">
        <f t="shared" si="15"/>
        <v>4196.1843602943118</v>
      </c>
      <c r="AV55" s="2">
        <f t="shared" si="15"/>
        <v>4384.334313899727</v>
      </c>
    </row>
    <row r="56" spans="1:48" s="7" customFormat="1" ht="15">
      <c r="E56" s="56" t="s">
        <v>938</v>
      </c>
      <c r="F56" s="2"/>
      <c r="G56" s="2" t="s">
        <v>105</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2599.433218968974</v>
      </c>
      <c r="AK56" s="432">
        <f t="shared" si="16"/>
        <v>2751.6322125842535</v>
      </c>
      <c r="AL56" s="432">
        <f t="shared" si="16"/>
        <v>2900.8821367001456</v>
      </c>
      <c r="AM56" s="432">
        <f t="shared" si="16"/>
        <v>3038.3303788752014</v>
      </c>
      <c r="AN56" s="432">
        <f t="shared" si="16"/>
        <v>3176.2181085754155</v>
      </c>
      <c r="AO56" s="432">
        <f t="shared" si="16"/>
        <v>3320.8076887188026</v>
      </c>
      <c r="AP56" s="432">
        <f t="shared" si="16"/>
        <v>3458.4470170388659</v>
      </c>
      <c r="AQ56" s="534">
        <f t="shared" si="16"/>
        <v>3585.8659306036175</v>
      </c>
      <c r="AR56" s="432">
        <f t="shared" si="16"/>
        <v>3701.1914099620176</v>
      </c>
      <c r="AS56" s="432">
        <f t="shared" si="16"/>
        <v>3842.1287749317653</v>
      </c>
      <c r="AT56" s="432">
        <f t="shared" si="16"/>
        <v>4016.3781313462641</v>
      </c>
      <c r="AU56" s="432">
        <f t="shared" si="16"/>
        <v>4196.1843602943118</v>
      </c>
      <c r="AV56" s="432">
        <f t="shared" si="16"/>
        <v>4384.334313899727</v>
      </c>
    </row>
    <row r="57" spans="1:48" s="7" customFormat="1" ht="15">
      <c r="E57" s="56" t="s">
        <v>931</v>
      </c>
      <c r="F57" s="2"/>
      <c r="G57" s="2" t="s">
        <v>105</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152.19899361527973</v>
      </c>
      <c r="AK57" s="8">
        <f>Depn!AK27</f>
        <v>149.2499241158919</v>
      </c>
      <c r="AL57" s="8">
        <f>Depn!AL27</f>
        <v>137.44824217505581</v>
      </c>
      <c r="AM57" s="8">
        <f>Depn!AM27</f>
        <v>137.88772970021392</v>
      </c>
      <c r="AN57" s="8">
        <f>Depn!AN27</f>
        <v>144.58958014338717</v>
      </c>
      <c r="AO57" s="8">
        <f>Depn!AO27</f>
        <v>137.63932832006341</v>
      </c>
      <c r="AP57" s="8">
        <f>Depn!AP27</f>
        <v>127.41891356475148</v>
      </c>
      <c r="AQ57" s="9">
        <f>Depn!AQ27</f>
        <v>115.32547935840009</v>
      </c>
      <c r="AR57" s="8">
        <f>Depn!AR27</f>
        <v>140.93736496974782</v>
      </c>
      <c r="AS57" s="8">
        <f>Depn!AS27</f>
        <v>174.24935641449875</v>
      </c>
      <c r="AT57" s="8">
        <f>Depn!AT27</f>
        <v>179.8062289480479</v>
      </c>
      <c r="AU57" s="8">
        <f>Depn!AU27</f>
        <v>188.1499536054155</v>
      </c>
      <c r="AV57" s="8">
        <f>Depn!AV27</f>
        <v>184.12888600552651</v>
      </c>
    </row>
    <row r="58" spans="1:48" s="7" customFormat="1" ht="15">
      <c r="E58" s="56" t="s">
        <v>939</v>
      </c>
      <c r="G58" s="2" t="s">
        <v>105</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2751.6322125842535</v>
      </c>
      <c r="AK58" s="431">
        <f t="shared" si="17"/>
        <v>2900.8821367001456</v>
      </c>
      <c r="AL58" s="431">
        <f t="shared" si="17"/>
        <v>3038.3303788752014</v>
      </c>
      <c r="AM58" s="431">
        <f t="shared" si="17"/>
        <v>3176.2181085754155</v>
      </c>
      <c r="AN58" s="431">
        <f t="shared" si="17"/>
        <v>3320.8076887188026</v>
      </c>
      <c r="AO58" s="431">
        <f t="shared" si="17"/>
        <v>3458.4470170388659</v>
      </c>
      <c r="AP58" s="431">
        <f t="shared" si="17"/>
        <v>3585.8659306036175</v>
      </c>
      <c r="AQ58" s="533">
        <f t="shared" si="17"/>
        <v>3701.1914099620176</v>
      </c>
      <c r="AR58" s="431">
        <f t="shared" si="17"/>
        <v>3842.1287749317653</v>
      </c>
      <c r="AS58" s="431">
        <f t="shared" si="17"/>
        <v>4016.3781313462641</v>
      </c>
      <c r="AT58" s="431">
        <f t="shared" si="17"/>
        <v>4196.1843602943118</v>
      </c>
      <c r="AU58" s="431">
        <f t="shared" si="17"/>
        <v>4384.334313899727</v>
      </c>
      <c r="AV58" s="431">
        <f t="shared" si="17"/>
        <v>4568.4631999052535</v>
      </c>
    </row>
    <row r="59" spans="1:48" s="7" customFormat="1" ht="15">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5">
      <c r="D60" s="66" t="s">
        <v>883</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5">
      <c r="A61" s="7"/>
      <c r="E61" s="74" t="s">
        <v>940</v>
      </c>
      <c r="G61" s="2" t="s">
        <v>105</v>
      </c>
      <c r="J61" s="42"/>
      <c r="AJ61" s="79">
        <f>Depn!AJ46</f>
        <v>1216.3101961495033</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5">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5">
      <c r="D63" s="2"/>
      <c r="E63" s="56" t="s">
        <v>937</v>
      </c>
      <c r="F63" s="2"/>
      <c r="G63" s="2" t="s">
        <v>105</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1216.3101961495033</v>
      </c>
      <c r="AK63" s="2">
        <f t="shared" si="18"/>
        <v>1338.3681509577216</v>
      </c>
      <c r="AL63" s="2">
        <f t="shared" si="18"/>
        <v>1463.1270363371311</v>
      </c>
      <c r="AM63" s="2">
        <f t="shared" si="18"/>
        <v>1589.4131349217903</v>
      </c>
      <c r="AN63" s="2">
        <f t="shared" si="18"/>
        <v>1716.5625068910081</v>
      </c>
      <c r="AO63" s="2">
        <f t="shared" si="18"/>
        <v>1843.8858539976648</v>
      </c>
      <c r="AP63" s="2">
        <f t="shared" si="18"/>
        <v>1960.2234047097986</v>
      </c>
      <c r="AQ63" s="57">
        <f t="shared" si="18"/>
        <v>2075.6742524184442</v>
      </c>
      <c r="AR63" s="2">
        <f t="shared" si="18"/>
        <v>2189.1685868705445</v>
      </c>
      <c r="AS63" s="2">
        <f t="shared" si="18"/>
        <v>2300.6089782097488</v>
      </c>
      <c r="AT63" s="2">
        <f t="shared" si="18"/>
        <v>2410.3110518398798</v>
      </c>
      <c r="AU63" s="2">
        <f t="shared" si="18"/>
        <v>2519.3226106388352</v>
      </c>
      <c r="AV63" s="2">
        <f t="shared" si="18"/>
        <v>2626.937293545589</v>
      </c>
    </row>
    <row r="64" spans="1:48" s="7" customFormat="1" ht="15">
      <c r="E64" s="56" t="s">
        <v>938</v>
      </c>
      <c r="G64" s="2" t="s">
        <v>105</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1216.3101961495033</v>
      </c>
      <c r="AK64" s="432">
        <f t="shared" si="19"/>
        <v>1338.3681509577216</v>
      </c>
      <c r="AL64" s="432">
        <f t="shared" si="19"/>
        <v>1463.1270363371311</v>
      </c>
      <c r="AM64" s="432">
        <f t="shared" si="19"/>
        <v>1589.4131349217903</v>
      </c>
      <c r="AN64" s="432">
        <f t="shared" si="19"/>
        <v>1716.5625068910081</v>
      </c>
      <c r="AO64" s="432">
        <f t="shared" si="19"/>
        <v>1843.8858539976648</v>
      </c>
      <c r="AP64" s="432">
        <f t="shared" si="19"/>
        <v>1960.2234047097986</v>
      </c>
      <c r="AQ64" s="534">
        <f t="shared" si="19"/>
        <v>2075.6742524184442</v>
      </c>
      <c r="AR64" s="432">
        <f t="shared" si="19"/>
        <v>2189.1685868705445</v>
      </c>
      <c r="AS64" s="432">
        <f t="shared" si="19"/>
        <v>2300.6089782097488</v>
      </c>
      <c r="AT64" s="432">
        <f t="shared" si="19"/>
        <v>2410.3110518398798</v>
      </c>
      <c r="AU64" s="432">
        <f t="shared" si="19"/>
        <v>2519.3226106388352</v>
      </c>
      <c r="AV64" s="432">
        <f t="shared" si="19"/>
        <v>2626.937293545589</v>
      </c>
    </row>
    <row r="65" spans="1:48" s="7" customFormat="1" ht="15">
      <c r="E65" s="56" t="s">
        <v>932</v>
      </c>
      <c r="G65" s="2" t="s">
        <v>105</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122.05795480821823</v>
      </c>
      <c r="AK65" s="8">
        <f>SUM(Depn!AK29:AK31)</f>
        <v>124.75888537940965</v>
      </c>
      <c r="AL65" s="8">
        <f>SUM(Depn!AL29:AL31)</f>
        <v>126.28609858465916</v>
      </c>
      <c r="AM65" s="8">
        <f>SUM(Depn!AM29:AM31)</f>
        <v>127.14937196921777</v>
      </c>
      <c r="AN65" s="8">
        <f>SUM(Depn!AN29:AN31)</f>
        <v>127.3233471066567</v>
      </c>
      <c r="AO65" s="8">
        <f>SUM(Depn!AO29:AO31)</f>
        <v>116.33755071213383</v>
      </c>
      <c r="AP65" s="8">
        <f>SUM(Depn!AP29:AP31)</f>
        <v>115.45084770864578</v>
      </c>
      <c r="AQ65" s="9">
        <f>SUM(Depn!AQ29:AQ31)</f>
        <v>113.49433445210009</v>
      </c>
      <c r="AR65" s="8">
        <f>SUM(Depn!AR29:AR31)</f>
        <v>111.44039133920448</v>
      </c>
      <c r="AS65" s="8">
        <f>SUM(Depn!AS29:AS31)</f>
        <v>109.70207363013095</v>
      </c>
      <c r="AT65" s="8">
        <f>SUM(Depn!AT29:AT31)</f>
        <v>109.01155879895549</v>
      </c>
      <c r="AU65" s="8">
        <f>SUM(Depn!AU29:AU31)</f>
        <v>107.61468290675388</v>
      </c>
      <c r="AV65" s="8">
        <f>SUM(Depn!AV29:AV31)</f>
        <v>106.15672245506136</v>
      </c>
    </row>
    <row r="66" spans="1:48" s="7" customFormat="1" ht="15">
      <c r="E66" s="56" t="s">
        <v>939</v>
      </c>
      <c r="G66" s="2" t="s">
        <v>105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1338.3681509577216</v>
      </c>
      <c r="AK66" s="431">
        <f t="shared" si="20"/>
        <v>1463.1270363371311</v>
      </c>
      <c r="AL66" s="431">
        <f t="shared" si="20"/>
        <v>1589.4131349217903</v>
      </c>
      <c r="AM66" s="431">
        <f t="shared" si="20"/>
        <v>1716.5625068910081</v>
      </c>
      <c r="AN66" s="431">
        <f t="shared" si="20"/>
        <v>1843.8858539976648</v>
      </c>
      <c r="AO66" s="431">
        <f t="shared" si="20"/>
        <v>1960.2234047097986</v>
      </c>
      <c r="AP66" s="431">
        <f t="shared" si="20"/>
        <v>2075.6742524184442</v>
      </c>
      <c r="AQ66" s="533">
        <f t="shared" si="20"/>
        <v>2189.1685868705445</v>
      </c>
      <c r="AR66" s="431">
        <f t="shared" si="20"/>
        <v>2300.6089782097488</v>
      </c>
      <c r="AS66" s="431">
        <f t="shared" si="20"/>
        <v>2410.3110518398798</v>
      </c>
      <c r="AT66" s="431">
        <f t="shared" si="20"/>
        <v>2519.3226106388352</v>
      </c>
      <c r="AU66" s="431">
        <f t="shared" si="20"/>
        <v>2626.937293545589</v>
      </c>
      <c r="AV66" s="431">
        <f t="shared" si="20"/>
        <v>2733.0940160006503</v>
      </c>
    </row>
    <row r="67" spans="1:48" s="7" customFormat="1" ht="15">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5">
      <c r="D68" s="62" t="s">
        <v>941</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5">
      <c r="D69" s="2"/>
      <c r="E69" s="41" t="s">
        <v>942</v>
      </c>
      <c r="G69" s="2" t="s">
        <v>105</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1541.5197967220165</v>
      </c>
      <c r="AS69" s="461">
        <f>AS58 - AS66</f>
        <v>1606.0670795063843</v>
      </c>
      <c r="AT69" s="461">
        <f>AT58 - AT66</f>
        <v>1676.8617496554766</v>
      </c>
      <c r="AU69" s="461">
        <f>AU58 - AU66</f>
        <v>1757.397020354138</v>
      </c>
      <c r="AV69" s="461">
        <f>AV58 - AV66</f>
        <v>1835.3691839046032</v>
      </c>
    </row>
    <row r="70" spans="1:48" s="7" customFormat="1" ht="15">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5">
      <c r="C71" s="28" t="s">
        <v>943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5">
      <c r="E72" s="41"/>
      <c r="J72" s="42"/>
      <c r="K72" s="42"/>
      <c r="L72" s="42"/>
      <c r="M72" s="42"/>
      <c r="N72" s="42"/>
      <c r="O72" s="42"/>
      <c r="P72" s="42"/>
      <c r="Q72" s="42"/>
      <c r="R72" s="42"/>
      <c r="S72" s="42"/>
      <c r="T72" s="42"/>
      <c r="U72" s="42"/>
      <c r="V72" s="42"/>
      <c r="W72" s="42"/>
      <c r="X72" s="42"/>
      <c r="Y72" s="42"/>
      <c r="Z72" s="42"/>
      <c r="AQ72" s="57"/>
    </row>
    <row r="73" spans="1:48" s="2" customFormat="1" ht="15">
      <c r="E73" s="41" t="s">
        <v>275</v>
      </c>
      <c r="G73" s="2" t="s">
        <v>105</v>
      </c>
      <c r="I73" s="8">
        <f>InputSummary!I219</f>
        <v>25.519621594927063</v>
      </c>
      <c r="J73" s="42"/>
      <c r="K73" s="42"/>
      <c r="L73" s="42"/>
      <c r="M73" s="42"/>
      <c r="N73" s="42"/>
      <c r="O73" s="42"/>
      <c r="P73" s="42"/>
      <c r="Q73" s="42"/>
      <c r="R73" s="42"/>
      <c r="S73" s="42"/>
      <c r="T73" s="42"/>
      <c r="U73" s="42"/>
      <c r="V73" s="42"/>
      <c r="W73" s="42"/>
      <c r="X73" s="42"/>
      <c r="Y73" s="42"/>
      <c r="Z73" s="42"/>
      <c r="AJ73" s="2">
        <f>AJ$37*$I73</f>
        <v>25.519621594927063</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5">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5">
      <c r="A75" s="2"/>
      <c r="B75" s="37" t="s">
        <v>79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8" priority="1">
      <formula>mac_sensitivity=2</formula>
    </cfRule>
    <cfRule type="expression" dxfId="77" priority="2">
      <formula>mac_sensitivity=1</formula>
    </cfRule>
  </conditionalFormatting>
  <conditionalFormatting sqref="AM3">
    <cfRule type="expression" dxfId="7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16384" width="9" hidden="1"/>
  </cols>
  <sheetData>
    <row r="1" spans="1:49" s="82" customFormat="1" ht="19.5">
      <c r="A1" s="195" t="s">
        <v>944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s="82" customFormat="1"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s="82" customFormat="1"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5">
      <c r="A6" s="2"/>
      <c r="B6" s="22" t="s">
        <v>945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5">
      <c r="B7" s="4" t="s">
        <v>946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5">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5">
      <c r="B11" s="34"/>
      <c r="C11" s="34"/>
      <c r="D11" s="34"/>
      <c r="E11" s="34" t="s">
        <v>544</v>
      </c>
      <c r="F11" s="34"/>
      <c r="G11" s="2" t="s">
        <v>547</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5">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5">
      <c r="C13" s="28" t="s">
        <v>947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5">
      <c r="I14" s="182"/>
      <c r="AQ14" s="147"/>
    </row>
    <row r="15" spans="1:49" s="82" customFormat="1" ht="15">
      <c r="E15" s="2" t="s">
        <v>948</v>
      </c>
      <c r="G15" s="2" t="s">
        <v>100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5">
      <c r="A17" s="2"/>
      <c r="B17" s="2"/>
      <c r="C17" s="20" t="s">
        <v>949</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5">
      <c r="A18" s="2"/>
      <c r="B18" s="2"/>
      <c r="C18" s="4" t="s">
        <v>950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5">
      <c r="A20" s="2"/>
      <c r="B20" s="2"/>
      <c r="C20" s="2"/>
      <c r="D20" s="10" t="s">
        <v>951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5">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5">
      <c r="A22" s="2"/>
      <c r="B22" s="2"/>
      <c r="C22" s="2"/>
      <c r="D22" s="2"/>
      <c r="E22" s="7" t="s">
        <v>129</v>
      </c>
      <c r="F22" s="2"/>
      <c r="G22" s="2" t="s">
        <v>105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14.110739431801797</v>
      </c>
      <c r="AS22" s="8">
        <f>Totex!AS75</f>
        <v>17.863255361764775</v>
      </c>
      <c r="AT22" s="8">
        <f>Totex!AT75</f>
        <v>33.539514752607168</v>
      </c>
      <c r="AU22" s="8">
        <f>Totex!AU75</f>
        <v>41.321980932495528</v>
      </c>
      <c r="AV22" s="8">
        <f>Totex!AV75</f>
        <v>44.110404997196568</v>
      </c>
      <c r="AW22" s="2"/>
    </row>
    <row r="23" spans="1:49" s="82" customFormat="1" ht="15">
      <c r="A23" s="2"/>
      <c r="B23" s="2"/>
      <c r="C23" s="2"/>
      <c r="D23" s="2"/>
      <c r="E23" s="7" t="s">
        <v>952</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30.372679020095745</v>
      </c>
      <c r="AS23" s="8">
        <f>Totex!AS76</f>
        <v>70.896655315562626</v>
      </c>
      <c r="AT23" s="8">
        <f>Totex!AT76</f>
        <v>69.674998104958632</v>
      </c>
      <c r="AU23" s="8">
        <f>Totex!AU76</f>
        <v>83.36296826536713</v>
      </c>
      <c r="AV23" s="8">
        <f>Totex!AV76</f>
        <v>75.468834206959855</v>
      </c>
      <c r="AW23" s="2"/>
    </row>
    <row r="24" spans="1:49" s="82" customFormat="1" ht="15">
      <c r="A24" s="2"/>
      <c r="B24" s="2"/>
      <c r="C24" s="2"/>
      <c r="D24" s="2"/>
      <c r="E24" s="7" t="s">
        <v>953</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12.020651864361701</v>
      </c>
      <c r="AS24" s="8">
        <f>Totex!AS77</f>
        <v>31.594253222747234</v>
      </c>
      <c r="AT24" s="8">
        <f>Totex!AT77</f>
        <v>32.145665935652197</v>
      </c>
      <c r="AU24" s="8">
        <f>Totex!AU77</f>
        <v>22.847533359518476</v>
      </c>
      <c r="AV24" s="8">
        <f>Totex!AV77</f>
        <v>16.534661193178501</v>
      </c>
      <c r="AW24" s="2"/>
    </row>
    <row r="25" spans="1:49" s="82" customFormat="1" ht="15">
      <c r="A25" s="2"/>
      <c r="B25" s="2"/>
      <c r="C25" s="2"/>
      <c r="D25" s="2"/>
      <c r="E25" s="7" t="s">
        <v>954</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36.658867752890153</v>
      </c>
      <c r="AS25" s="8">
        <f>Totex!AS78</f>
        <v>29.396527159817936</v>
      </c>
      <c r="AT25" s="8">
        <f>Totex!AT78</f>
        <v>29.517895030126866</v>
      </c>
      <c r="AU25" s="8">
        <f>Totex!AU78</f>
        <v>29.52019485561727</v>
      </c>
      <c r="AV25" s="8">
        <f>Totex!AV78</f>
        <v>29.522714097147016</v>
      </c>
      <c r="AW25" s="2"/>
    </row>
    <row r="26" spans="1:49" s="82" customFormat="1" ht="15">
      <c r="A26" s="2"/>
      <c r="B26" s="2"/>
      <c r="C26" s="2"/>
      <c r="D26" s="2"/>
      <c r="E26" s="7" t="s">
        <v>955</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3.0548757455097566</v>
      </c>
      <c r="AS26" s="8">
        <f>Totex!AS79</f>
        <v>5.6362769798234789</v>
      </c>
      <c r="AT26" s="8">
        <f>Totex!AT79</f>
        <v>6.0190972115841674</v>
      </c>
      <c r="AU26" s="8">
        <f>Totex!AU79</f>
        <v>3.9089394138452325</v>
      </c>
      <c r="AV26" s="8">
        <f>Totex!AV79</f>
        <v>4.1546816265198752</v>
      </c>
      <c r="AW26" s="2"/>
    </row>
    <row r="27" spans="1:49" s="82" customFormat="1" ht="15">
      <c r="A27" s="2"/>
      <c r="B27" s="2"/>
      <c r="C27" s="2"/>
      <c r="D27" s="2"/>
      <c r="E27" s="7" t="s">
        <v>956</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5.6778773372069278</v>
      </c>
      <c r="AS27" s="8">
        <f>Totex!AS80</f>
        <v>5.6924363314947737</v>
      </c>
      <c r="AT27" s="8">
        <f>Totex!AT80</f>
        <v>5.6924363314947737</v>
      </c>
      <c r="AU27" s="8">
        <f>Totex!AU80</f>
        <v>5.6924363314947719</v>
      </c>
      <c r="AV27" s="8">
        <f>Totex!AV80</f>
        <v>5.6924363314947719</v>
      </c>
      <c r="AW27" s="2"/>
    </row>
    <row r="28" spans="1:49" s="82" customFormat="1" ht="15">
      <c r="A28" s="2"/>
      <c r="B28" s="2"/>
      <c r="C28" s="2"/>
      <c r="D28" s="2"/>
      <c r="E28" s="7" t="s">
        <v>957</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62.714291106626973</v>
      </c>
      <c r="AS28" s="8">
        <f>Totex!AS81</f>
        <v>72.600646022817415</v>
      </c>
      <c r="AT28" s="8">
        <f>Totex!AT81</f>
        <v>74.181973242509926</v>
      </c>
      <c r="AU28" s="8">
        <f>Totex!AU81</f>
        <v>74.467122510617685</v>
      </c>
      <c r="AV28" s="8">
        <f>Totex!AV81</f>
        <v>73.868181002742176</v>
      </c>
      <c r="AW28" s="2"/>
    </row>
    <row r="29" spans="1:49" s="82" customFormat="1" ht="15">
      <c r="A29" s="2"/>
      <c r="B29" s="2"/>
      <c r="C29" s="2"/>
      <c r="D29" s="2"/>
      <c r="E29" s="13" t="s">
        <v>958</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164.60998225849306</v>
      </c>
      <c r="AS29" s="431">
        <f t="shared" si="0"/>
        <v>233.68005039402826</v>
      </c>
      <c r="AT29" s="431">
        <f t="shared" si="0"/>
        <v>250.77158060893373</v>
      </c>
      <c r="AU29" s="431">
        <f t="shared" si="0"/>
        <v>261.12117566895608</v>
      </c>
      <c r="AV29" s="431">
        <f t="shared" si="0"/>
        <v>249.35191345523876</v>
      </c>
      <c r="AW29" s="2"/>
    </row>
    <row r="30" spans="1:49" s="82" customFormat="1" ht="15">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5">
      <c r="A31" s="2"/>
      <c r="B31" s="2"/>
      <c r="C31" s="2"/>
      <c r="D31" s="10" t="s">
        <v>959</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5">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5">
      <c r="A33" s="2"/>
      <c r="B33" s="2"/>
      <c r="C33" s="2"/>
      <c r="D33" s="2"/>
      <c r="E33" s="2" t="s">
        <v>960</v>
      </c>
      <c r="F33" s="2"/>
      <c r="G33" s="2" t="s">
        <v>105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47.929374806055144</v>
      </c>
      <c r="AS33" s="8">
        <f>InputSummary!AS97</f>
        <v>5.6028198525613249E-2</v>
      </c>
      <c r="AT33" s="8">
        <f>InputSummary!AT97</f>
        <v>31.240839945274683</v>
      </c>
      <c r="AU33" s="8">
        <f>InputSummary!AU97</f>
        <v>36.492131115479992</v>
      </c>
      <c r="AV33" s="8">
        <f>InputSummary!AV97</f>
        <v>37.744187844163946</v>
      </c>
      <c r="AW33" s="2"/>
    </row>
    <row r="34" spans="1:49" s="82" customFormat="1" ht="15">
      <c r="A34" s="2"/>
      <c r="B34" s="2"/>
      <c r="C34" s="2"/>
      <c r="D34" s="2"/>
      <c r="E34" s="2" t="s">
        <v>961</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1.1725914441812459</v>
      </c>
      <c r="AS34" s="8">
        <f>InputSummary!AS124 * (-1)</f>
        <v>0.98578547268392314</v>
      </c>
      <c r="AT34" s="8">
        <f>InputSummary!AT124 * (-1)</f>
        <v>0.80934767872243252</v>
      </c>
      <c r="AU34" s="8">
        <f>InputSummary!AU124 * (-1)</f>
        <v>0.57411855042379478</v>
      </c>
      <c r="AV34" s="8">
        <f>InputSummary!AV124 * (-1)</f>
        <v>0.46151432117098007</v>
      </c>
      <c r="AW34" s="2"/>
    </row>
    <row r="35" spans="1:49" s="82" customFormat="1" ht="15">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5">
      <c r="A36" s="2"/>
      <c r="B36" s="2"/>
      <c r="C36" s="20" t="s">
        <v>962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5">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5">
      <c r="E38" s="82" t="s">
        <v>621</v>
      </c>
      <c r="G38" s="7" t="s">
        <v>209</v>
      </c>
      <c r="AJ38" s="193"/>
      <c r="AK38" s="193"/>
      <c r="AL38" s="193"/>
      <c r="AM38" s="193"/>
      <c r="AN38" s="193"/>
      <c r="AO38" s="193"/>
      <c r="AP38" s="193"/>
      <c r="AQ38" s="187"/>
      <c r="AR38" s="49">
        <f>SUMPRODUCT(AR$22:AR$28,InputSummary!AR435:AR441)/SUM(Totex!AR$75:AR$81)</f>
        <v>8.77929249701591E-2</v>
      </c>
      <c r="AS38" s="49">
        <f>SUMPRODUCT(AS$22:AS$28,InputSummary!AS435:AS441)/SUM(Totex!AS$75:AS$81)</f>
        <v>0.151504515746683</v>
      </c>
      <c r="AT38" s="49">
        <f>SUMPRODUCT(AT$22:AT$28,InputSummary!AT435:AT441)/SUM(Totex!AT$75:AT$81)</f>
        <v>0.1364771238422102</v>
      </c>
      <c r="AU38" s="49">
        <f>SUMPRODUCT(AU$22:AU$28,InputSummary!AU435:AU441)/SUM(Totex!AU$75:AU$81)</f>
        <v>8.9331767851352911E-2</v>
      </c>
      <c r="AV38" s="49">
        <f>SUMPRODUCT(AV$22:AV$28,InputSummary!AV435:AV441)/SUM(Totex!AV$75:AV$81)</f>
        <v>6.9372415509334692E-2</v>
      </c>
    </row>
    <row r="39" spans="1:49" s="82" customFormat="1" ht="15">
      <c r="E39" s="82" t="s">
        <v>622</v>
      </c>
      <c r="G39" s="7" t="s">
        <v>209</v>
      </c>
      <c r="AJ39" s="193"/>
      <c r="AK39" s="193"/>
      <c r="AL39" s="193"/>
      <c r="AM39" s="193"/>
      <c r="AN39" s="193"/>
      <c r="AO39" s="193"/>
      <c r="AP39" s="193"/>
      <c r="AQ39" s="187"/>
      <c r="AR39" s="49">
        <f>SUMPRODUCT(AR$22:AR$28,InputSummary!AR442:AR448)/SUM(Totex!AR$75:AR$81)</f>
        <v>0.15568795247529327</v>
      </c>
      <c r="AS39" s="49">
        <f>SUMPRODUCT(AS$22:AS$28,InputSummary!AS442:AS448)/SUM(Totex!AS$75:AS$81)</f>
        <v>0.14618281001114219</v>
      </c>
      <c r="AT39" s="49">
        <f>SUMPRODUCT(AT$22:AT$28,InputSummary!AT442:AT448)/SUM(Totex!AT$75:AT$81)</f>
        <v>0.21464953968495321</v>
      </c>
      <c r="AU39" s="49">
        <f>SUMPRODUCT(AU$22:AU$28,InputSummary!AU442:AU448)/SUM(Totex!AU$75:AU$81)</f>
        <v>0.20358729452890503</v>
      </c>
      <c r="AV39" s="49">
        <f>SUMPRODUCT(AV$22:AV$28,InputSummary!AV442:AV448)/SUM(Totex!AV$75:AV$81)</f>
        <v>0.22686766171810954</v>
      </c>
    </row>
    <row r="40" spans="1:49" s="82" customFormat="1" ht="15">
      <c r="E40" s="82" t="s">
        <v>623</v>
      </c>
      <c r="G40" s="7" t="s">
        <v>209</v>
      </c>
      <c r="AJ40" s="193"/>
      <c r="AK40" s="193"/>
      <c r="AL40" s="193"/>
      <c r="AM40" s="193"/>
      <c r="AN40" s="193"/>
      <c r="AO40" s="193"/>
      <c r="AP40" s="193"/>
      <c r="AQ40" s="187"/>
      <c r="AR40" s="49">
        <f>SUMPRODUCT(AR$22:AR$28,InputSummary!AR449:AR455)/SUM(Totex!AR$75:AR$81)</f>
        <v>0.46419098808991466</v>
      </c>
      <c r="AS40" s="49">
        <f>SUMPRODUCT(AS$22:AS$28,InputSummary!AS449:AS455)/SUM(Totex!AS$75:AS$81)</f>
        <v>0.46912308786391621</v>
      </c>
      <c r="AT40" s="49">
        <f>SUMPRODUCT(AT$22:AT$28,InputSummary!AT449:AT455)/SUM(Totex!AT$75:AT$81)</f>
        <v>0.42223045895654748</v>
      </c>
      <c r="AU40" s="49">
        <f>SUMPRODUCT(AU$22:AU$28,InputSummary!AU449:AU455)/SUM(Totex!AU$75:AU$81)</f>
        <v>0.49997673139147558</v>
      </c>
      <c r="AV40" s="49">
        <f>SUMPRODUCT(AV$22:AV$28,InputSummary!AV449:AV455)/SUM(Totex!AV$75:AV$81)</f>
        <v>0.49254933951636232</v>
      </c>
    </row>
    <row r="41" spans="1:49" s="82" customFormat="1" ht="15">
      <c r="E41" s="82" t="s">
        <v>624</v>
      </c>
      <c r="G41" s="7" t="s">
        <v>209</v>
      </c>
      <c r="AJ41" s="193"/>
      <c r="AK41" s="193"/>
      <c r="AL41" s="193"/>
      <c r="AM41" s="193"/>
      <c r="AN41" s="193"/>
      <c r="AO41" s="193"/>
      <c r="AP41" s="193"/>
      <c r="AQ41" s="187"/>
      <c r="AR41" s="49">
        <f>SUMPRODUCT(AR$22:AR$28,InputSummary!AR456:AR462)/SUM(Totex!AR$75:AR$81)</f>
        <v>1.1863317688940653E-2</v>
      </c>
      <c r="AS41" s="49">
        <f>SUMPRODUCT(AS$22:AS$28,InputSummary!AS456:AS462)/SUM(Totex!AS$75:AS$81)</f>
        <v>1.7611736362211208E-2</v>
      </c>
      <c r="AT41" s="49">
        <f>SUMPRODUCT(AT$22:AT$28,InputSummary!AT456:AT462)/SUM(Totex!AT$75:AT$81)</f>
        <v>1.8658804074940531E-2</v>
      </c>
      <c r="AU41" s="49">
        <f>SUMPRODUCT(AU$22:AU$28,InputSummary!AU456:AU462)/SUM(Totex!AU$75:AU$81)</f>
        <v>1.4922186960662961E-2</v>
      </c>
      <c r="AV41" s="49">
        <f>SUMPRODUCT(AV$22:AV$28,InputSummary!AV456:AV462)/SUM(Totex!AV$75:AV$81)</f>
        <v>1.0104630620245485E-2</v>
      </c>
    </row>
    <row r="42" spans="1:49" s="82" customFormat="1" ht="15">
      <c r="E42" s="82" t="s">
        <v>625</v>
      </c>
      <c r="G42" s="7" t="s">
        <v>209</v>
      </c>
      <c r="AJ42" s="193"/>
      <c r="AK42" s="193"/>
      <c r="AL42" s="193"/>
      <c r="AM42" s="193"/>
      <c r="AN42" s="193"/>
      <c r="AO42" s="193"/>
      <c r="AP42" s="193"/>
      <c r="AQ42" s="187"/>
      <c r="AR42" s="49">
        <f>SUMPRODUCT(AR$22:AR$28,InputSummary!AR463:AR469)/SUM(Totex!AR$75:AR$81)</f>
        <v>0.26858953485280779</v>
      </c>
      <c r="AS42" s="49">
        <f>SUMPRODUCT(AS$22:AS$28,InputSummary!AS463:AS469)/SUM(Totex!AS$75:AS$81)</f>
        <v>0.20674179881543092</v>
      </c>
      <c r="AT42" s="49">
        <f>SUMPRODUCT(AT$22:AT$28,InputSummary!AT463:AT469)/SUM(Totex!AT$75:AT$81)</f>
        <v>0.19989540870982353</v>
      </c>
      <c r="AU42" s="49">
        <f>SUMPRODUCT(AU$22:AU$28,InputSummary!AU463:AU469)/SUM(Totex!AU$75:AU$81)</f>
        <v>0.18447804838106296</v>
      </c>
      <c r="AV42" s="49">
        <f>SUMPRODUCT(AV$22:AV$28,InputSummary!AV463:AV469)/SUM(Totex!AV$75:AV$81)</f>
        <v>0.19293346134610556</v>
      </c>
    </row>
    <row r="43" spans="1:49" s="82" customFormat="1" ht="15">
      <c r="E43" s="82" t="s">
        <v>626</v>
      </c>
      <c r="G43" s="7" t="s">
        <v>209</v>
      </c>
      <c r="AJ43" s="193"/>
      <c r="AK43" s="193"/>
      <c r="AL43" s="193"/>
      <c r="AM43" s="193"/>
      <c r="AN43" s="193"/>
      <c r="AO43" s="193"/>
      <c r="AP43" s="193"/>
      <c r="AQ43" s="187"/>
      <c r="AR43" s="49">
        <f>SUMPRODUCT(AR$22:AR$28,InputSummary!AR470:AR476)/SUM(Totex!AR$75:AR$81)</f>
        <v>1.1875281922884461E-2</v>
      </c>
      <c r="AS43" s="49">
        <f>SUMPRODUCT(AS$22:AS$28,InputSummary!AS470:AS476)/SUM(Totex!AS$75:AS$81)</f>
        <v>8.8360512006164394E-3</v>
      </c>
      <c r="AT43" s="49">
        <f>SUMPRODUCT(AT$22:AT$28,InputSummary!AT470:AT476)/SUM(Totex!AT$75:AT$81)</f>
        <v>8.088664731525164E-3</v>
      </c>
      <c r="AU43" s="49">
        <f>SUMPRODUCT(AU$22:AU$28,InputSummary!AU470:AU476)/SUM(Totex!AU$75:AU$81)</f>
        <v>7.7039708865405581E-3</v>
      </c>
      <c r="AV43" s="49">
        <f>SUMPRODUCT(AV$22:AV$28,InputSummary!AV470:AV476)/SUM(Totex!AV$75:AV$81)</f>
        <v>8.1724912898423398E-3</v>
      </c>
    </row>
    <row r="44" spans="1:49" s="82" customFormat="1" ht="15">
      <c r="E44" s="182" t="s">
        <v>21</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5">
      <c r="AQ45" s="147"/>
    </row>
    <row r="46" spans="1:49" s="82" customFormat="1" ht="15">
      <c r="E46" s="82" t="s">
        <v>963</v>
      </c>
      <c r="G46" s="2" t="s">
        <v>105</v>
      </c>
      <c r="AJ46" s="307"/>
      <c r="AK46" s="307"/>
      <c r="AL46" s="307"/>
      <c r="AM46" s="307"/>
      <c r="AN46" s="307"/>
      <c r="AO46" s="307"/>
      <c r="AP46" s="307"/>
      <c r="AQ46" s="308"/>
      <c r="AR46" s="307">
        <f t="shared" ref="AR46:AV49" si="2">AR38 * AR$29</f>
        <v>14.451591821759102</v>
      </c>
      <c r="AS46" s="307">
        <f t="shared" si="2"/>
        <v>35.403582874607729</v>
      </c>
      <c r="AT46" s="307">
        <f t="shared" si="2"/>
        <v>34.224584062872246</v>
      </c>
      <c r="AU46" s="307">
        <f t="shared" si="2"/>
        <v>23.326416245931526</v>
      </c>
      <c r="AV46" s="307">
        <f t="shared" si="2"/>
        <v>17.298144548264489</v>
      </c>
    </row>
    <row r="47" spans="1:49" s="82" customFormat="1" ht="15">
      <c r="E47" s="82" t="s">
        <v>964</v>
      </c>
      <c r="G47" s="2" t="s">
        <v>105</v>
      </c>
      <c r="AJ47" s="307"/>
      <c r="AK47" s="307"/>
      <c r="AL47" s="307"/>
      <c r="AM47" s="307"/>
      <c r="AN47" s="307"/>
      <c r="AO47" s="307"/>
      <c r="AP47" s="307"/>
      <c r="AQ47" s="308"/>
      <c r="AR47" s="307">
        <f t="shared" si="2"/>
        <v>25.627791094819134</v>
      </c>
      <c r="AS47" s="307">
        <f t="shared" si="2"/>
        <v>34.160006410144369</v>
      </c>
      <c r="AT47" s="307">
        <f t="shared" si="2"/>
        <v>53.82800434377576</v>
      </c>
      <c r="AU47" s="307">
        <f t="shared" si="2"/>
        <v>53.160953698649713</v>
      </c>
      <c r="AV47" s="307">
        <f t="shared" si="2"/>
        <v>56.569885550526436</v>
      </c>
    </row>
    <row r="48" spans="1:49" s="82" customFormat="1" ht="15">
      <c r="E48" s="82" t="s">
        <v>965</v>
      </c>
      <c r="G48" s="2" t="s">
        <v>105</v>
      </c>
      <c r="AJ48" s="307"/>
      <c r="AK48" s="307"/>
      <c r="AL48" s="307"/>
      <c r="AM48" s="307"/>
      <c r="AN48" s="307"/>
      <c r="AO48" s="307"/>
      <c r="AP48" s="307"/>
      <c r="AQ48" s="308"/>
      <c r="AR48" s="307">
        <f t="shared" si="2"/>
        <v>76.410470314033219</v>
      </c>
      <c r="AS48" s="307">
        <f t="shared" si="2"/>
        <v>109.62470681304208</v>
      </c>
      <c r="AT48" s="307">
        <f t="shared" si="2"/>
        <v>105.88339957376893</v>
      </c>
      <c r="AU48" s="307">
        <f t="shared" si="2"/>
        <v>130.55451190806397</v>
      </c>
      <c r="AV48" s="307">
        <f t="shared" si="2"/>
        <v>122.81812027951899</v>
      </c>
    </row>
    <row r="49" spans="1:49" s="82" customFormat="1" ht="15">
      <c r="E49" s="82" t="s">
        <v>966</v>
      </c>
      <c r="G49" s="2" t="s">
        <v>105</v>
      </c>
      <c r="AJ49" s="307"/>
      <c r="AK49" s="307"/>
      <c r="AL49" s="307"/>
      <c r="AM49" s="307"/>
      <c r="AN49" s="307"/>
      <c r="AO49" s="307"/>
      <c r="AP49" s="307"/>
      <c r="AQ49" s="308"/>
      <c r="AR49" s="307">
        <f t="shared" si="2"/>
        <v>1.9528205143033877</v>
      </c>
      <c r="AS49" s="307">
        <f t="shared" si="2"/>
        <v>4.1155114406478548</v>
      </c>
      <c r="AT49" s="307">
        <f t="shared" si="2"/>
        <v>4.6790977901452502</v>
      </c>
      <c r="AU49" s="307">
        <f t="shared" si="2"/>
        <v>3.896499002720279</v>
      </c>
      <c r="AV49" s="307">
        <f t="shared" si="2"/>
        <v>2.5196089799166077</v>
      </c>
    </row>
    <row r="50" spans="1:49" s="82" customFormat="1" ht="15">
      <c r="E50" s="82" t="s">
        <v>967</v>
      </c>
      <c r="G50" s="2" t="s">
        <v>105</v>
      </c>
      <c r="AJ50" s="307"/>
      <c r="AK50" s="307"/>
      <c r="AL50" s="307"/>
      <c r="AM50" s="307"/>
      <c r="AN50" s="307"/>
      <c r="AO50" s="307"/>
      <c r="AP50" s="307"/>
      <c r="AQ50" s="308"/>
      <c r="AR50" s="307">
        <f>AR42 * AR$29 + AR33 + AR34</f>
        <v>93.314484817173991</v>
      </c>
      <c r="AS50" s="307">
        <f t="shared" ref="AS50:AV50" si="3">AS42 * AS$29 + AS33 + AS34</f>
        <v>49.353247636951487</v>
      </c>
      <c r="AT50" s="307">
        <f t="shared" si="3"/>
        <v>82.178275222628386</v>
      </c>
      <c r="AU50" s="307">
        <f t="shared" si="3"/>
        <v>85.237374544281508</v>
      </c>
      <c r="AV50" s="307">
        <f t="shared" si="3"/>
        <v>86.3140299215287</v>
      </c>
    </row>
    <row r="51" spans="1:49" s="82" customFormat="1" ht="15">
      <c r="E51" s="82" t="s">
        <v>968</v>
      </c>
      <c r="G51" s="2" t="s">
        <v>105</v>
      </c>
      <c r="AJ51" s="307"/>
      <c r="AK51" s="307"/>
      <c r="AL51" s="307"/>
      <c r="AM51" s="307"/>
      <c r="AN51" s="307"/>
      <c r="AO51" s="307"/>
      <c r="AP51" s="307"/>
      <c r="AQ51" s="308"/>
      <c r="AR51" s="307">
        <f>AR43 * AR$29</f>
        <v>1.9547899466406145</v>
      </c>
      <c r="AS51" s="307">
        <f>AS43 * AS$29</f>
        <v>2.0648088898442634</v>
      </c>
      <c r="AT51" s="307">
        <f>AT43 * AT$29</f>
        <v>2.0284072397403019</v>
      </c>
      <c r="AU51" s="307">
        <f>AU43 * AU$29</f>
        <v>2.0116699352128804</v>
      </c>
      <c r="AV51" s="307">
        <f>AV43 * AV$29</f>
        <v>2.0378263408184596</v>
      </c>
    </row>
    <row r="52" spans="1:49" s="82" customFormat="1" ht="15">
      <c r="AQ52" s="147"/>
    </row>
    <row r="53" spans="1:49" s="82" customFormat="1" ht="15">
      <c r="A53" s="2"/>
      <c r="B53" s="22" t="s">
        <v>969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5">
      <c r="B54" s="4" t="s">
        <v>970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5">
      <c r="B55" s="4" t="s">
        <v>971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5">
      <c r="AQ56" s="147"/>
    </row>
    <row r="57" spans="1:49" s="21" customFormat="1" ht="15">
      <c r="C57" s="28" t="s">
        <v>972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5">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5">
      <c r="A59" s="82"/>
      <c r="E59" s="21" t="s">
        <v>973</v>
      </c>
      <c r="G59" s="21" t="s">
        <v>209</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InputSummary!AR264</f>
        <v>0.18</v>
      </c>
      <c r="AS59" s="132">
        <f>InputSummary!AS264</f>
        <v>0.18</v>
      </c>
      <c r="AT59" s="132">
        <f>InputSummary!AT264</f>
        <v>0.18</v>
      </c>
      <c r="AU59" s="132">
        <f>InputSummary!AU264</f>
        <v>0.18</v>
      </c>
      <c r="AV59" s="132">
        <f>InputSummary!AV264</f>
        <v>0.18</v>
      </c>
      <c r="AW59" s="7"/>
    </row>
    <row r="60" spans="1:49" s="21" customFormat="1" ht="15">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5">
      <c r="A61" s="82"/>
      <c r="C61" s="73"/>
      <c r="E61" s="74" t="s">
        <v>974</v>
      </c>
      <c r="G61" s="21" t="s">
        <v>302</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InputSummary!AR271</f>
        <v>46.080796007047375</v>
      </c>
      <c r="AS61" s="79">
        <f>InputSummary!AS271</f>
        <v>0</v>
      </c>
      <c r="AT61" s="79">
        <f>InputSummary!AT271</f>
        <v>0</v>
      </c>
      <c r="AU61" s="79">
        <f>InputSummary!AU271</f>
        <v>0</v>
      </c>
      <c r="AV61" s="79">
        <f>InputSummary!AV271</f>
        <v>0</v>
      </c>
    </row>
    <row r="62" spans="1:49" s="21" customFormat="1" ht="15">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5">
      <c r="A63" s="82"/>
      <c r="E63" s="21" t="s">
        <v>975</v>
      </c>
      <c r="G63" s="21" t="s">
        <v>302</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46.080796007047375</v>
      </c>
      <c r="AS63" s="7">
        <f>AR68 + AS61</f>
        <v>52.962022336558846</v>
      </c>
      <c r="AT63" s="7">
        <f>AS68 + AT61</f>
        <v>70.026322753496487</v>
      </c>
      <c r="AU63" s="7">
        <f>AT68 + AU61</f>
        <v>66.668636679813503</v>
      </c>
      <c r="AV63" s="7">
        <f>AU68 + AV61</f>
        <v>52.840664287949224</v>
      </c>
      <c r="AW63" s="7"/>
    </row>
    <row r="64" spans="1:49" s="21" customFormat="1" ht="15">
      <c r="A64" s="82"/>
      <c r="E64" s="21" t="s">
        <v>976</v>
      </c>
      <c r="G64" s="21" t="s">
        <v>302</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-14.33608961078</v>
      </c>
      <c r="AT64" s="7">
        <f>SelectedInputs!AT282</f>
        <v>-35.064721251691175</v>
      </c>
      <c r="AU64" s="7">
        <f>SelectedInputs!AU282</f>
        <v>-34.515580757686479</v>
      </c>
      <c r="AV64" s="7">
        <f>SelectedInputs!AV282</f>
        <v>-22.960643693198399</v>
      </c>
      <c r="AW64" s="7"/>
    </row>
    <row r="65" spans="1:49" s="21" customFormat="1" ht="15">
      <c r="A65" s="82"/>
      <c r="E65" s="21" t="s">
        <v>977</v>
      </c>
      <c r="G65" s="21" t="s">
        <v>302</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18.507036110707315</v>
      </c>
      <c r="AS65" s="7">
        <f>AS$46 * AS$15</f>
        <v>46.772021851655907</v>
      </c>
      <c r="AT65" s="7">
        <f>AT$46 * AT$15</f>
        <v>46.341613961381888</v>
      </c>
      <c r="AU65" s="7">
        <f>AU$46 * AU$15</f>
        <v>32.286778575372026</v>
      </c>
      <c r="AV65" s="7">
        <f>AV$46 * AV$15</f>
        <v>24.447126326997886</v>
      </c>
      <c r="AW65" s="7"/>
    </row>
    <row r="66" spans="1:49" s="21" customFormat="1" ht="15">
      <c r="A66" s="82"/>
      <c r="E66" s="21" t="s">
        <v>978</v>
      </c>
      <c r="G66" s="21" t="s">
        <v>302</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64.587832117754687</v>
      </c>
      <c r="AS66" s="431">
        <f>SUM(AS63:AS65)</f>
        <v>85.397954577434746</v>
      </c>
      <c r="AT66" s="431">
        <f>SUM(AT63:AT65)</f>
        <v>81.3032154631872</v>
      </c>
      <c r="AU66" s="431">
        <f>SUM(AU63:AU65)</f>
        <v>64.439834497499049</v>
      </c>
      <c r="AV66" s="431">
        <f>SUM(AV63:AV65)</f>
        <v>54.327146921748707</v>
      </c>
      <c r="AW66" s="7"/>
    </row>
    <row r="67" spans="1:49" s="21" customFormat="1" ht="15">
      <c r="A67" s="82"/>
      <c r="E67" s="21" t="s">
        <v>979</v>
      </c>
      <c r="G67" s="21" t="s">
        <v>302</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-11.625809781195843</v>
      </c>
      <c r="AS67" s="7">
        <f>-AS66 * AS59</f>
        <v>-15.371631823938253</v>
      </c>
      <c r="AT67" s="7">
        <f>-AT66 * AT59</f>
        <v>-14.634578783373696</v>
      </c>
      <c r="AU67" s="7">
        <f>-AU66 * AU59</f>
        <v>-11.599170209549829</v>
      </c>
      <c r="AV67" s="7">
        <f>-AV66 * AV59</f>
        <v>-9.7788864459147664</v>
      </c>
      <c r="AW67" s="7"/>
    </row>
    <row r="68" spans="1:49" s="21" customFormat="1" ht="15">
      <c r="A68" s="82"/>
      <c r="E68" s="21" t="s">
        <v>980</v>
      </c>
      <c r="G68" s="21" t="s">
        <v>302</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52.962022336558846</v>
      </c>
      <c r="AS68" s="461">
        <f t="shared" si="4"/>
        <v>70.026322753496487</v>
      </c>
      <c r="AT68" s="461">
        <f t="shared" si="4"/>
        <v>66.668636679813503</v>
      </c>
      <c r="AU68" s="461">
        <f t="shared" si="4"/>
        <v>52.840664287949224</v>
      </c>
      <c r="AV68" s="461">
        <f t="shared" si="4"/>
        <v>44.548260475833942</v>
      </c>
      <c r="AW68" s="7"/>
    </row>
    <row r="69" spans="1:49" s="21" customFormat="1" ht="15">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5">
      <c r="A70" s="82"/>
      <c r="C70" s="28" t="s">
        <v>981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5">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5">
      <c r="A72" s="82"/>
      <c r="E72" s="21" t="s">
        <v>973</v>
      </c>
      <c r="G72" s="21" t="s">
        <v>209</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InputSummary!AR265</f>
        <v>0.06</v>
      </c>
      <c r="AS72" s="132">
        <f>InputSummary!AS265</f>
        <v>0.06</v>
      </c>
      <c r="AT72" s="132">
        <f>InputSummary!AT265</f>
        <v>0.06</v>
      </c>
      <c r="AU72" s="132">
        <f>InputSummary!AU265</f>
        <v>0.06</v>
      </c>
      <c r="AV72" s="132">
        <f>InputSummary!AV265</f>
        <v>0.06</v>
      </c>
      <c r="AW72" s="7"/>
    </row>
    <row r="73" spans="1:49" s="21" customFormat="1" ht="15">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5">
      <c r="A74" s="82"/>
      <c r="B74" s="21"/>
      <c r="C74" s="73"/>
      <c r="E74" s="74" t="s">
        <v>974</v>
      </c>
      <c r="G74" s="21" t="s">
        <v>302</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InputSummary!AR272</f>
        <v>266.29227843296019</v>
      </c>
      <c r="AS74" s="79">
        <f>InputSummary!AS272</f>
        <v>0</v>
      </c>
      <c r="AT74" s="79">
        <f>InputSummary!AT272</f>
        <v>0</v>
      </c>
      <c r="AU74" s="79">
        <f>InputSummary!AU272</f>
        <v>0</v>
      </c>
      <c r="AV74" s="79">
        <f>InputSummary!AV272</f>
        <v>0</v>
      </c>
    </row>
    <row r="75" spans="1:49" s="21" customFormat="1" ht="15">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5">
      <c r="A76" s="82"/>
      <c r="E76" s="21" t="s">
        <v>975</v>
      </c>
      <c r="G76" s="21" t="s">
        <v>302</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266.29227843296019</v>
      </c>
      <c r="AS76" s="7">
        <f>AR81 + AS74</f>
        <v>281.16510017984422</v>
      </c>
      <c r="AT76" s="7">
        <f>AS81 + AT74</f>
        <v>293.14240994781613</v>
      </c>
      <c r="AU76" s="7">
        <f>AT81 + AU74</f>
        <v>325.40084957574197</v>
      </c>
      <c r="AV76" s="7">
        <f>AU81 + AV74</f>
        <v>344.89808835561428</v>
      </c>
      <c r="AW76" s="7"/>
    </row>
    <row r="77" spans="1:49" s="21" customFormat="1" ht="15">
      <c r="A77" s="82"/>
      <c r="E77" s="21" t="s">
        <v>976</v>
      </c>
      <c r="G77" s="21" t="s">
        <v>302</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-14.440593318360751</v>
      </c>
      <c r="AT77" s="7">
        <f>SelectedInputs!AT283</f>
        <v>-19.856813126733492</v>
      </c>
      <c r="AU77" s="7">
        <f>SelectedInputs!AU283</f>
        <v>-32.069628689496476</v>
      </c>
      <c r="AV77" s="7">
        <f>SelectedInputs!AV283</f>
        <v>-32.37592118927568</v>
      </c>
      <c r="AW77" s="7"/>
    </row>
    <row r="78" spans="1:49" s="21" customFormat="1" ht="15">
      <c r="A78" s="82"/>
      <c r="E78" s="21" t="s">
        <v>977</v>
      </c>
      <c r="G78" s="21" t="s">
        <v>302</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32.819530269001753</v>
      </c>
      <c r="AS78" s="7">
        <f>AS$47 * AS$15</f>
        <v>45.129120742576291</v>
      </c>
      <c r="AT78" s="7">
        <f>AT$47 * AT$15</f>
        <v>72.8855197488556</v>
      </c>
      <c r="AU78" s="7">
        <f>AU$47 * AU$15</f>
        <v>73.581639066535686</v>
      </c>
      <c r="AV78" s="7">
        <f>AV$47 * AV$15</f>
        <v>79.94910289359818</v>
      </c>
      <c r="AW78" s="7"/>
    </row>
    <row r="79" spans="1:49" s="21" customFormat="1" ht="15">
      <c r="A79" s="82"/>
      <c r="E79" s="21" t="s">
        <v>978</v>
      </c>
      <c r="G79" s="21" t="s">
        <v>302</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299.11180870196193</v>
      </c>
      <c r="AS79" s="431">
        <f>SUM(AS76:AS78)</f>
        <v>311.85362760405974</v>
      </c>
      <c r="AT79" s="431">
        <f>SUM(AT76:AT78)</f>
        <v>346.17111656993825</v>
      </c>
      <c r="AU79" s="431">
        <f>SUM(AU76:AU78)</f>
        <v>366.91285995278116</v>
      </c>
      <c r="AV79" s="431">
        <f>SUM(AV76:AV78)</f>
        <v>392.47127005993678</v>
      </c>
      <c r="AW79" s="7"/>
    </row>
    <row r="80" spans="1:49" s="21" customFormat="1" ht="15">
      <c r="A80" s="82"/>
      <c r="E80" s="21" t="s">
        <v>982</v>
      </c>
      <c r="G80" s="21" t="s">
        <v>302</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-17.946708522117714</v>
      </c>
      <c r="AS80" s="7">
        <f>-AS79 * AS72</f>
        <v>-18.711217656243583</v>
      </c>
      <c r="AT80" s="7">
        <f>-AT79 * AT72</f>
        <v>-20.770266994196295</v>
      </c>
      <c r="AU80" s="7">
        <f>-AU79 * AU72</f>
        <v>-22.01477159716687</v>
      </c>
      <c r="AV80" s="7">
        <f>-AV79 * AV72</f>
        <v>-23.548276203596206</v>
      </c>
      <c r="AW80" s="7"/>
    </row>
    <row r="81" spans="1:49" s="21" customFormat="1" ht="15">
      <c r="A81" s="82"/>
      <c r="E81" s="21" t="s">
        <v>980</v>
      </c>
      <c r="G81" s="21" t="s">
        <v>302</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281.16510017984422</v>
      </c>
      <c r="AS81" s="461">
        <f t="shared" si="5"/>
        <v>293.14240994781613</v>
      </c>
      <c r="AT81" s="461">
        <f t="shared" si="5"/>
        <v>325.40084957574197</v>
      </c>
      <c r="AU81" s="461">
        <f t="shared" si="5"/>
        <v>344.89808835561428</v>
      </c>
      <c r="AV81" s="461">
        <f t="shared" si="5"/>
        <v>368.92299385634055</v>
      </c>
      <c r="AW81" s="7"/>
    </row>
    <row r="82" spans="1:49" s="21" customFormat="1" ht="15">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5">
      <c r="A83" s="82"/>
      <c r="C83" s="28" t="s">
        <v>983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5">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5">
      <c r="A85" s="82"/>
      <c r="E85" s="21" t="s">
        <v>973</v>
      </c>
      <c r="G85" s="21" t="s">
        <v>209</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InputSummary!AR267</f>
        <v>2.2200000000000001E-2</v>
      </c>
      <c r="AS85" s="132">
        <f>InputSummary!AS267</f>
        <v>2.2200000000000001E-2</v>
      </c>
      <c r="AT85" s="132">
        <f>InputSummary!AT267</f>
        <v>2.2200000000000001E-2</v>
      </c>
      <c r="AU85" s="132">
        <f>InputSummary!AU267</f>
        <v>2.2200000000000001E-2</v>
      </c>
      <c r="AV85" s="132">
        <f>InputSummary!AV267</f>
        <v>2.2200000000000001E-2</v>
      </c>
      <c r="AW85" s="7"/>
    </row>
    <row r="86" spans="1:49" s="21" customFormat="1" ht="15">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5">
      <c r="A87" s="82"/>
      <c r="B87" s="21"/>
      <c r="C87" s="73"/>
      <c r="E87" s="74" t="s">
        <v>974</v>
      </c>
      <c r="G87" s="21" t="s">
        <v>302</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InputSummary!AR273</f>
        <v>1369.3486602701878</v>
      </c>
      <c r="AS87" s="79">
        <f>InputSummary!AS273</f>
        <v>0</v>
      </c>
      <c r="AT87" s="79">
        <f>InputSummary!AT273</f>
        <v>0</v>
      </c>
      <c r="AU87" s="79">
        <f>InputSummary!AU273</f>
        <v>0</v>
      </c>
      <c r="AV87" s="79">
        <f>InputSummary!AV273</f>
        <v>0</v>
      </c>
    </row>
    <row r="88" spans="1:49" s="72" customFormat="1" ht="15">
      <c r="A88" s="82"/>
      <c r="B88" s="21"/>
      <c r="C88" s="73"/>
      <c r="E88" s="82" t="s">
        <v>984</v>
      </c>
      <c r="G88" s="21" t="s">
        <v>302</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7">
        <f>InputSummary!AQ274</f>
        <v>1697.8640410247963</v>
      </c>
      <c r="AR88" s="79">
        <f>InputSummary!AR274</f>
        <v>0</v>
      </c>
      <c r="AS88" s="79">
        <f>InputSummary!AS274</f>
        <v>0</v>
      </c>
      <c r="AT88" s="79">
        <f>InputSummary!AT274</f>
        <v>0</v>
      </c>
      <c r="AU88" s="79">
        <f>InputSummary!AU274</f>
        <v>0</v>
      </c>
      <c r="AV88" s="79">
        <f>InputSummary!AV274</f>
        <v>0</v>
      </c>
    </row>
    <row r="89" spans="1:49" s="21" customFormat="1" ht="15">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5">
      <c r="A90" s="82"/>
      <c r="E90" s="21" t="s">
        <v>975</v>
      </c>
      <c r="G90" s="21" t="s">
        <v>302</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1369.3486602701878</v>
      </c>
      <c r="AS90" s="7">
        <f>AR94 + AS87</f>
        <v>1427.3367229335688</v>
      </c>
      <c r="AT90" s="7">
        <f>AS94 + AT87</f>
        <v>1529.0829409797959</v>
      </c>
      <c r="AU90" s="7">
        <f>AT94 + AU87</f>
        <v>1626.1908945436739</v>
      </c>
      <c r="AV90" s="7">
        <f>AU94 + AV87</f>
        <v>1756.6207026601787</v>
      </c>
      <c r="AW90" s="7"/>
    </row>
    <row r="91" spans="1:49" s="21" customFormat="1" ht="15">
      <c r="A91" s="82"/>
      <c r="E91" s="21" t="s">
        <v>977</v>
      </c>
      <c r="G91" s="21" t="s">
        <v>302</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97.852980542167614</v>
      </c>
      <c r="AS91" s="7">
        <f>AS$48 * AS$15</f>
        <v>144.82627932605217</v>
      </c>
      <c r="AT91" s="7">
        <f>AT$48 * AT$15</f>
        <v>143.37084766179481</v>
      </c>
      <c r="AU91" s="7">
        <f>AU$48 * AU$15</f>
        <v>180.70433852978263</v>
      </c>
      <c r="AV91" s="7">
        <f>AV$48 * AV$15</f>
        <v>173.57642568775191</v>
      </c>
      <c r="AW91" s="7"/>
    </row>
    <row r="92" spans="1:49" s="21" customFormat="1" ht="15">
      <c r="A92" s="82"/>
      <c r="E92" s="21" t="s">
        <v>978</v>
      </c>
      <c r="G92" s="21" t="s">
        <v>302</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1467.2016408123554</v>
      </c>
      <c r="AS92" s="431">
        <f>SUM(AS90:AS91)</f>
        <v>1572.163002259621</v>
      </c>
      <c r="AT92" s="431">
        <f>SUM(AT90:AT91)</f>
        <v>1672.4537886415908</v>
      </c>
      <c r="AU92" s="431">
        <f>SUM(AU90:AU91)</f>
        <v>1806.8952330734567</v>
      </c>
      <c r="AV92" s="431">
        <f>SUM(AV90:AV91)</f>
        <v>1930.1971283479306</v>
      </c>
      <c r="AW92" s="7"/>
    </row>
    <row r="93" spans="1:49" s="21" customFormat="1" ht="15">
      <c r="A93" s="82"/>
      <c r="E93" s="21" t="s">
        <v>985</v>
      </c>
      <c r="G93" s="21" t="s">
        <v>302</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-39.864917878786599</v>
      </c>
      <c r="AS93" s="7">
        <f>-(SUM($AJ91:AS91,$AJ88:AS88))*AS85</f>
        <v>-43.08006127982496</v>
      </c>
      <c r="AT93" s="7">
        <f>-(SUM($AJ91:AT91,$AJ88:AT88))*AT85</f>
        <v>-46.262894097916799</v>
      </c>
      <c r="AU93" s="7">
        <f>-(SUM($AJ91:AU91,$AJ88:AU88))*AU85</f>
        <v>-50.274530413277979</v>
      </c>
      <c r="AV93" s="7">
        <f>-(SUM($AJ91:AV91,$AJ88:AV88))*AV85</f>
        <v>-54.127927063546075</v>
      </c>
      <c r="AW93" s="7"/>
    </row>
    <row r="94" spans="1:49" s="21" customFormat="1" ht="15">
      <c r="A94" s="82"/>
      <c r="E94" s="21" t="s">
        <v>980</v>
      </c>
      <c r="G94" s="21" t="s">
        <v>302</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1427.3367229335688</v>
      </c>
      <c r="AS94" s="461">
        <f t="shared" si="6"/>
        <v>1529.0829409797959</v>
      </c>
      <c r="AT94" s="461">
        <f t="shared" si="6"/>
        <v>1626.1908945436739</v>
      </c>
      <c r="AU94" s="461">
        <f t="shared" si="6"/>
        <v>1756.6207026601787</v>
      </c>
      <c r="AV94" s="461">
        <f t="shared" si="6"/>
        <v>1876.0692012843845</v>
      </c>
      <c r="AW94" s="7"/>
    </row>
    <row r="95" spans="1:49" s="21" customFormat="1" ht="15">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5">
      <c r="A96" s="82"/>
      <c r="C96" s="28" t="s">
        <v>986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5">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5">
      <c r="A98" s="82"/>
      <c r="E98" s="21" t="s">
        <v>973</v>
      </c>
      <c r="G98" s="21" t="s">
        <v>209</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InputSummary!AR266</f>
        <v>0.03</v>
      </c>
      <c r="AS98" s="132">
        <f>InputSummary!AS266</f>
        <v>0.03</v>
      </c>
      <c r="AT98" s="132">
        <f>InputSummary!AT266</f>
        <v>0.03</v>
      </c>
      <c r="AU98" s="132">
        <f>InputSummary!AU266</f>
        <v>0.03</v>
      </c>
      <c r="AV98" s="132">
        <f>InputSummary!AV266</f>
        <v>0.03</v>
      </c>
      <c r="AW98" s="7"/>
    </row>
    <row r="99" spans="1:49" s="21" customFormat="1" ht="15">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5">
      <c r="A100" s="82"/>
      <c r="E100" s="21" t="s">
        <v>975</v>
      </c>
      <c r="G100" s="21" t="s">
        <v>302</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2.5008262218925319</v>
      </c>
      <c r="AT100" s="7">
        <f>InputSummary!AT275 + AS104</f>
        <v>7.8628441129354814</v>
      </c>
      <c r="AU100" s="7">
        <f>InputSummary!AU275 + AT104</f>
        <v>13.960415240522412</v>
      </c>
      <c r="AV100" s="7">
        <f>InputSummary!AV275 + AU104</f>
        <v>18.925466793243128</v>
      </c>
      <c r="AW100" s="7"/>
    </row>
    <row r="101" spans="1:49" s="21" customFormat="1" ht="15">
      <c r="A101" s="82"/>
      <c r="E101" s="21" t="s">
        <v>977</v>
      </c>
      <c r="G101" s="21" t="s">
        <v>302</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2.5008262218925319</v>
      </c>
      <c r="AS101" s="7">
        <f>AS$49 * AS$15</f>
        <v>5.4370426776997256</v>
      </c>
      <c r="AT101" s="7">
        <f>AT$49 * AT$15</f>
        <v>6.3357071945746988</v>
      </c>
      <c r="AU101" s="7">
        <f>AU$49 * AU$15</f>
        <v>5.3932588355457263</v>
      </c>
      <c r="AV101" s="7">
        <f>AV$49 * AV$15</f>
        <v>3.5609136491369875</v>
      </c>
      <c r="AW101" s="7"/>
    </row>
    <row r="102" spans="1:49" s="21" customFormat="1" ht="15">
      <c r="A102" s="82"/>
      <c r="E102" s="21" t="s">
        <v>978</v>
      </c>
      <c r="G102" s="21" t="s">
        <v>302</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2.5008262218925319</v>
      </c>
      <c r="AS102" s="431">
        <f>SUM(AS100:AS101)</f>
        <v>7.9378688995922575</v>
      </c>
      <c r="AT102" s="431">
        <f>SUM(AT100:AT101)</f>
        <v>14.198551307510179</v>
      </c>
      <c r="AU102" s="431">
        <f>SUM(AU100:AU101)</f>
        <v>19.353674076068138</v>
      </c>
      <c r="AV102" s="431">
        <f>SUM(AV100:AV101)</f>
        <v>22.486380442380117</v>
      </c>
      <c r="AW102" s="7"/>
    </row>
    <row r="103" spans="1:49" s="21" customFormat="1" ht="15">
      <c r="A103" s="82"/>
      <c r="E103" s="21" t="s">
        <v>987</v>
      </c>
      <c r="G103" s="21" t="s">
        <v>302</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-7.5024786656775949E-2</v>
      </c>
      <c r="AT103" s="7">
        <f>-(SUM($AI101:AS101))*AT98</f>
        <v>-0.23813606698776771</v>
      </c>
      <c r="AU103" s="7">
        <f>-(SUM($AI101:AT101))*AU98</f>
        <v>-0.42820728282500864</v>
      </c>
      <c r="AV103" s="7">
        <f>-(SUM($AI101:AU101))*AV98</f>
        <v>-0.59000504789138042</v>
      </c>
      <c r="AW103" s="7"/>
    </row>
    <row r="104" spans="1:49" s="21" customFormat="1" ht="15">
      <c r="A104" s="82"/>
      <c r="E104" s="21" t="s">
        <v>980</v>
      </c>
      <c r="G104" s="21" t="s">
        <v>302</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2.5008262218925319</v>
      </c>
      <c r="AS104" s="461">
        <f t="shared" si="7"/>
        <v>7.8628441129354814</v>
      </c>
      <c r="AT104" s="461">
        <f t="shared" si="7"/>
        <v>13.960415240522412</v>
      </c>
      <c r="AU104" s="461">
        <f t="shared" si="7"/>
        <v>18.925466793243128</v>
      </c>
      <c r="AV104" s="461">
        <f t="shared" si="7"/>
        <v>21.896375394488736</v>
      </c>
      <c r="AW104" s="7"/>
    </row>
    <row r="105" spans="1:49" s="21" customFormat="1" ht="15">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5">
      <c r="A106" s="82"/>
      <c r="C106" s="28" t="s">
        <v>988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5">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5">
      <c r="A108" s="82"/>
      <c r="E108" s="21" t="s">
        <v>972</v>
      </c>
      <c r="G108" s="21" t="s">
        <v>302</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11.625809781195843</v>
      </c>
      <c r="AS108" s="7">
        <f>- AS67</f>
        <v>15.371631823938253</v>
      </c>
      <c r="AT108" s="7">
        <f>- AT67</f>
        <v>14.634578783373696</v>
      </c>
      <c r="AU108" s="7">
        <f>- AU67</f>
        <v>11.599170209549829</v>
      </c>
      <c r="AV108" s="7">
        <f>- AV67</f>
        <v>9.7788864459147664</v>
      </c>
      <c r="AW108" s="7"/>
    </row>
    <row r="109" spans="1:49" s="21" customFormat="1" ht="15">
      <c r="A109" s="82"/>
      <c r="E109" s="21" t="s">
        <v>981</v>
      </c>
      <c r="G109" s="21" t="s">
        <v>302</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17.946708522117714</v>
      </c>
      <c r="AS109" s="7">
        <f>-AS80</f>
        <v>18.711217656243583</v>
      </c>
      <c r="AT109" s="7">
        <f>-AT80</f>
        <v>20.770266994196295</v>
      </c>
      <c r="AU109" s="7">
        <f>-AU80</f>
        <v>22.01477159716687</v>
      </c>
      <c r="AV109" s="7">
        <f>-AV80</f>
        <v>23.548276203596206</v>
      </c>
      <c r="AW109" s="7"/>
    </row>
    <row r="110" spans="1:49" s="21" customFormat="1" ht="15">
      <c r="A110" s="82"/>
      <c r="E110" s="21" t="s">
        <v>989</v>
      </c>
      <c r="G110" s="21" t="s">
        <v>302</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39.864917878786599</v>
      </c>
      <c r="AS110" s="7">
        <f>-AS93</f>
        <v>43.08006127982496</v>
      </c>
      <c r="AT110" s="7">
        <f>-AT93</f>
        <v>46.262894097916799</v>
      </c>
      <c r="AU110" s="7">
        <f>-AU93</f>
        <v>50.274530413277979</v>
      </c>
      <c r="AV110" s="7">
        <f>-AV93</f>
        <v>54.127927063546075</v>
      </c>
      <c r="AW110" s="7"/>
    </row>
    <row r="111" spans="1:49" s="21" customFormat="1" ht="15">
      <c r="A111" s="82"/>
      <c r="E111" s="21" t="s">
        <v>986</v>
      </c>
      <c r="G111" s="21" t="s">
        <v>302</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7.5024786656775949E-2</v>
      </c>
      <c r="AT111" s="7">
        <f t="shared" si="8"/>
        <v>0.23813606698776771</v>
      </c>
      <c r="AU111" s="7">
        <f t="shared" si="8"/>
        <v>0.42820728282500864</v>
      </c>
      <c r="AV111" s="7">
        <f t="shared" si="8"/>
        <v>0.59000504789138042</v>
      </c>
      <c r="AW111" s="7"/>
    </row>
    <row r="112" spans="1:49" s="21" customFormat="1" ht="15">
      <c r="E112" s="21" t="s">
        <v>969</v>
      </c>
      <c r="G112" s="21" t="s">
        <v>302</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69.437436182100157</v>
      </c>
      <c r="AS112" s="526">
        <f t="shared" si="9"/>
        <v>77.237935546663564</v>
      </c>
      <c r="AT112" s="526">
        <f t="shared" si="9"/>
        <v>81.905875942474552</v>
      </c>
      <c r="AU112" s="526">
        <f t="shared" si="9"/>
        <v>84.316679502819682</v>
      </c>
      <c r="AV112" s="526">
        <f t="shared" si="9"/>
        <v>88.04509476094843</v>
      </c>
      <c r="AW112" s="7"/>
    </row>
    <row r="113" spans="1:49" s="21" customFormat="1" ht="15">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5">
      <c r="B114" s="37" t="s">
        <v>79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5">
      <c r="A115" s="2"/>
      <c r="B115" s="2"/>
      <c r="C115" s="2"/>
      <c r="D115" s="2"/>
      <c r="E115" s="2"/>
      <c r="F115" s="2"/>
      <c r="G115" s="2"/>
      <c r="H115" s="2"/>
      <c r="I115" s="2"/>
    </row>
    <row r="116" spans="1:49" s="82" customFormat="1" ht="15">
      <c r="A116" s="2"/>
      <c r="B116" s="2"/>
      <c r="C116" s="2"/>
      <c r="D116" s="2"/>
      <c r="E116" s="2"/>
      <c r="F116" s="2"/>
      <c r="G116" s="2"/>
      <c r="H116" s="2"/>
      <c r="I116" s="2"/>
    </row>
  </sheetData>
  <conditionalFormatting sqref="AJ11">
    <cfRule type="cellIs" dxfId="75" priority="1" operator="equal">
      <formula>FALSE()</formula>
    </cfRule>
  </conditionalFormatting>
  <conditionalFormatting sqref="AM2">
    <cfRule type="expression" dxfId="74" priority="2">
      <formula>mac_sensitivity=2</formula>
    </cfRule>
    <cfRule type="expression" dxfId="73" priority="3">
      <formula>mac_sensitivity=1</formula>
    </cfRule>
  </conditionalFormatting>
  <conditionalFormatting sqref="AM3">
    <cfRule type="expression" dxfId="72"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O300"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5.875" customWidth="1"/>
    <col min="50" max="113" width="0" hidden="1" customWidth="1"/>
    <col min="114" max="16384" width="9" hidden="1"/>
  </cols>
  <sheetData>
    <row r="1" spans="1:49" ht="19.5">
      <c r="A1" s="195" t="s">
        <v>990</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37" t="s">
        <v>991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5">
      <c r="A7" s="2"/>
      <c r="B7" s="87" t="s">
        <v>992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5">
      <c r="A8" s="2"/>
      <c r="B8" s="4" t="s">
        <v>993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0" t="s">
        <v>541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5">
      <c r="A12" s="2"/>
      <c r="B12" s="34"/>
      <c r="C12" s="34"/>
      <c r="D12" s="34"/>
      <c r="E12" s="34" t="s">
        <v>544</v>
      </c>
      <c r="F12" s="34"/>
      <c r="G12" s="2" t="s">
        <v>547</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5">
      <c r="A13" s="2"/>
      <c r="B13" s="34"/>
      <c r="C13" s="34"/>
      <c r="D13" s="34"/>
      <c r="E13" s="34" t="s">
        <v>551</v>
      </c>
      <c r="F13" s="34"/>
      <c r="G13" s="2" t="s">
        <v>547</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5">
      <c r="A15" s="21"/>
      <c r="B15" s="21"/>
      <c r="C15" s="28" t="s">
        <v>947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5">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5">
      <c r="A17" s="82"/>
      <c r="B17" s="82"/>
      <c r="C17" s="82"/>
      <c r="D17" s="82"/>
      <c r="E17" s="2" t="s">
        <v>948</v>
      </c>
      <c r="F17" s="82"/>
      <c r="G17" s="2" t="s">
        <v>100</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5">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5">
      <c r="A19" s="7"/>
      <c r="B19" s="7"/>
      <c r="C19" s="28" t="s">
        <v>994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5">
      <c r="A20" s="7"/>
      <c r="B20" s="7"/>
      <c r="C20" s="4" t="s">
        <v>995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5">
      <c r="A21" s="7"/>
      <c r="B21" s="7"/>
      <c r="C21" s="4" t="s">
        <v>996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5">
      <c r="A22" s="7"/>
      <c r="B22" s="7"/>
      <c r="C22" s="4" t="s">
        <v>997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5">
      <c r="A23" s="7"/>
      <c r="B23" s="7"/>
      <c r="C23" s="4" t="s">
        <v>998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5">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5">
      <c r="A25" s="7"/>
      <c r="B25" s="7"/>
      <c r="C25" s="7"/>
      <c r="D25" s="7"/>
      <c r="E25" s="7" t="s">
        <v>999</v>
      </c>
      <c r="F25" s="7"/>
      <c r="G25" s="7" t="s">
        <v>302</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-1087.5076836686717</v>
      </c>
      <c r="AT25" s="7">
        <f t="shared" si="0"/>
        <v>-1176.4621024339615</v>
      </c>
      <c r="AU25" s="7">
        <f t="shared" si="0"/>
        <v>-1287.1309488734744</v>
      </c>
      <c r="AV25" s="7">
        <f t="shared" ref="AV25" si="1">AU41</f>
        <v>-1412.632323619986</v>
      </c>
      <c r="AW25" s="7"/>
    </row>
    <row r="26" spans="1:49" ht="15">
      <c r="A26" s="7"/>
      <c r="B26" s="7"/>
      <c r="C26" s="7"/>
      <c r="D26" s="7"/>
      <c r="E26" s="7" t="s">
        <v>1000</v>
      </c>
      <c r="F26" s="7"/>
      <c r="G26" s="7" t="s">
        <v>302</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-1064.8753075967154</v>
      </c>
      <c r="AS26" s="431">
        <f>-AS55 * AS63 * AS12</f>
        <v>0</v>
      </c>
      <c r="AT26" s="431">
        <f>-AT55 * AT63 * AT12</f>
        <v>0</v>
      </c>
      <c r="AU26" s="431">
        <f>-AU55 * AU63 * AU12</f>
        <v>0</v>
      </c>
      <c r="AV26" s="431">
        <f>-AV55 * AV63 * AV12</f>
        <v>0</v>
      </c>
      <c r="AW26" s="7"/>
    </row>
    <row r="27" spans="1:49" ht="15">
      <c r="A27" s="7"/>
      <c r="B27" s="7"/>
      <c r="C27" s="7"/>
      <c r="D27" s="7"/>
      <c r="E27" s="7" t="s">
        <v>1001</v>
      </c>
      <c r="F27" s="7"/>
      <c r="G27" s="7" t="s">
        <v>302</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5">
      <c r="A28" s="7"/>
      <c r="B28" s="7"/>
      <c r="C28" s="7"/>
      <c r="D28" s="7"/>
      <c r="E28" s="7" t="s">
        <v>1002</v>
      </c>
      <c r="F28" s="7"/>
      <c r="G28" s="7" t="s">
        <v>302</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-1064.8753075967154</v>
      </c>
      <c r="AS28" s="7">
        <f>AS26 * AS12 + AS25 * (1 - AS12) + AS27</f>
        <v>-1087.5076836686717</v>
      </c>
      <c r="AT28" s="7">
        <f>AT26 * AT12 + AT25 * (1 - AT12) + AT27</f>
        <v>-1176.4621024339615</v>
      </c>
      <c r="AU28" s="7">
        <f>AU26 * AU12 + AU25 * (1 - AU12) + AU27</f>
        <v>-1287.1309488734744</v>
      </c>
      <c r="AV28" s="7">
        <f>AV26 * AV12 + AV25 * (1 - AV12) + AV27</f>
        <v>-1412.632323619986</v>
      </c>
      <c r="AW28" s="7"/>
    </row>
    <row r="29" spans="1:49" ht="15">
      <c r="A29" s="7"/>
      <c r="B29" s="7"/>
      <c r="C29" s="7"/>
      <c r="D29" s="7"/>
      <c r="E29" s="7" t="s">
        <v>1003</v>
      </c>
      <c r="F29" s="7"/>
      <c r="G29" s="7" t="s">
        <v>302</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343.67471409922598</v>
      </c>
      <c r="AS29" s="8">
        <f>Revenue!AS19* AS$17</f>
        <v>304.93161636532585</v>
      </c>
      <c r="AT29" s="8">
        <f>Revenue!AT19* AT$17</f>
        <v>361.60213406733766</v>
      </c>
      <c r="AU29" s="8">
        <f>Revenue!AU19* AU$17</f>
        <v>384.14927588037807</v>
      </c>
      <c r="AV29" s="8">
        <f>Revenue!AV19* AV$17</f>
        <v>395.50000076095358</v>
      </c>
      <c r="AW29" s="7"/>
    </row>
    <row r="30" spans="1:49" ht="15">
      <c r="A30" s="7"/>
      <c r="B30" s="7"/>
      <c r="C30" s="7"/>
      <c r="D30" s="7"/>
      <c r="E30" s="7" t="s">
        <v>532</v>
      </c>
      <c r="F30" s="7"/>
      <c r="G30" s="7" t="s">
        <v>302</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-3.5678918925274385</v>
      </c>
      <c r="AS30" s="8">
        <f>InputSummary!AS150 * AS$17</f>
        <v>1.1366104760960685</v>
      </c>
      <c r="AT30" s="8">
        <f>InputSummary!AT150 * AT$17</f>
        <v>1.0311898664407719</v>
      </c>
      <c r="AU30" s="8">
        <f>InputSummary!AU150 * AU$17</f>
        <v>0.67222963387822821</v>
      </c>
      <c r="AV30" s="8">
        <f>InputSummary!AV150 * AV$17</f>
        <v>0.6086777503468086</v>
      </c>
      <c r="AW30" s="7"/>
    </row>
    <row r="31" spans="1:49" ht="15">
      <c r="A31" s="2"/>
      <c r="B31" s="2"/>
      <c r="C31" s="2"/>
      <c r="D31" s="2"/>
      <c r="E31" s="21" t="s">
        <v>534</v>
      </c>
      <c r="F31" s="2"/>
      <c r="G31" s="21" t="s">
        <v>302</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-210.80327505887149</v>
      </c>
      <c r="AS31" s="8">
        <f>-Totex!AS82 * AS$17</f>
        <v>-308.71701494270428</v>
      </c>
      <c r="AT31" s="8">
        <f>-Totex!AT82 * AT$17</f>
        <v>-339.55590986047116</v>
      </c>
      <c r="AU31" s="8">
        <f>-Totex!AU82 * AU$17</f>
        <v>-361.42549679635664</v>
      </c>
      <c r="AV31" s="8">
        <f>-Totex!AV82 * AV$17</f>
        <v>-352.40413855429756</v>
      </c>
      <c r="AW31" s="7"/>
    </row>
    <row r="32" spans="1:49" ht="15">
      <c r="A32" s="2"/>
      <c r="B32" s="2"/>
      <c r="C32" s="2"/>
      <c r="D32" s="2"/>
      <c r="E32" s="21" t="s">
        <v>1004</v>
      </c>
      <c r="F32" s="2"/>
      <c r="G32" s="21" t="s">
        <v>302</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-61.379443956044092</v>
      </c>
      <c r="AS32" s="8">
        <f>-InputSummary!AS97 * AS$17</f>
        <v>-7.4019404618746065E-2</v>
      </c>
      <c r="AT32" s="8">
        <f>-InputSummary!AT97 * AT$17</f>
        <v>-42.301491288064987</v>
      </c>
      <c r="AU32" s="8">
        <f>-InputSummary!AU97 * AU$17</f>
        <v>-50.509831628098645</v>
      </c>
      <c r="AV32" s="8">
        <f>-InputSummary!AV97 * AV$17</f>
        <v>-53.343115833125097</v>
      </c>
      <c r="AW32" s="7"/>
    </row>
    <row r="33" spans="1:49" ht="15">
      <c r="A33" s="2"/>
      <c r="B33" s="2"/>
      <c r="C33" s="2"/>
      <c r="D33" s="2"/>
      <c r="E33" s="21" t="s">
        <v>1005</v>
      </c>
      <c r="F33" s="2"/>
      <c r="G33" s="7" t="s">
        <v>302</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-1.5016471865676599</v>
      </c>
      <c r="AS33" s="8">
        <f>InputSummary!AS124 * AS$17</f>
        <v>-1.3023308921224055</v>
      </c>
      <c r="AT33" s="8">
        <f>InputSummary!AT124 * AT$17</f>
        <v>-1.0958928710132534</v>
      </c>
      <c r="AU33" s="8">
        <f>InputSummary!AU124 * AU$17</f>
        <v>-0.79465436602502759</v>
      </c>
      <c r="AV33" s="8">
        <f>InputSummary!AV124 * AV$17</f>
        <v>-0.65224908254785108</v>
      </c>
      <c r="AW33" s="7"/>
    </row>
    <row r="34" spans="1:49" ht="15">
      <c r="A34" s="2"/>
      <c r="B34" s="2"/>
      <c r="C34" s="2"/>
      <c r="D34" s="2"/>
      <c r="E34" s="7" t="s">
        <v>1006</v>
      </c>
      <c r="F34" s="2"/>
      <c r="G34" s="21" t="s">
        <v>302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-23.297090311675152</v>
      </c>
      <c r="AS34" s="2">
        <f t="shared" si="3"/>
        <v>-25.056921668355166</v>
      </c>
      <c r="AT34" s="2">
        <f t="shared" si="3"/>
        <v>-26.831891114118569</v>
      </c>
      <c r="AU34" s="2">
        <f t="shared" si="3"/>
        <v>-28.765709144806657</v>
      </c>
      <c r="AV34" s="2">
        <f t="shared" ref="AV34" si="4">-AV194</f>
        <v>-30.693896048234105</v>
      </c>
      <c r="AW34" s="7"/>
    </row>
    <row r="35" spans="1:49" ht="15">
      <c r="A35" s="7"/>
      <c r="B35" s="7"/>
      <c r="C35" s="7"/>
      <c r="D35" s="7"/>
      <c r="E35" s="56" t="s">
        <v>1007</v>
      </c>
      <c r="F35" s="7"/>
      <c r="G35" s="7" t="s">
        <v>302</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-4.4369804483196518</v>
      </c>
      <c r="AS35" s="7">
        <f t="shared" si="5"/>
        <v>0</v>
      </c>
      <c r="AT35" s="7">
        <f t="shared" si="5"/>
        <v>0</v>
      </c>
      <c r="AU35" s="7">
        <f t="shared" si="5"/>
        <v>0</v>
      </c>
      <c r="AV35" s="7">
        <f t="shared" ref="AV35" si="6">-AV184</f>
        <v>0</v>
      </c>
      <c r="AW35" s="7"/>
    </row>
    <row r="36" spans="1:49" ht="15">
      <c r="A36" s="2"/>
      <c r="B36" s="2"/>
      <c r="C36" s="2"/>
      <c r="D36" s="2"/>
      <c r="E36" s="21" t="s">
        <v>1008</v>
      </c>
      <c r="F36" s="2"/>
      <c r="G36" s="7" t="s">
        <v>302</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-1026.1869223514948</v>
      </c>
      <c r="AS36" s="432">
        <f>SUM(AS28:AS35)</f>
        <v>-1116.5897437350502</v>
      </c>
      <c r="AT36" s="432">
        <f>SUM(AT28:AT35)</f>
        <v>-1223.6139636338512</v>
      </c>
      <c r="AU36" s="432">
        <f>SUM(AU28:AU35)</f>
        <v>-1343.8051352945049</v>
      </c>
      <c r="AV36" s="432">
        <f>SUM(AV28:AV35)</f>
        <v>-1453.61704462689</v>
      </c>
      <c r="AW36" s="7"/>
    </row>
    <row r="37" spans="1:49" ht="15">
      <c r="A37" s="2"/>
      <c r="B37" s="2"/>
      <c r="C37" s="2"/>
      <c r="D37" s="2"/>
      <c r="E37" s="7" t="s">
        <v>1009</v>
      </c>
      <c r="F37" s="2"/>
      <c r="G37" s="7" t="s">
        <v>302</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-49.030061257239225</v>
      </c>
      <c r="AS37" s="2">
        <f t="shared" ref="AS37:AU37" si="7">AS169</f>
        <v>-52.265818122352904</v>
      </c>
      <c r="AT37" s="2">
        <f t="shared" si="7"/>
        <v>-57.09458605027006</v>
      </c>
      <c r="AU37" s="2">
        <f t="shared" si="7"/>
        <v>-62.557993292788581</v>
      </c>
      <c r="AV37" s="2">
        <f t="shared" ref="AV37" si="8">AV169</f>
        <v>-68.140005223539305</v>
      </c>
      <c r="AW37" s="7"/>
    </row>
    <row r="38" spans="1:49" ht="15">
      <c r="A38" s="2"/>
      <c r="B38" s="2"/>
      <c r="C38" s="2"/>
      <c r="D38" s="2"/>
      <c r="E38" s="7" t="s">
        <v>1010</v>
      </c>
      <c r="F38" s="2"/>
      <c r="G38" s="7" t="s">
        <v>302</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-14.498645160240297</v>
      </c>
      <c r="AS38" s="2">
        <f t="shared" si="9"/>
        <v>-8.7103794672132882</v>
      </c>
      <c r="AT38" s="2">
        <f t="shared" si="9"/>
        <v>-7.4791254599726287</v>
      </c>
      <c r="AU38" s="2">
        <f t="shared" si="9"/>
        <v>-7.3069172699778768</v>
      </c>
      <c r="AV38" s="2">
        <f t="shared" ref="AV38" si="10">AV170</f>
        <v>-7.54568579300929</v>
      </c>
      <c r="AW38" s="7"/>
    </row>
    <row r="39" spans="1:49" ht="15">
      <c r="A39" s="94"/>
      <c r="B39" s="94"/>
      <c r="C39" s="94"/>
      <c r="D39" s="94"/>
      <c r="E39" s="7" t="s">
        <v>1011</v>
      </c>
      <c r="F39" s="7"/>
      <c r="G39" s="7" t="s">
        <v>302</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22.565044114355249</v>
      </c>
      <c r="AS39" s="7">
        <f t="shared" si="11"/>
        <v>17.382284532819895</v>
      </c>
      <c r="AT39" s="7">
        <f t="shared" si="11"/>
        <v>14.174126858627753</v>
      </c>
      <c r="AU39" s="7">
        <f t="shared" si="11"/>
        <v>20.491561079021885</v>
      </c>
      <c r="AV39" s="7">
        <f t="shared" ref="AV39" si="12">AV239</f>
        <v>20.798281467223859</v>
      </c>
      <c r="AW39" s="7"/>
    </row>
    <row r="40" spans="1:49" ht="15">
      <c r="A40" s="2"/>
      <c r="B40" s="2"/>
      <c r="C40" s="2"/>
      <c r="D40" s="2"/>
      <c r="E40" s="7" t="s">
        <v>1012</v>
      </c>
      <c r="F40" s="2"/>
      <c r="G40" s="21" t="s">
        <v>302</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-20.357099014052693</v>
      </c>
      <c r="AS40" s="2">
        <f t="shared" si="13"/>
        <v>-16.278445642165295</v>
      </c>
      <c r="AT40" s="2">
        <f t="shared" si="13"/>
        <v>-13.117400588008202</v>
      </c>
      <c r="AU40" s="2">
        <f t="shared" si="13"/>
        <v>-19.453838841736562</v>
      </c>
      <c r="AV40" s="2">
        <f t="shared" ref="AV40" si="14">-AV274</f>
        <v>-19.872314828112131</v>
      </c>
      <c r="AW40" s="7"/>
    </row>
    <row r="41" spans="1:49" ht="15">
      <c r="A41" s="7"/>
      <c r="B41" s="7"/>
      <c r="C41" s="7"/>
      <c r="D41" s="7"/>
      <c r="E41" s="56" t="s">
        <v>1013</v>
      </c>
      <c r="F41" s="7"/>
      <c r="G41" s="7" t="s">
        <v>302</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-1087.5076836686717</v>
      </c>
      <c r="AS41" s="431">
        <f t="shared" ref="AS41:AU41" si="15">SUM(AS36:AS40)</f>
        <v>-1176.4621024339615</v>
      </c>
      <c r="AT41" s="431">
        <f t="shared" si="15"/>
        <v>-1287.1309488734744</v>
      </c>
      <c r="AU41" s="431">
        <f t="shared" si="15"/>
        <v>-1412.632323619986</v>
      </c>
      <c r="AV41" s="431">
        <f t="shared" ref="AV41" si="16">SUM(AV36:AV40)</f>
        <v>-1528.3767690043269</v>
      </c>
      <c r="AW41" s="7"/>
    </row>
    <row r="42" spans="1:49" ht="15">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5">
      <c r="A43" s="7"/>
      <c r="B43" s="7"/>
      <c r="C43" s="28" t="s">
        <v>1014</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5">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5">
      <c r="A45" s="7"/>
      <c r="B45" s="7"/>
      <c r="C45" s="7"/>
      <c r="D45" s="7"/>
      <c r="E45" s="7" t="s">
        <v>1015</v>
      </c>
      <c r="F45" s="7"/>
      <c r="G45" s="7" t="s">
        <v>302</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-1064.8753075967154</v>
      </c>
      <c r="AS45" s="7">
        <f>AS12 * AS26 + AS13 * AS25</f>
        <v>-1087.5076836686717</v>
      </c>
      <c r="AT45" s="7">
        <f>AT12 * AT26 + AT13 * AT25</f>
        <v>-1176.4621024339615</v>
      </c>
      <c r="AU45" s="7">
        <f>AU12 * AU26 + AU13 * AU25</f>
        <v>-1287.1309488734744</v>
      </c>
      <c r="AV45" s="7">
        <f>AV12 * AV26 + AV13 * AV25</f>
        <v>-1412.632323619986</v>
      </c>
      <c r="AW45" s="7"/>
    </row>
    <row r="46" spans="1:49" ht="15">
      <c r="A46" s="7"/>
      <c r="B46" s="7"/>
      <c r="C46" s="7"/>
      <c r="D46" s="7"/>
      <c r="E46" s="7" t="s">
        <v>1016</v>
      </c>
      <c r="F46" s="7"/>
      <c r="G46" s="7" t="s">
        <v>302</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-1064.8753075967154</v>
      </c>
      <c r="AS46" s="7">
        <f>AS28</f>
        <v>-1087.5076836686717</v>
      </c>
      <c r="AT46" s="7">
        <f>AT28</f>
        <v>-1176.4621024339615</v>
      </c>
      <c r="AU46" s="7">
        <f>AU28</f>
        <v>-1287.1309488734744</v>
      </c>
      <c r="AV46" s="7">
        <f>AV28</f>
        <v>-1412.632323619986</v>
      </c>
      <c r="AW46" s="7"/>
    </row>
    <row r="47" spans="1:49" ht="15">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5">
      <c r="A48" s="7"/>
      <c r="B48" s="37" t="s">
        <v>1017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5">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5">
      <c r="A50" s="7"/>
      <c r="B50" s="7"/>
      <c r="C50" s="28" t="s">
        <v>1018</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5">
      <c r="A51" s="7"/>
      <c r="B51" s="7"/>
      <c r="C51" s="4" t="s">
        <v>1019</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5">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5">
      <c r="A53" s="7"/>
      <c r="B53" s="7"/>
      <c r="C53" s="7"/>
      <c r="D53" s="7"/>
      <c r="E53" s="7" t="s">
        <v>1015</v>
      </c>
      <c r="F53" s="7"/>
      <c r="G53" s="7" t="s">
        <v>302</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-1064.8753075967154</v>
      </c>
      <c r="AS53" s="7">
        <f>AS45</f>
        <v>-1087.5076836686717</v>
      </c>
      <c r="AT53" s="7">
        <f t="shared" ref="AT53:AV53" si="17">AT45</f>
        <v>-1176.4621024339615</v>
      </c>
      <c r="AU53" s="7">
        <f>AU45</f>
        <v>-1287.1309488734744</v>
      </c>
      <c r="AV53" s="7">
        <f t="shared" si="17"/>
        <v>-1412.632323619986</v>
      </c>
      <c r="AW53" s="7"/>
    </row>
    <row r="54" spans="1:49" ht="15">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5">
      <c r="A55" s="7"/>
      <c r="B55" s="7"/>
      <c r="C55" s="7"/>
      <c r="D55" s="7"/>
      <c r="E55" s="56" t="s">
        <v>1020</v>
      </c>
      <c r="F55" s="7"/>
      <c r="G55" s="7" t="s">
        <v>302</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1774.792179327859</v>
      </c>
      <c r="AS55" s="7">
        <f>'Return&amp;RAV'!AS20 * AR$17</f>
        <v>1941.424192639596</v>
      </c>
      <c r="AT55" s="7">
        <f>'Return&amp;RAV'!AT20 * AS$17</f>
        <v>2088.0768056962638</v>
      </c>
      <c r="AU55" s="7">
        <f>'Return&amp;RAV'!AU20 * AT$17</f>
        <v>2235.9909261765474</v>
      </c>
      <c r="AV55" s="7">
        <f>'Return&amp;RAV'!AV20 * AU$17</f>
        <v>2397.1424287338882</v>
      </c>
      <c r="AW55" s="7"/>
    </row>
    <row r="56" spans="1:49" ht="15">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5">
      <c r="A57" s="7"/>
      <c r="B57" s="7"/>
      <c r="C57" s="7"/>
      <c r="D57" s="7"/>
      <c r="E57" s="7" t="s">
        <v>1021</v>
      </c>
      <c r="F57" s="7"/>
      <c r="G57" s="7" t="s">
        <v>209</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0.56015974653642087</v>
      </c>
      <c r="AT57" s="126">
        <f t="shared" si="18"/>
        <v>0.56341897923705597</v>
      </c>
      <c r="AU57" s="126">
        <f t="shared" si="18"/>
        <v>0.57564229523704524</v>
      </c>
      <c r="AV57" s="126">
        <f t="shared" si="18"/>
        <v>0.58929845247706192</v>
      </c>
      <c r="AW57" s="7"/>
    </row>
    <row r="58" spans="1:49" ht="15">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5">
      <c r="A59" s="7"/>
      <c r="B59" s="7"/>
      <c r="C59" s="28" t="s">
        <v>1022</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5">
      <c r="A60" s="7"/>
      <c r="B60" s="7"/>
      <c r="C60" s="4" t="s">
        <v>1023</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5">
      <c r="A61" s="7"/>
      <c r="B61" s="7"/>
      <c r="C61" s="4" t="s">
        <v>1024</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5">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5">
      <c r="A63" s="7"/>
      <c r="B63" s="7"/>
      <c r="C63" s="7"/>
      <c r="D63" s="7"/>
      <c r="E63" s="56" t="s">
        <v>256</v>
      </c>
      <c r="F63" s="7"/>
      <c r="G63" s="7" t="s">
        <v>209</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5">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5">
      <c r="A65" s="7"/>
      <c r="B65" s="7"/>
      <c r="C65" s="7"/>
      <c r="D65" s="7"/>
      <c r="E65" s="56" t="s">
        <v>1025</v>
      </c>
      <c r="F65" s="7"/>
      <c r="G65" s="7" t="s">
        <v>209</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5">
      <c r="A66" s="7"/>
      <c r="B66" s="7"/>
      <c r="C66" s="7"/>
      <c r="D66" s="7"/>
      <c r="E66" s="183" t="s">
        <v>1026</v>
      </c>
      <c r="F66" s="7"/>
      <c r="G66" s="183" t="s">
        <v>209</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5">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5">
      <c r="A68" s="7"/>
      <c r="B68" s="7"/>
      <c r="C68" s="7"/>
      <c r="D68" s="7"/>
      <c r="E68" s="56" t="s">
        <v>1027</v>
      </c>
      <c r="F68" s="7"/>
      <c r="G68" s="7" t="s">
        <v>209</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5">
      <c r="A69" s="7"/>
      <c r="B69" s="7"/>
      <c r="C69" s="7"/>
      <c r="D69" s="7"/>
      <c r="E69" s="56" t="s">
        <v>1028</v>
      </c>
      <c r="F69" s="7"/>
      <c r="G69" s="7" t="s">
        <v>302</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1774.792179327859</v>
      </c>
      <c r="AS69" s="7">
        <f>AS55 * AS12</f>
        <v>0</v>
      </c>
      <c r="AT69" s="7">
        <f>AT55 * AT12</f>
        <v>0</v>
      </c>
      <c r="AU69" s="7">
        <f>AU55 * AU12</f>
        <v>0</v>
      </c>
      <c r="AV69" s="7">
        <f>AV55 * AV12</f>
        <v>0</v>
      </c>
      <c r="AW69" s="7"/>
    </row>
    <row r="70" spans="1:49" ht="15">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5">
      <c r="A71" s="7"/>
      <c r="B71" s="7"/>
      <c r="C71" s="7"/>
      <c r="D71" s="7"/>
      <c r="E71" s="7" t="s">
        <v>1029</v>
      </c>
      <c r="F71" s="7"/>
      <c r="G71" s="7" t="s">
        <v>302</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-88.739608966393035</v>
      </c>
      <c r="AS71" s="7">
        <f t="shared" ref="AS71:AV71" si="22">AS68*AS69</f>
        <v>0</v>
      </c>
      <c r="AT71" s="7">
        <f t="shared" si="22"/>
        <v>0</v>
      </c>
      <c r="AU71" s="7">
        <f t="shared" si="22"/>
        <v>0</v>
      </c>
      <c r="AV71" s="7">
        <f t="shared" si="22"/>
        <v>0</v>
      </c>
      <c r="AW71" s="7"/>
    </row>
    <row r="72" spans="1:49" ht="15">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5">
      <c r="A73" s="7"/>
      <c r="B73" s="7"/>
      <c r="C73" s="28" t="s">
        <v>1030</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5">
      <c r="A74" s="7"/>
      <c r="B74" s="7"/>
      <c r="C74" s="4" t="s">
        <v>1031</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5">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5">
      <c r="A76" s="7"/>
      <c r="B76" s="7"/>
      <c r="C76" s="7"/>
      <c r="D76" s="7"/>
      <c r="E76" s="7" t="s">
        <v>1028</v>
      </c>
      <c r="F76" s="7"/>
      <c r="G76" s="7" t="s">
        <v>302</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1774.792179327859</v>
      </c>
      <c r="AS76" s="7">
        <f t="shared" ref="AS76:AV76" si="23">AS55</f>
        <v>1941.424192639596</v>
      </c>
      <c r="AT76" s="7">
        <f t="shared" si="23"/>
        <v>2088.0768056962638</v>
      </c>
      <c r="AU76" s="7">
        <f t="shared" si="23"/>
        <v>2235.9909261765474</v>
      </c>
      <c r="AV76" s="7">
        <f t="shared" si="23"/>
        <v>2397.1424287338882</v>
      </c>
      <c r="AW76" s="7"/>
    </row>
    <row r="77" spans="1:49" ht="15">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5">
      <c r="A78" s="7"/>
      <c r="B78" s="7"/>
      <c r="C78" s="7"/>
      <c r="D78" s="7"/>
      <c r="E78" s="7" t="s">
        <v>1021</v>
      </c>
      <c r="F78" s="7"/>
      <c r="G78" s="21" t="s">
        <v>209</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0.56015974653642087</v>
      </c>
      <c r="AT78" s="103">
        <f>AT57 * AT13</f>
        <v>0.56341897923705597</v>
      </c>
      <c r="AU78" s="103">
        <f>AU57 * AU13</f>
        <v>0.57564229523704524</v>
      </c>
      <c r="AV78" s="103">
        <f>AV57 * AV13</f>
        <v>0.58929845247706192</v>
      </c>
      <c r="AW78" s="193"/>
    </row>
    <row r="79" spans="1:49" ht="15">
      <c r="A79" s="7"/>
      <c r="B79" s="7"/>
      <c r="C79" s="7"/>
      <c r="D79" s="7"/>
      <c r="E79" s="7" t="s">
        <v>1032</v>
      </c>
      <c r="F79" s="7"/>
      <c r="G79" s="21" t="s">
        <v>209</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5">
      <c r="A80" s="7"/>
      <c r="B80" s="7"/>
      <c r="C80" s="7"/>
      <c r="D80" s="7"/>
      <c r="E80" s="7" t="s">
        <v>1033</v>
      </c>
      <c r="F80" s="7"/>
      <c r="G80" s="21" t="s">
        <v>209</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-3.9840253463579112E-2</v>
      </c>
      <c r="AT80" s="459">
        <f t="shared" ref="AT80:AV80" si="25">AT78 + AT79</f>
        <v>-3.6581020762944005E-2</v>
      </c>
      <c r="AU80" s="459">
        <f t="shared" si="25"/>
        <v>-2.4357704762954735E-2</v>
      </c>
      <c r="AV80" s="459">
        <f t="shared" si="25"/>
        <v>-1.070154752293806E-2</v>
      </c>
      <c r="AW80" s="193"/>
    </row>
    <row r="81" spans="1:49" ht="15">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5">
      <c r="A82" s="7"/>
      <c r="B82" s="7"/>
      <c r="C82" s="7"/>
      <c r="D82" s="7"/>
      <c r="E82" s="7" t="s">
        <v>1034</v>
      </c>
      <c r="F82" s="7"/>
      <c r="G82" s="21" t="s">
        <v>209</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5">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5">
      <c r="A84" s="7"/>
      <c r="B84" s="7"/>
      <c r="C84" s="7"/>
      <c r="D84" s="7"/>
      <c r="E84" s="7" t="s">
        <v>1035</v>
      </c>
      <c r="F84" s="7"/>
      <c r="G84" s="21" t="s">
        <v>865</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5">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5">
      <c r="A86" s="7"/>
      <c r="B86" s="7"/>
      <c r="C86" s="7"/>
      <c r="D86" s="7"/>
      <c r="E86" s="7" t="s">
        <v>1030</v>
      </c>
      <c r="F86" s="7"/>
      <c r="G86" s="21" t="s">
        <v>302</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5">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5">
      <c r="A88" s="7"/>
      <c r="B88" s="7"/>
      <c r="C88" s="20" t="s">
        <v>1036</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5">
      <c r="A89" s="7"/>
      <c r="B89" s="7"/>
      <c r="C89" s="4" t="s">
        <v>1037</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5">
      <c r="A90" s="7"/>
      <c r="B90" s="7"/>
      <c r="C90" s="4" t="s">
        <v>1038</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5">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5">
      <c r="A92" s="7"/>
      <c r="B92" s="7"/>
      <c r="C92" s="7"/>
      <c r="D92" s="7"/>
      <c r="E92" s="7" t="s">
        <v>1016</v>
      </c>
      <c r="F92" s="7"/>
      <c r="G92" s="21" t="s">
        <v>302</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-1064.8753075967154</v>
      </c>
      <c r="AS92" s="7">
        <f t="shared" ref="AS92:AV92" si="28">AS46</f>
        <v>-1087.5076836686717</v>
      </c>
      <c r="AT92" s="7">
        <f t="shared" si="28"/>
        <v>-1176.4621024339615</v>
      </c>
      <c r="AU92" s="7">
        <f t="shared" si="28"/>
        <v>-1287.1309488734744</v>
      </c>
      <c r="AV92" s="7">
        <f t="shared" si="28"/>
        <v>-1412.632323619986</v>
      </c>
      <c r="AW92" s="7"/>
    </row>
    <row r="93" spans="1:49" ht="15">
      <c r="A93" s="7"/>
      <c r="B93" s="7"/>
      <c r="C93" s="7"/>
      <c r="D93" s="7"/>
      <c r="E93" s="56" t="s">
        <v>1028</v>
      </c>
      <c r="F93" s="7"/>
      <c r="G93" s="21" t="s">
        <v>302</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1774.792179327859</v>
      </c>
      <c r="AS93" s="7">
        <f t="shared" si="29"/>
        <v>1941.424192639596</v>
      </c>
      <c r="AT93" s="7">
        <f t="shared" si="29"/>
        <v>2088.0768056962638</v>
      </c>
      <c r="AU93" s="7">
        <f t="shared" si="29"/>
        <v>2235.9909261765474</v>
      </c>
      <c r="AV93" s="7">
        <f>AV55</f>
        <v>2397.1424287338882</v>
      </c>
      <c r="AW93" s="7"/>
    </row>
    <row r="94" spans="1:49" ht="15">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5">
      <c r="A95" s="7"/>
      <c r="B95" s="7"/>
      <c r="C95" s="7"/>
      <c r="D95" s="7"/>
      <c r="E95" s="7" t="s">
        <v>1039</v>
      </c>
      <c r="F95" s="7"/>
      <c r="G95" s="7" t="s">
        <v>209</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0.56015974653642087</v>
      </c>
      <c r="AT95" s="460">
        <f t="shared" si="30"/>
        <v>0.56341897923705597</v>
      </c>
      <c r="AU95" s="460">
        <f t="shared" si="30"/>
        <v>0.57564229523704524</v>
      </c>
      <c r="AV95" s="460">
        <f>-AV92 / AV93</f>
        <v>0.58929845247706192</v>
      </c>
      <c r="AW95" s="7"/>
    </row>
    <row r="96" spans="1:49" ht="15">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5">
      <c r="A97" s="7"/>
      <c r="B97" s="37" t="s">
        <v>1040</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5">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5">
      <c r="A99" s="7"/>
      <c r="B99" s="7"/>
      <c r="C99" s="28" t="s">
        <v>1041</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5">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5">
      <c r="A101" s="7"/>
      <c r="B101" s="7"/>
      <c r="C101" s="7"/>
      <c r="D101" s="10" t="s">
        <v>1042</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5">
      <c r="A102" s="7"/>
      <c r="B102" s="7"/>
      <c r="C102" s="7"/>
      <c r="D102" s="4" t="s">
        <v>1043</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5">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5">
      <c r="A104" s="7"/>
      <c r="B104" s="7"/>
      <c r="C104" s="7"/>
      <c r="D104" s="7"/>
      <c r="E104" s="10" t="s">
        <v>1044</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5">
      <c r="A105" s="7"/>
      <c r="B105" s="7"/>
      <c r="C105" s="7"/>
      <c r="D105" s="7"/>
      <c r="E105" s="7" t="s">
        <v>1045</v>
      </c>
      <c r="F105" s="7"/>
      <c r="G105" s="7" t="s">
        <v>249</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5">
      <c r="A106" s="7"/>
      <c r="B106" s="7"/>
      <c r="C106" s="7"/>
      <c r="D106" s="7"/>
      <c r="E106" s="7" t="s">
        <v>1046</v>
      </c>
      <c r="F106" s="7"/>
      <c r="G106" s="7" t="s">
        <v>601</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5">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5">
      <c r="A108" s="2"/>
      <c r="B108" s="2"/>
      <c r="C108" s="2"/>
      <c r="D108" s="2"/>
      <c r="E108" s="7" t="s">
        <v>1047</v>
      </c>
      <c r="F108" s="7"/>
      <c r="G108" s="7" t="s">
        <v>1048</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5.1619999999999999E-2</v>
      </c>
      <c r="AS108" s="462">
        <f>(1 + AS105) * (1 + AS106) - 1</f>
        <v>5.2334000000000103E-2</v>
      </c>
      <c r="AT108" s="462">
        <f>(1 + AT105) * (1 + AT106) - 1</f>
        <v>5.2537999999999974E-2</v>
      </c>
      <c r="AU108" s="462">
        <f>(1 + AU105) * (1 + AU106) - 1</f>
        <v>5.2537999999999974E-2</v>
      </c>
      <c r="AV108" s="462">
        <f>(1 + AV105) * (1 + AV106) - 1</f>
        <v>5.2537999999999974E-2</v>
      </c>
      <c r="AW108" s="2"/>
    </row>
    <row r="109" spans="1:49" ht="15">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5">
      <c r="A110" s="7"/>
      <c r="B110" s="7"/>
      <c r="C110" s="7"/>
      <c r="D110" s="7"/>
      <c r="E110" s="10" t="s">
        <v>1049</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5">
      <c r="A111" s="7"/>
      <c r="B111" s="7"/>
      <c r="C111" s="7"/>
      <c r="D111" s="7"/>
      <c r="E111" s="56" t="s">
        <v>1050</v>
      </c>
      <c r="F111" s="7"/>
      <c r="G111" s="7" t="s">
        <v>601</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5">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5">
      <c r="A113" s="7"/>
      <c r="B113" s="7"/>
      <c r="C113" s="7"/>
      <c r="D113" s="2"/>
      <c r="E113" s="7" t="s">
        <v>1051</v>
      </c>
      <c r="F113" s="7"/>
      <c r="G113" s="7" t="s">
        <v>1052</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2.0990291262135807E-2</v>
      </c>
      <c r="AS113" s="193">
        <f>(1+AS$108) / (1+AS111) - 1</f>
        <v>2.168349514563106E-2</v>
      </c>
      <c r="AT113" s="193">
        <f t="shared" si="31"/>
        <v>2.1881553398058307E-2</v>
      </c>
      <c r="AU113" s="193">
        <f t="shared" si="31"/>
        <v>2.1881553398058307E-2</v>
      </c>
      <c r="AV113" s="193">
        <f t="shared" si="31"/>
        <v>2.1881553398058307E-2</v>
      </c>
      <c r="AW113" s="2"/>
    </row>
    <row r="114" spans="1:49" ht="15">
      <c r="A114" s="7"/>
      <c r="B114" s="7"/>
      <c r="C114" s="7"/>
      <c r="D114" s="2"/>
      <c r="E114" s="7" t="s">
        <v>1053</v>
      </c>
      <c r="F114" s="7"/>
      <c r="G114" s="7" t="s">
        <v>601</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5">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5">
      <c r="A116" s="2"/>
      <c r="B116" s="2"/>
      <c r="C116" s="2"/>
      <c r="D116" s="2"/>
      <c r="E116" s="7" t="s">
        <v>2</v>
      </c>
      <c r="F116" s="7"/>
      <c r="G116" s="7" t="s">
        <v>1048</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9.7347748626019914E-2</v>
      </c>
      <c r="AS116" s="462">
        <f>(1 + AS113) * (1 + AS114) - 1</f>
        <v>5.884813110341236E-2</v>
      </c>
      <c r="AT116" s="462">
        <f>(1 + AT113) * (1 + AT114) - 1</f>
        <v>5.6741759334888897E-2</v>
      </c>
      <c r="AU116" s="462">
        <f>(1 + AU113) * (1 + AU114) - 1</f>
        <v>5.4713565723444324E-2</v>
      </c>
      <c r="AV116" s="462">
        <f>(1 + AV113) * (1 + AV114) - 1</f>
        <v>5.2990951965082633E-2</v>
      </c>
      <c r="AW116" s="2"/>
    </row>
    <row r="117" spans="1:49" ht="15">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5">
      <c r="A118" s="7"/>
      <c r="B118" s="7"/>
      <c r="C118" s="7"/>
      <c r="D118" s="7"/>
      <c r="E118" s="10" t="s">
        <v>1054</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5">
      <c r="A119" s="2"/>
      <c r="B119" s="2"/>
      <c r="C119" s="2"/>
      <c r="D119" s="2"/>
      <c r="E119" s="7" t="s">
        <v>1055</v>
      </c>
      <c r="F119" s="7"/>
      <c r="G119" s="7" t="s">
        <v>1056</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3.1E-2</v>
      </c>
      <c r="AS119" s="193">
        <f>AS105</f>
        <v>3.1699999999999999E-2</v>
      </c>
      <c r="AT119" s="193">
        <f>AT105</f>
        <v>3.1899999999999998E-2</v>
      </c>
      <c r="AU119" s="193">
        <f>AU105</f>
        <v>3.1899999999999998E-2</v>
      </c>
      <c r="AV119" s="193">
        <f>AV105</f>
        <v>3.1899999999999998E-2</v>
      </c>
      <c r="AW119" s="2"/>
    </row>
    <row r="120" spans="1:49" ht="15">
      <c r="A120" s="7"/>
      <c r="B120" s="7"/>
      <c r="C120" s="7"/>
      <c r="D120" s="7"/>
      <c r="E120" s="7" t="s">
        <v>1057</v>
      </c>
      <c r="F120" s="7"/>
      <c r="G120" s="7" t="s">
        <v>601</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5">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5">
      <c r="A122" s="2"/>
      <c r="B122" s="2"/>
      <c r="C122" s="2"/>
      <c r="D122" s="2"/>
      <c r="E122" s="7" t="s">
        <v>1058</v>
      </c>
      <c r="F122" s="7"/>
      <c r="G122" s="7" t="s">
        <v>1048</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8.8188554012868181E-2</v>
      </c>
      <c r="AS122" s="462">
        <f t="shared" si="32"/>
        <v>6.43174274679299E-2</v>
      </c>
      <c r="AT122" s="462">
        <f t="shared" si="32"/>
        <v>5.7624883211023104E-2</v>
      </c>
      <c r="AU122" s="462">
        <f t="shared" si="32"/>
        <v>5.4827224956206955E-2</v>
      </c>
      <c r="AV122" s="462">
        <f t="shared" si="32"/>
        <v>5.3632632913426681E-2</v>
      </c>
      <c r="AW122" s="2"/>
    </row>
    <row r="123" spans="1:49" ht="15">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5">
      <c r="A124" s="7"/>
      <c r="B124" s="7"/>
      <c r="C124" s="7"/>
      <c r="D124" s="10" t="s">
        <v>1059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5">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5">
      <c r="A126" s="7"/>
      <c r="B126" s="7"/>
      <c r="C126" s="7"/>
      <c r="D126" s="7"/>
      <c r="E126" s="56" t="s">
        <v>1060</v>
      </c>
      <c r="F126" s="7"/>
      <c r="G126" s="7" t="s">
        <v>302</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-1064.8753075967154</v>
      </c>
      <c r="AS126" s="7">
        <f>AS28</f>
        <v>-1087.5076836686717</v>
      </c>
      <c r="AT126" s="7">
        <f>AT28</f>
        <v>-1176.4621024339615</v>
      </c>
      <c r="AU126" s="7">
        <f>AU28</f>
        <v>-1287.1309488734744</v>
      </c>
      <c r="AV126" s="7">
        <f>AV28</f>
        <v>-1412.632323619986</v>
      </c>
      <c r="AW126" s="7"/>
    </row>
    <row r="127" spans="1:49" ht="15">
      <c r="A127" s="7"/>
      <c r="B127" s="7"/>
      <c r="C127" s="7"/>
      <c r="D127" s="7"/>
      <c r="E127" s="56" t="s">
        <v>1061</v>
      </c>
      <c r="F127" s="7"/>
      <c r="G127" s="7" t="s">
        <v>302</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-1026.1869223514948</v>
      </c>
      <c r="AS127" s="105">
        <f>AS36</f>
        <v>-1116.5897437350502</v>
      </c>
      <c r="AT127" s="105">
        <f>AT36</f>
        <v>-1223.6139636338512</v>
      </c>
      <c r="AU127" s="105">
        <f>AU36</f>
        <v>-1343.8051352945049</v>
      </c>
      <c r="AV127" s="105">
        <f>AV36</f>
        <v>-1453.61704462689</v>
      </c>
      <c r="AW127" s="7"/>
    </row>
    <row r="128" spans="1:49" ht="15">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5">
      <c r="A129" s="7"/>
      <c r="B129" s="7"/>
      <c r="C129" s="7"/>
      <c r="D129" s="7"/>
      <c r="E129" s="56" t="s">
        <v>1059</v>
      </c>
      <c r="F129" s="7"/>
      <c r="G129" s="7" t="s">
        <v>302</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-1045.5311149741051</v>
      </c>
      <c r="AS129" s="461">
        <f t="shared" si="33"/>
        <v>-1102.0487137018608</v>
      </c>
      <c r="AT129" s="461">
        <f t="shared" si="33"/>
        <v>-1200.0380330339062</v>
      </c>
      <c r="AU129" s="461">
        <f t="shared" si="33"/>
        <v>-1315.4680420839895</v>
      </c>
      <c r="AV129" s="461">
        <f>AVERAGE(AV126:AV127)</f>
        <v>-1433.1246841234379</v>
      </c>
      <c r="AW129" s="7"/>
    </row>
    <row r="130" spans="1:49" ht="15">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5">
      <c r="A131" s="7"/>
      <c r="B131" s="7"/>
      <c r="C131" s="7"/>
      <c r="D131" s="7"/>
      <c r="E131" s="7" t="s">
        <v>1062</v>
      </c>
      <c r="F131" s="7"/>
      <c r="G131" s="7" t="s">
        <v>1048</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6.0762138503217045E-2</v>
      </c>
      <c r="AS131" s="185">
        <f>AS167/AS129</f>
        <v>5.5329856866982552E-2</v>
      </c>
      <c r="AT131" s="185">
        <f>AT167/AT129</f>
        <v>5.3809720802755763E-2</v>
      </c>
      <c r="AU131" s="185">
        <f>AU167/AU129</f>
        <v>5.3110306239051719E-2</v>
      </c>
      <c r="AV131" s="185">
        <f>AV167/AV129</f>
        <v>5.2811658228356657E-2</v>
      </c>
      <c r="AW131" s="7"/>
    </row>
    <row r="132" spans="1:49" ht="15">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5">
      <c r="A133" s="7"/>
      <c r="B133" s="7"/>
      <c r="C133" s="7"/>
      <c r="D133" s="10" t="s">
        <v>1063</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5">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5">
      <c r="A135" s="7"/>
      <c r="B135" s="7"/>
      <c r="C135" s="7"/>
      <c r="D135" s="7"/>
      <c r="E135" s="10" t="s">
        <v>1044</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5">
      <c r="A136" s="7"/>
      <c r="B136" s="7"/>
      <c r="C136" s="7"/>
      <c r="D136" s="7"/>
      <c r="E136" s="56" t="s">
        <v>1064</v>
      </c>
      <c r="F136" s="7"/>
      <c r="G136" s="7" t="s">
        <v>209</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5">
      <c r="A137" s="7"/>
      <c r="B137" s="7"/>
      <c r="C137" s="7"/>
      <c r="D137" s="7"/>
      <c r="E137" s="56" t="s">
        <v>1065</v>
      </c>
      <c r="F137" s="7"/>
      <c r="G137" s="7" t="s">
        <v>302</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-784.14833623057882</v>
      </c>
      <c r="AS137" s="7">
        <f t="shared" ref="AS137:AU137" si="34">AS$129 * AS136</f>
        <v>-826.53653527639563</v>
      </c>
      <c r="AT137" s="7">
        <f t="shared" si="34"/>
        <v>-900.02852477542967</v>
      </c>
      <c r="AU137" s="7">
        <f t="shared" si="34"/>
        <v>-986.60103156299215</v>
      </c>
      <c r="AV137" s="7">
        <f>AV$129 * AV136</f>
        <v>-1074.8435130925784</v>
      </c>
      <c r="AW137" s="7"/>
    </row>
    <row r="138" spans="1:49" ht="15">
      <c r="A138" s="7"/>
      <c r="B138" s="7"/>
      <c r="C138" s="7"/>
      <c r="D138" s="7"/>
      <c r="E138" s="7" t="s">
        <v>1047</v>
      </c>
      <c r="F138" s="7"/>
      <c r="G138" s="96" t="s">
        <v>209</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5.1619999999999999E-2</v>
      </c>
      <c r="AS138" s="193">
        <f t="shared" si="35"/>
        <v>5.2334000000000103E-2</v>
      </c>
      <c r="AT138" s="193">
        <f t="shared" si="35"/>
        <v>5.2537999999999974E-2</v>
      </c>
      <c r="AU138" s="193">
        <f t="shared" si="35"/>
        <v>5.2537999999999974E-2</v>
      </c>
      <c r="AV138" s="193">
        <f t="shared" si="35"/>
        <v>5.2537999999999974E-2</v>
      </c>
      <c r="AW138" s="7"/>
    </row>
    <row r="139" spans="1:49" ht="15">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5">
      <c r="A140" s="7"/>
      <c r="B140" s="7"/>
      <c r="C140" s="7"/>
      <c r="D140" s="7"/>
      <c r="E140" s="56" t="s">
        <v>1066</v>
      </c>
      <c r="F140" s="7"/>
      <c r="G140" s="7" t="s">
        <v>302</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-40.477737116222478</v>
      </c>
      <c r="AS140" s="461">
        <f t="shared" si="36"/>
        <v>-43.25596303715497</v>
      </c>
      <c r="AT140" s="461">
        <f t="shared" si="36"/>
        <v>-47.285698634651503</v>
      </c>
      <c r="AU140" s="461">
        <f t="shared" si="36"/>
        <v>-51.834044996256452</v>
      </c>
      <c r="AV140" s="461">
        <f>AV137*AV138</f>
        <v>-56.470128490857853</v>
      </c>
      <c r="AW140" s="7"/>
    </row>
    <row r="141" spans="1:49" ht="15">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5">
      <c r="A142" s="7"/>
      <c r="B142" s="7"/>
      <c r="C142" s="7"/>
      <c r="D142" s="7"/>
      <c r="E142" s="10" t="s">
        <v>1049</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5">
      <c r="A143" s="7"/>
      <c r="B143" s="7"/>
      <c r="C143" s="7"/>
      <c r="D143" s="7"/>
      <c r="E143" s="56" t="s">
        <v>268</v>
      </c>
      <c r="F143" s="7"/>
      <c r="G143" s="7" t="s">
        <v>209</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5">
      <c r="A144" s="7"/>
      <c r="B144" s="7"/>
      <c r="C144" s="7"/>
      <c r="D144" s="7"/>
      <c r="E144" s="56" t="s">
        <v>1067</v>
      </c>
      <c r="F144" s="7"/>
      <c r="G144" s="7" t="s">
        <v>302</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5">
      <c r="A145" s="7"/>
      <c r="B145" s="7"/>
      <c r="C145" s="7"/>
      <c r="D145" s="7"/>
      <c r="E145" s="7" t="s">
        <v>2</v>
      </c>
      <c r="F145" s="7"/>
      <c r="G145" s="96" t="s">
        <v>209</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9.7347748626019914E-2</v>
      </c>
      <c r="AS145" s="193">
        <f t="shared" si="38"/>
        <v>5.884813110341236E-2</v>
      </c>
      <c r="AT145" s="193">
        <f t="shared" si="38"/>
        <v>5.6741759334888897E-2</v>
      </c>
      <c r="AU145" s="193">
        <f t="shared" si="38"/>
        <v>5.4713565723444324E-2</v>
      </c>
      <c r="AV145" s="193">
        <f t="shared" si="38"/>
        <v>5.2990951965082633E-2</v>
      </c>
      <c r="AW145" s="193"/>
    </row>
    <row r="146" spans="1:49" ht="15">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5">
      <c r="A147" s="7"/>
      <c r="B147" s="7"/>
      <c r="C147" s="7"/>
      <c r="D147" s="7"/>
      <c r="E147" s="56" t="s">
        <v>1068</v>
      </c>
      <c r="F147" s="7"/>
      <c r="G147" s="7" t="s">
        <v>302</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5">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5">
      <c r="A149" s="7"/>
      <c r="B149" s="7"/>
      <c r="C149" s="7"/>
      <c r="D149" s="7"/>
      <c r="E149" s="56" t="s">
        <v>1069</v>
      </c>
      <c r="F149" s="7"/>
      <c r="G149" s="7" t="s">
        <v>302</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5">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5">
      <c r="A151" s="7"/>
      <c r="B151" s="7"/>
      <c r="C151" s="7"/>
      <c r="D151" s="7"/>
      <c r="E151" s="10" t="s">
        <v>1054</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5">
      <c r="A152" s="7"/>
      <c r="B152" s="7"/>
      <c r="C152" s="7"/>
      <c r="D152" s="7"/>
      <c r="E152" s="56" t="s">
        <v>267</v>
      </c>
      <c r="F152" s="7"/>
      <c r="G152" s="7" t="s">
        <v>209</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5">
      <c r="A153" s="7"/>
      <c r="B153" s="7"/>
      <c r="C153" s="7"/>
      <c r="D153" s="7"/>
      <c r="E153" s="56" t="s">
        <v>1070</v>
      </c>
      <c r="F153" s="7"/>
      <c r="G153" s="7" t="s">
        <v>302</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-261.38277874352627</v>
      </c>
      <c r="AS153" s="7">
        <f t="shared" ref="AS153:AU153" si="40">AS$129 * AS152</f>
        <v>-275.51217842546521</v>
      </c>
      <c r="AT153" s="7">
        <f t="shared" si="40"/>
        <v>-300.00950825847656</v>
      </c>
      <c r="AU153" s="7">
        <f t="shared" si="40"/>
        <v>-328.86701052099738</v>
      </c>
      <c r="AV153" s="7">
        <f>AV$129 * AV152</f>
        <v>-358.28117103085947</v>
      </c>
      <c r="AW153" s="7"/>
    </row>
    <row r="154" spans="1:49" ht="15">
      <c r="A154" s="7"/>
      <c r="B154" s="7"/>
      <c r="C154" s="7"/>
      <c r="D154" s="7"/>
      <c r="E154" s="7" t="s">
        <v>1058</v>
      </c>
      <c r="F154" s="7"/>
      <c r="G154" s="96" t="s">
        <v>209</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8.8188554012868181E-2</v>
      </c>
      <c r="AS154" s="193">
        <f t="shared" si="41"/>
        <v>6.43174274679299E-2</v>
      </c>
      <c r="AT154" s="193">
        <f t="shared" si="41"/>
        <v>5.7624883211023104E-2</v>
      </c>
      <c r="AU154" s="193">
        <f t="shared" si="41"/>
        <v>5.4827224956206955E-2</v>
      </c>
      <c r="AV154" s="193">
        <f>AV$122</f>
        <v>5.3632632913426681E-2</v>
      </c>
      <c r="AW154" s="7"/>
    </row>
    <row r="155" spans="1:49" ht="15">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5">
      <c r="A156" s="7"/>
      <c r="B156" s="7"/>
      <c r="C156" s="7"/>
      <c r="D156" s="7"/>
      <c r="E156" s="56" t="s">
        <v>1071</v>
      </c>
      <c r="F156" s="7"/>
      <c r="G156" s="7" t="s">
        <v>302</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-23.050969301257041</v>
      </c>
      <c r="AS156" s="461">
        <f t="shared" si="42"/>
        <v>-17.72023455241122</v>
      </c>
      <c r="AT156" s="461">
        <f t="shared" si="42"/>
        <v>-17.288012875591182</v>
      </c>
      <c r="AU156" s="461">
        <f t="shared" si="42"/>
        <v>-18.030865566510002</v>
      </c>
      <c r="AV156" s="461">
        <f>AV153*AV154</f>
        <v>-19.215562525690729</v>
      </c>
      <c r="AW156" s="7"/>
    </row>
    <row r="157" spans="1:49" ht="15">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5">
      <c r="A158" s="7"/>
      <c r="B158" s="7"/>
      <c r="C158" s="7"/>
      <c r="D158" s="7"/>
      <c r="E158" s="56" t="s">
        <v>1072</v>
      </c>
      <c r="F158" s="7"/>
      <c r="G158" s="7" t="s">
        <v>302</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-14.498645160240297</v>
      </c>
      <c r="AS158" s="461">
        <f>AS120 * AS153</f>
        <v>-8.7103794672132882</v>
      </c>
      <c r="AT158" s="461">
        <f>AT120 * AT153</f>
        <v>-7.4791254599726287</v>
      </c>
      <c r="AU158" s="461">
        <f>AU120 * AU153</f>
        <v>-7.3069172699778768</v>
      </c>
      <c r="AV158" s="461">
        <f>AV120 * AV153</f>
        <v>-7.54568579300929</v>
      </c>
      <c r="AW158" s="7"/>
    </row>
    <row r="159" spans="1:49" ht="15">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5">
      <c r="A160" s="7"/>
      <c r="B160" s="7"/>
      <c r="C160" s="7"/>
      <c r="D160" s="10" t="s">
        <v>1073</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5">
      <c r="A161" s="7"/>
      <c r="B161" s="7"/>
      <c r="C161" s="7"/>
      <c r="D161" s="4" t="s">
        <v>1074</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5">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5">
      <c r="A163" s="7"/>
      <c r="B163" s="7"/>
      <c r="C163" s="7"/>
      <c r="D163" s="7"/>
      <c r="E163" s="10" t="s">
        <v>1075</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5">
      <c r="A164" s="7"/>
      <c r="B164" s="7"/>
      <c r="C164" s="7"/>
      <c r="D164" s="7"/>
      <c r="E164" s="56" t="s">
        <v>1076</v>
      </c>
      <c r="F164" s="7"/>
      <c r="G164" s="7" t="s">
        <v>302</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-14.498645160240297</v>
      </c>
      <c r="AS164" s="7">
        <f>AS158 + AS149</f>
        <v>-8.7103794672132882</v>
      </c>
      <c r="AT164" s="7">
        <f>AT158 + AT149</f>
        <v>-7.4791254599726287</v>
      </c>
      <c r="AU164" s="7">
        <f>AU158 + AU149</f>
        <v>-7.3069172699778768</v>
      </c>
      <c r="AV164" s="7">
        <f>AV158 + AV149</f>
        <v>-7.54568579300929</v>
      </c>
      <c r="AW164" s="7"/>
    </row>
    <row r="165" spans="1:49" ht="15">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5">
      <c r="A166" s="7"/>
      <c r="B166" s="7"/>
      <c r="C166" s="7"/>
      <c r="D166" s="7"/>
      <c r="E166" s="10" t="s">
        <v>1077</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5">
      <c r="A167" s="7"/>
      <c r="B167" s="7"/>
      <c r="C167" s="7"/>
      <c r="D167" s="7"/>
      <c r="E167" s="56" t="s">
        <v>1063</v>
      </c>
      <c r="F167" s="7"/>
      <c r="G167" s="7" t="s">
        <v>302</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-63.528706417479519</v>
      </c>
      <c r="AS167" s="7">
        <f>AS140 + AS156 + AS147</f>
        <v>-60.976197589566191</v>
      </c>
      <c r="AT167" s="7">
        <f>AT140 + AT156 + AT147</f>
        <v>-64.573711510242688</v>
      </c>
      <c r="AU167" s="7">
        <f>AU140 + AU156 + AU147</f>
        <v>-69.864910562766454</v>
      </c>
      <c r="AV167" s="7">
        <f>AV140 + AV156 + AV147</f>
        <v>-75.685691016548589</v>
      </c>
      <c r="AW167" s="7"/>
    </row>
    <row r="168" spans="1:49" ht="15">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5">
      <c r="A169" s="7"/>
      <c r="B169" s="7"/>
      <c r="C169" s="7"/>
      <c r="D169" s="7"/>
      <c r="E169" s="56" t="s">
        <v>1078</v>
      </c>
      <c r="F169" s="7"/>
      <c r="G169" s="7" t="s">
        <v>302</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-49.030061257239225</v>
      </c>
      <c r="AS169" s="461">
        <f t="shared" si="43"/>
        <v>-52.265818122352904</v>
      </c>
      <c r="AT169" s="461">
        <f t="shared" si="43"/>
        <v>-57.09458605027006</v>
      </c>
      <c r="AU169" s="461">
        <f t="shared" si="43"/>
        <v>-62.557993292788581</v>
      </c>
      <c r="AV169" s="461">
        <f t="shared" si="43"/>
        <v>-68.140005223539305</v>
      </c>
      <c r="AW169" s="7"/>
    </row>
    <row r="170" spans="1:49" ht="15">
      <c r="A170" s="7"/>
      <c r="B170" s="7"/>
      <c r="C170" s="7"/>
      <c r="D170" s="7"/>
      <c r="E170" s="56" t="s">
        <v>1076</v>
      </c>
      <c r="F170" s="7"/>
      <c r="G170" s="7" t="s">
        <v>302</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-14.498645160240297</v>
      </c>
      <c r="AS170" s="461">
        <f t="shared" ref="AS170:AV170" si="44">AS164</f>
        <v>-8.7103794672132882</v>
      </c>
      <c r="AT170" s="461">
        <f t="shared" si="44"/>
        <v>-7.4791254599726287</v>
      </c>
      <c r="AU170" s="461">
        <f t="shared" si="44"/>
        <v>-7.3069172699778768</v>
      </c>
      <c r="AV170" s="461">
        <f t="shared" si="44"/>
        <v>-7.54568579300929</v>
      </c>
      <c r="AW170" s="7"/>
    </row>
    <row r="171" spans="1:49" ht="15">
      <c r="A171" s="7"/>
      <c r="B171" s="7"/>
      <c r="C171" s="7"/>
      <c r="D171" s="7"/>
      <c r="E171" s="56" t="s">
        <v>1079</v>
      </c>
      <c r="F171" s="7"/>
      <c r="G171" s="7" t="s">
        <v>209</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0.22822194843638571</v>
      </c>
      <c r="AS171" s="26">
        <f t="shared" si="45"/>
        <v>0.14284884613244145</v>
      </c>
      <c r="AT171" s="26">
        <f t="shared" si="45"/>
        <v>0.11582306924988026</v>
      </c>
      <c r="AU171" s="26">
        <f t="shared" si="45"/>
        <v>0.10458636833741254</v>
      </c>
      <c r="AV171" s="26">
        <f t="shared" si="45"/>
        <v>9.9697653435699418E-2</v>
      </c>
      <c r="AW171" s="7"/>
    </row>
    <row r="172" spans="1:49" ht="15">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5">
      <c r="A173" s="7"/>
      <c r="B173" s="7"/>
      <c r="C173" s="28" t="s">
        <v>1080</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5">
      <c r="A174" s="7"/>
      <c r="B174" s="7"/>
      <c r="C174" s="4" t="s">
        <v>1081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5">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5">
      <c r="A176" s="7"/>
      <c r="B176" s="7"/>
      <c r="C176" s="34"/>
      <c r="D176" s="34"/>
      <c r="E176" s="34" t="s">
        <v>1082</v>
      </c>
      <c r="F176" s="34"/>
      <c r="G176" s="7" t="s">
        <v>547</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5">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5">
      <c r="A178" s="7"/>
      <c r="B178" s="7"/>
      <c r="C178" s="34"/>
      <c r="D178" s="34"/>
      <c r="E178" s="7" t="s">
        <v>1027</v>
      </c>
      <c r="F178" s="7"/>
      <c r="G178" s="7" t="s">
        <v>302</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-88.739608966393035</v>
      </c>
      <c r="AS178" s="7">
        <f>AS71</f>
        <v>0</v>
      </c>
      <c r="AT178" s="7">
        <f>AT71</f>
        <v>0</v>
      </c>
      <c r="AU178" s="7">
        <f>AU71</f>
        <v>0</v>
      </c>
      <c r="AV178" s="7">
        <f>AV71</f>
        <v>0</v>
      </c>
      <c r="AW178" s="89"/>
    </row>
    <row r="179" spans="1:49" ht="15">
      <c r="A179" s="7"/>
      <c r="B179" s="7"/>
      <c r="C179" s="7"/>
      <c r="D179" s="7"/>
      <c r="E179" s="7" t="s">
        <v>1083</v>
      </c>
      <c r="F179" s="7"/>
      <c r="G179" s="7" t="s">
        <v>302</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5">
      <c r="A180" s="7"/>
      <c r="B180" s="7"/>
      <c r="C180" s="34"/>
      <c r="D180" s="34"/>
      <c r="E180" s="7" t="s">
        <v>1084</v>
      </c>
      <c r="F180" s="7"/>
      <c r="G180" s="7" t="s">
        <v>302</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88.739608966393035</v>
      </c>
      <c r="AS180" s="7">
        <f t="shared" ref="AS180:AV180" si="46">AS176 * MAX(-AS178,0) + (1 - AS176) * (-AS178 + AS179)</f>
        <v>0</v>
      </c>
      <c r="AT180" s="7">
        <f t="shared" si="46"/>
        <v>0</v>
      </c>
      <c r="AU180" s="7">
        <f t="shared" si="46"/>
        <v>0</v>
      </c>
      <c r="AV180" s="7">
        <f t="shared" si="46"/>
        <v>0</v>
      </c>
      <c r="AW180" s="7"/>
    </row>
    <row r="181" spans="1:49" ht="15">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5">
      <c r="A182" s="7"/>
      <c r="B182" s="7"/>
      <c r="C182" s="34"/>
      <c r="D182" s="34"/>
      <c r="E182" s="7" t="s">
        <v>1085</v>
      </c>
      <c r="F182" s="7"/>
      <c r="G182" s="7" t="s">
        <v>209</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5">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5">
      <c r="A184" s="7"/>
      <c r="B184" s="7"/>
      <c r="C184" s="34"/>
      <c r="D184" s="34"/>
      <c r="E184" s="21" t="s">
        <v>528</v>
      </c>
      <c r="F184" s="7"/>
      <c r="G184" s="7" t="s">
        <v>302</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4.4369804483196518</v>
      </c>
      <c r="AS184" s="538">
        <f t="shared" si="47"/>
        <v>0</v>
      </c>
      <c r="AT184" s="538">
        <f t="shared" si="47"/>
        <v>0</v>
      </c>
      <c r="AU184" s="538">
        <f t="shared" si="47"/>
        <v>0</v>
      </c>
      <c r="AV184" s="538">
        <f>AV180 * AV182</f>
        <v>0</v>
      </c>
      <c r="AW184" s="7"/>
    </row>
    <row r="185" spans="1:49" ht="15">
      <c r="A185" s="129"/>
      <c r="B185" s="129"/>
      <c r="C185" s="77"/>
      <c r="D185" s="77"/>
      <c r="E185" s="134" t="s">
        <v>1086</v>
      </c>
      <c r="F185" s="129"/>
      <c r="G185" s="129" t="s">
        <v>105</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3.4647055301925747</v>
      </c>
      <c r="AS185" s="149">
        <f t="shared" si="48"/>
        <v>0</v>
      </c>
      <c r="AT185" s="149">
        <f t="shared" si="48"/>
        <v>0</v>
      </c>
      <c r="AU185" s="149">
        <f t="shared" si="48"/>
        <v>0</v>
      </c>
      <c r="AV185" s="149">
        <f t="shared" si="48"/>
        <v>0</v>
      </c>
      <c r="AW185" s="129"/>
    </row>
    <row r="186" spans="1:49" ht="15">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5">
      <c r="A187" s="7"/>
      <c r="B187" s="7"/>
      <c r="C187" s="28" t="s">
        <v>1087</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5">
      <c r="A188" s="7"/>
      <c r="B188" s="7"/>
      <c r="C188" s="4" t="s">
        <v>1088</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5">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5">
      <c r="A190" s="7"/>
      <c r="B190" s="7"/>
      <c r="C190" s="7"/>
      <c r="D190" s="7"/>
      <c r="E190" s="56" t="s">
        <v>1089</v>
      </c>
      <c r="F190" s="7"/>
      <c r="G190" s="7" t="s">
        <v>302</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1941.424192639596</v>
      </c>
      <c r="AS190" s="8">
        <f>'Return&amp;RAV'!AS46 * AS$17</f>
        <v>2088.0768056962638</v>
      </c>
      <c r="AT190" s="8">
        <f>'Return&amp;RAV'!AT46 * AT$17</f>
        <v>2235.9909261765474</v>
      </c>
      <c r="AU190" s="8">
        <f>'Return&amp;RAV'!AU46 * AU$17</f>
        <v>2397.1424287338882</v>
      </c>
      <c r="AV190" s="8">
        <f>'Return&amp;RAV'!AV46 * AV$17</f>
        <v>2557.8246706861755</v>
      </c>
      <c r="AW190" s="7"/>
    </row>
    <row r="191" spans="1:49" ht="15">
      <c r="A191" s="7"/>
      <c r="B191" s="7"/>
      <c r="C191" s="7"/>
      <c r="D191" s="7"/>
      <c r="E191" s="7" t="s">
        <v>1090</v>
      </c>
      <c r="F191" s="7"/>
      <c r="G191" s="7" t="s">
        <v>209</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5">
      <c r="A192" s="7"/>
      <c r="B192" s="7"/>
      <c r="C192" s="34"/>
      <c r="D192" s="34"/>
      <c r="E192" s="7" t="s">
        <v>1091</v>
      </c>
      <c r="F192" s="7"/>
      <c r="G192" s="7" t="s">
        <v>209</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5">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5">
      <c r="A194" s="7"/>
      <c r="B194" s="7"/>
      <c r="C194" s="7"/>
      <c r="D194" s="7"/>
      <c r="E194" s="56" t="s">
        <v>1092</v>
      </c>
      <c r="F194" s="7"/>
      <c r="G194" s="7" t="s">
        <v>302</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23.297090311675152</v>
      </c>
      <c r="AS194" s="461">
        <f t="shared" si="49"/>
        <v>25.056921668355166</v>
      </c>
      <c r="AT194" s="461">
        <f t="shared" si="49"/>
        <v>26.831891114118569</v>
      </c>
      <c r="AU194" s="461">
        <f t="shared" si="49"/>
        <v>28.765709144806657</v>
      </c>
      <c r="AV194" s="461">
        <f>AV190 * AV191 * AV192</f>
        <v>30.693896048234105</v>
      </c>
      <c r="AW194" s="7"/>
    </row>
    <row r="195" spans="1:49" ht="15">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5">
      <c r="A196" s="21"/>
      <c r="B196" s="37" t="s">
        <v>530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5">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5">
      <c r="A198" s="21"/>
      <c r="B198" s="21"/>
      <c r="C198" s="28" t="s">
        <v>1093</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5">
      <c r="A199" s="7"/>
      <c r="B199" s="7"/>
      <c r="C199" s="4" t="s">
        <v>1094</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5">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5">
      <c r="A201" s="21"/>
      <c r="B201" s="21"/>
      <c r="C201" s="21"/>
      <c r="D201" s="21"/>
      <c r="E201" s="21" t="s">
        <v>1095</v>
      </c>
      <c r="F201" s="21"/>
      <c r="G201" s="21" t="s">
        <v>302</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343.67471409922598</v>
      </c>
      <c r="AS201" s="8">
        <f>Revenue!AS19 * AS$17</f>
        <v>304.93161636532585</v>
      </c>
      <c r="AT201" s="8">
        <f>Revenue!AT19 * AT$17</f>
        <v>361.60213406733766</v>
      </c>
      <c r="AU201" s="8">
        <f>Revenue!AU19 * AU$17</f>
        <v>384.14927588037807</v>
      </c>
      <c r="AV201" s="8">
        <f>Revenue!AV19 * AV$17</f>
        <v>395.50000076095358</v>
      </c>
      <c r="AW201" s="48"/>
    </row>
    <row r="202" spans="1:49" ht="15">
      <c r="A202" s="21"/>
      <c r="B202" s="21"/>
      <c r="C202" s="21"/>
      <c r="D202" s="21"/>
      <c r="E202" s="21" t="s">
        <v>1096</v>
      </c>
      <c r="F202" s="21"/>
      <c r="G202" s="21" t="s">
        <v>302</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5.9905800000000006E-3</v>
      </c>
      <c r="AS202" s="8">
        <f>InputSummary!AS151 * AS$17</f>
        <v>0</v>
      </c>
      <c r="AT202" s="8">
        <f>InputSummary!AT151 * AT$17</f>
        <v>0</v>
      </c>
      <c r="AU202" s="8">
        <f>InputSummary!AU151 * AU$17</f>
        <v>0</v>
      </c>
      <c r="AV202" s="8">
        <f>InputSummary!AV151 * AV$17</f>
        <v>0</v>
      </c>
      <c r="AW202" s="48"/>
    </row>
    <row r="203" spans="1:49" ht="15">
      <c r="A203" s="21"/>
      <c r="B203" s="21"/>
      <c r="C203" s="21"/>
      <c r="D203" s="21"/>
      <c r="E203" s="7" t="s">
        <v>1009</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-49.030061257239225</v>
      </c>
      <c r="AS203" s="7">
        <f t="shared" ref="AS203:AV203" si="50">AS169</f>
        <v>-52.265818122352904</v>
      </c>
      <c r="AT203" s="7">
        <f>AT169</f>
        <v>-57.09458605027006</v>
      </c>
      <c r="AU203" s="7">
        <f t="shared" si="50"/>
        <v>-62.557993292788581</v>
      </c>
      <c r="AV203" s="7">
        <f t="shared" si="50"/>
        <v>-68.140005223539305</v>
      </c>
      <c r="AW203" s="48"/>
    </row>
    <row r="204" spans="1:49" ht="15">
      <c r="A204" s="21"/>
      <c r="B204" s="21"/>
      <c r="C204" s="21"/>
      <c r="D204" s="21"/>
      <c r="E204" s="7" t="s">
        <v>1010</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-14.498645160240297</v>
      </c>
      <c r="AS204" s="7">
        <f t="shared" si="51"/>
        <v>-8.7103794672132882</v>
      </c>
      <c r="AT204" s="7">
        <f t="shared" si="51"/>
        <v>-7.4791254599726287</v>
      </c>
      <c r="AU204" s="7">
        <f t="shared" si="51"/>
        <v>-7.3069172699778768</v>
      </c>
      <c r="AV204" s="7">
        <f t="shared" si="51"/>
        <v>-7.54568579300929</v>
      </c>
      <c r="AW204" s="48"/>
    </row>
    <row r="205" spans="1:49" ht="15">
      <c r="A205" s="21"/>
      <c r="B205" s="21"/>
      <c r="C205" s="21"/>
      <c r="D205" s="21"/>
      <c r="E205" s="21" t="s">
        <v>535</v>
      </c>
      <c r="F205" s="21"/>
      <c r="G205" s="21" t="s">
        <v>302</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-119.50064473612255</v>
      </c>
      <c r="AS205" s="8">
        <f>-TaxPools!AS50 * AS$17</f>
        <v>-65.201061290926106</v>
      </c>
      <c r="AT205" s="8">
        <f>-TaxPools!AT50 * AT$17</f>
        <v>-111.27305154047313</v>
      </c>
      <c r="AU205" s="8">
        <f>-TaxPools!AU50 * AU$17</f>
        <v>-117.97955627827167</v>
      </c>
      <c r="AV205" s="8">
        <f>-TaxPools!AV50 * AV$17</f>
        <v>-121.98591515964615</v>
      </c>
      <c r="AW205" s="48"/>
    </row>
    <row r="206" spans="1:49" ht="15.75">
      <c r="A206" s="21"/>
      <c r="B206" s="21"/>
      <c r="C206" s="21"/>
      <c r="D206" s="21"/>
      <c r="E206" s="21" t="s">
        <v>536</v>
      </c>
      <c r="F206" s="21"/>
      <c r="G206" s="21" t="s">
        <v>302</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-69.437436182100157</v>
      </c>
      <c r="AS206" s="8">
        <f>-TaxPools!AS112</f>
        <v>-77.237935546663564</v>
      </c>
      <c r="AT206" s="8">
        <f>-TaxPools!AT112</f>
        <v>-81.905875942474552</v>
      </c>
      <c r="AU206" s="8">
        <f>-TaxPools!AU112</f>
        <v>-84.316679502819682</v>
      </c>
      <c r="AV206" s="8">
        <f>-TaxPools!AV112</f>
        <v>-88.04509476094843</v>
      </c>
      <c r="AW206" s="48"/>
    </row>
    <row r="207" spans="1:49" ht="15">
      <c r="A207" s="21"/>
      <c r="B207" s="21"/>
      <c r="C207" s="21"/>
      <c r="D207" s="21"/>
      <c r="E207" s="21" t="s">
        <v>1097</v>
      </c>
      <c r="F207" s="21"/>
      <c r="G207" s="21" t="s">
        <v>302</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91.213917343523718</v>
      </c>
      <c r="AS207" s="431">
        <f>SUM(AS201:AS206)</f>
        <v>101.51642193816998</v>
      </c>
      <c r="AT207" s="431">
        <f>SUM(AT201:AT206)</f>
        <v>103.84949507414728</v>
      </c>
      <c r="AU207" s="431">
        <f>SUM(AU201:AU206)</f>
        <v>111.98812953652026</v>
      </c>
      <c r="AV207" s="431">
        <f>SUM(AV201:AV206)</f>
        <v>109.78329982381045</v>
      </c>
      <c r="AW207" s="48"/>
    </row>
    <row r="208" spans="1:49" ht="15">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5">
      <c r="A209" s="21"/>
      <c r="B209" s="21"/>
      <c r="C209" s="28" t="s">
        <v>530</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5">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5">
      <c r="A211" s="21"/>
      <c r="B211" s="21"/>
      <c r="C211" s="21"/>
      <c r="D211" s="97" t="s">
        <v>1098</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5">
      <c r="A213" s="21"/>
      <c r="B213" s="21"/>
      <c r="C213" s="21"/>
      <c r="D213" s="21"/>
      <c r="E213" s="134" t="s">
        <v>1099</v>
      </c>
      <c r="F213" s="21"/>
      <c r="G213" s="21" t="s">
        <v>302</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InputSummary!AR277</f>
        <v>0</v>
      </c>
      <c r="AS213" s="79">
        <f>InputSummary!AS277</f>
        <v>0</v>
      </c>
      <c r="AT213" s="79">
        <f>InputSummary!AT277</f>
        <v>0</v>
      </c>
      <c r="AU213" s="79">
        <f>InputSummary!AU277</f>
        <v>0</v>
      </c>
      <c r="AV213" s="79">
        <f>InputSummary!AV277</f>
        <v>0</v>
      </c>
      <c r="AW213" s="21"/>
    </row>
    <row r="214" spans="1:49" ht="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5">
      <c r="A215" s="21"/>
      <c r="B215" s="21"/>
      <c r="C215" s="21"/>
      <c r="D215" s="21"/>
      <c r="E215" s="7" t="s">
        <v>1100</v>
      </c>
      <c r="F215" s="21"/>
      <c r="G215" s="21" t="s">
        <v>302</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5">
      <c r="A216" s="21"/>
      <c r="B216" s="21"/>
      <c r="C216" s="21"/>
      <c r="D216" s="21"/>
      <c r="E216" s="7" t="s">
        <v>1101</v>
      </c>
      <c r="F216" s="21"/>
      <c r="G216" s="21" t="s">
        <v>302</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5">
      <c r="A217" s="208"/>
      <c r="B217" s="208"/>
      <c r="C217" s="208"/>
      <c r="D217" s="21"/>
      <c r="E217" s="7" t="s">
        <v>1102</v>
      </c>
      <c r="F217" s="21"/>
      <c r="G217" s="21" t="s">
        <v>302</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5">
      <c r="A218" s="21"/>
      <c r="B218" s="21"/>
      <c r="C218" s="21"/>
      <c r="D218" s="21"/>
      <c r="E218" s="7" t="s">
        <v>1103</v>
      </c>
      <c r="F218" s="21"/>
      <c r="G218" s="21" t="s">
        <v>302</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-23.518785000457971</v>
      </c>
      <c r="AS218" s="7">
        <f t="shared" ref="AS218:AV218" si="52">AS299</f>
        <v>-49.369568339710291</v>
      </c>
      <c r="AT218" s="7">
        <f t="shared" si="52"/>
        <v>-61.327114498264024</v>
      </c>
      <c r="AU218" s="7">
        <f t="shared" si="52"/>
        <v>-50.5134462994546</v>
      </c>
      <c r="AV218" s="7">
        <f t="shared" si="52"/>
        <v>-47.388455422138875</v>
      </c>
      <c r="AW218" s="21"/>
    </row>
    <row r="219" spans="1:49" ht="15">
      <c r="A219" s="21"/>
      <c r="B219" s="21"/>
      <c r="C219" s="21"/>
      <c r="D219" s="21"/>
      <c r="E219" s="21" t="s">
        <v>1097</v>
      </c>
      <c r="F219" s="21"/>
      <c r="G219" s="21" t="s">
        <v>302</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23.518785000457971</v>
      </c>
      <c r="AS219" s="7">
        <f>IF(AS207 &gt;= 0, MIN(AS207, -(AS215 + AS217 + AS218)), 0)</f>
        <v>49.369568339710291</v>
      </c>
      <c r="AT219" s="7">
        <f>IF(AT207 &gt;= 0, MIN(AT207, -(AT215 + AT217 + AT218)), 0)</f>
        <v>61.327114498264024</v>
      </c>
      <c r="AU219" s="7">
        <f>IF(AU207 &gt;= 0, MIN(AU207, -(AU215 + AU217 + AU218)), 0)</f>
        <v>50.5134462994546</v>
      </c>
      <c r="AV219" s="7">
        <f>IF(AV207 &gt;= 0, MIN(AV207, -(AV215 + AV217 + AV218)), 0)</f>
        <v>47.388455422138875</v>
      </c>
      <c r="AW219" s="21"/>
    </row>
    <row r="220" spans="1:49" ht="15">
      <c r="A220" s="21"/>
      <c r="B220" s="21"/>
      <c r="C220" s="21"/>
      <c r="D220" s="21"/>
      <c r="E220" s="7" t="s">
        <v>1104</v>
      </c>
      <c r="F220" s="21"/>
      <c r="G220" s="21" t="s">
        <v>302</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5">
      <c r="A222" s="21"/>
      <c r="B222" s="21"/>
      <c r="C222" s="21"/>
      <c r="D222" s="97" t="s">
        <v>1105</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5">
      <c r="A223" s="7"/>
      <c r="B223" s="7"/>
      <c r="C223" s="7"/>
      <c r="D223" s="4" t="s">
        <v>1106</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5">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5">
      <c r="A225" s="7"/>
      <c r="B225" s="7"/>
      <c r="C225" s="7"/>
      <c r="D225" s="7"/>
      <c r="E225" s="21" t="s">
        <v>1107</v>
      </c>
      <c r="F225" s="21"/>
      <c r="G225" s="21" t="s">
        <v>302</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67.695132343065751</v>
      </c>
      <c r="AS225" s="7">
        <f>MAX( AS207 - AS219, 0)</f>
        <v>52.146853598459693</v>
      </c>
      <c r="AT225" s="7">
        <f>MAX( AT207 - AT219, 0)</f>
        <v>42.522380575883261</v>
      </c>
      <c r="AU225" s="7">
        <f>MAX( AU207 - AU219, 0)</f>
        <v>61.474683237065662</v>
      </c>
      <c r="AV225" s="7">
        <f>MAX( AV207 - AV219, 0)</f>
        <v>62.394844401671577</v>
      </c>
      <c r="AW225" s="7"/>
    </row>
    <row r="226" spans="1:49" ht="15">
      <c r="A226" s="7"/>
      <c r="B226" s="7"/>
      <c r="C226" s="7"/>
      <c r="D226" s="7"/>
      <c r="E226" s="7" t="s">
        <v>332</v>
      </c>
      <c r="F226" s="21"/>
      <c r="G226" s="7" t="s">
        <v>209</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InputSummary!AR263</f>
        <v>0.25</v>
      </c>
      <c r="AS226" s="123">
        <f>InputSummary!AS263</f>
        <v>0.25</v>
      </c>
      <c r="AT226" s="123">
        <f>InputSummary!AT263</f>
        <v>0.25</v>
      </c>
      <c r="AU226" s="123">
        <f>InputSummary!AU263</f>
        <v>0.25</v>
      </c>
      <c r="AV226" s="123">
        <f>InputSummary!AV263</f>
        <v>0.25</v>
      </c>
      <c r="AW226" s="7"/>
    </row>
    <row r="227" spans="1:49" ht="15">
      <c r="A227" s="21"/>
      <c r="B227" s="21"/>
      <c r="C227" s="21"/>
      <c r="D227" s="21"/>
      <c r="E227" s="21" t="s">
        <v>1108</v>
      </c>
      <c r="F227" s="21"/>
      <c r="G227" s="21" t="s">
        <v>302</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16.923783085766438</v>
      </c>
      <c r="AS227" s="7">
        <f t="shared" si="54"/>
        <v>13.036713399614923</v>
      </c>
      <c r="AT227" s="7">
        <f t="shared" si="54"/>
        <v>10.630595143970815</v>
      </c>
      <c r="AU227" s="7">
        <f t="shared" si="54"/>
        <v>15.368670809266415</v>
      </c>
      <c r="AV227" s="7">
        <f t="shared" si="54"/>
        <v>15.598711100417894</v>
      </c>
      <c r="AW227" s="21"/>
    </row>
    <row r="228" spans="1:49" ht="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5">
      <c r="A229" s="21"/>
      <c r="B229" s="21"/>
      <c r="C229" s="21"/>
      <c r="D229" s="21"/>
      <c r="E229" s="7" t="s">
        <v>1109</v>
      </c>
      <c r="F229" s="21"/>
      <c r="G229" s="7" t="s">
        <v>100</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5">
      <c r="A231" s="21"/>
      <c r="B231" s="21"/>
      <c r="C231" s="21"/>
      <c r="D231" s="21"/>
      <c r="E231" s="2" t="s">
        <v>1105</v>
      </c>
      <c r="F231" s="21"/>
      <c r="G231" s="21" t="s">
        <v>302</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22.565044114355249</v>
      </c>
      <c r="AS231" s="538">
        <f t="shared" si="56"/>
        <v>17.382284532819895</v>
      </c>
      <c r="AT231" s="538">
        <f t="shared" si="56"/>
        <v>14.174126858627753</v>
      </c>
      <c r="AU231" s="538">
        <f t="shared" si="56"/>
        <v>20.491561079021885</v>
      </c>
      <c r="AV231" s="538">
        <f>AV227 * AV229</f>
        <v>20.798281467223859</v>
      </c>
      <c r="AW231" s="21"/>
    </row>
    <row r="232" spans="1:49" ht="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5">
      <c r="A233" s="21"/>
      <c r="B233" s="21"/>
      <c r="C233" s="21"/>
      <c r="D233" s="97" t="s">
        <v>530</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5">
      <c r="A235" s="2"/>
      <c r="B235" s="2"/>
      <c r="C235" s="2"/>
      <c r="D235" s="2"/>
      <c r="E235" s="2" t="s">
        <v>1105</v>
      </c>
      <c r="F235" s="2"/>
      <c r="G235" s="21" t="s">
        <v>302</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22.565044114355249</v>
      </c>
      <c r="AS235" s="7">
        <f t="shared" si="57"/>
        <v>17.382284532819895</v>
      </c>
      <c r="AT235" s="7">
        <f t="shared" si="57"/>
        <v>14.174126858627753</v>
      </c>
      <c r="AU235" s="7">
        <f t="shared" si="57"/>
        <v>20.491561079021885</v>
      </c>
      <c r="AV235" s="7">
        <f>AV231</f>
        <v>20.798281467223859</v>
      </c>
      <c r="AW235" s="2"/>
    </row>
    <row r="236" spans="1:49" ht="15">
      <c r="A236" s="208"/>
      <c r="B236" s="21"/>
      <c r="C236" s="21"/>
      <c r="D236" s="21"/>
      <c r="E236" s="7" t="s">
        <v>1110</v>
      </c>
      <c r="F236" s="21"/>
      <c r="G236" s="21" t="s">
        <v>302</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5">
      <c r="A237" s="21"/>
      <c r="B237" s="21"/>
      <c r="C237" s="21"/>
      <c r="D237" s="21"/>
      <c r="E237" s="2" t="s">
        <v>530</v>
      </c>
      <c r="F237" s="21"/>
      <c r="G237" s="21" t="s">
        <v>302</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22.565044114355249</v>
      </c>
      <c r="AS237" s="526">
        <f t="shared" si="59"/>
        <v>17.382284532819895</v>
      </c>
      <c r="AT237" s="526">
        <f t="shared" si="59"/>
        <v>14.174126858627753</v>
      </c>
      <c r="AU237" s="526">
        <f t="shared" si="59"/>
        <v>20.491561079021885</v>
      </c>
      <c r="AV237" s="526">
        <f>AV235+AV236</f>
        <v>20.798281467223859</v>
      </c>
      <c r="AW237" s="21"/>
    </row>
    <row r="238" spans="1:49" ht="15">
      <c r="A238" s="21"/>
      <c r="B238" s="21"/>
      <c r="C238" s="21"/>
      <c r="D238" s="21"/>
      <c r="E238" s="2" t="s">
        <v>326</v>
      </c>
      <c r="F238" s="21"/>
      <c r="G238" s="21" t="s">
        <v>302</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5">
      <c r="A239" s="21"/>
      <c r="B239" s="21"/>
      <c r="C239" s="21"/>
      <c r="D239" s="21"/>
      <c r="E239" s="2" t="s">
        <v>1111</v>
      </c>
      <c r="F239" s="21"/>
      <c r="G239" s="21" t="s">
        <v>302</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22.565044114355249</v>
      </c>
      <c r="AS239" s="431">
        <f t="shared" si="60"/>
        <v>17.382284532819895</v>
      </c>
      <c r="AT239" s="431">
        <f t="shared" si="60"/>
        <v>14.174126858627753</v>
      </c>
      <c r="AU239" s="431">
        <f t="shared" si="60"/>
        <v>20.491561079021885</v>
      </c>
      <c r="AV239" s="431">
        <f>SUM(AV237:AV238)</f>
        <v>20.798281467223859</v>
      </c>
      <c r="AW239" s="21"/>
    </row>
    <row r="240" spans="1:49" ht="15">
      <c r="A240" s="129"/>
      <c r="B240" s="129"/>
      <c r="C240" s="77"/>
      <c r="D240" s="77"/>
      <c r="E240" s="134" t="s">
        <v>1112</v>
      </c>
      <c r="F240" s="129"/>
      <c r="G240" s="129" t="s">
        <v>105</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17.620369087191808</v>
      </c>
      <c r="AS240" s="149">
        <f t="shared" si="61"/>
        <v>13.157334804971958</v>
      </c>
      <c r="AT240" s="149">
        <f t="shared" si="61"/>
        <v>10.467990963697874</v>
      </c>
      <c r="AU240" s="149">
        <f t="shared" si="61"/>
        <v>14.80465702523828</v>
      </c>
      <c r="AV240" s="149">
        <f t="shared" si="61"/>
        <v>14.716317752987568</v>
      </c>
      <c r="AW240" s="129"/>
    </row>
    <row r="241" spans="1:49" ht="15">
      <c r="A241" s="129"/>
      <c r="B241" s="129"/>
      <c r="C241" s="77"/>
      <c r="D241" s="77"/>
      <c r="E241" s="134" t="s">
        <v>1113</v>
      </c>
      <c r="F241" s="129"/>
      <c r="G241" s="129" t="s">
        <v>105</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5">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5">
      <c r="A243" s="21"/>
      <c r="B243" s="37" t="s">
        <v>1114</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5">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5">
      <c r="A245" s="7"/>
      <c r="B245" s="21"/>
      <c r="C245" s="124" t="s">
        <v>1093</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5">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5">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5">
      <c r="A248" s="7"/>
      <c r="B248" s="7"/>
      <c r="C248" s="21"/>
      <c r="D248" s="21"/>
      <c r="E248" s="21" t="s">
        <v>1115</v>
      </c>
      <c r="F248" s="21"/>
      <c r="G248" s="21" t="s">
        <v>302</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343.67471409922598</v>
      </c>
      <c r="AS248" s="7">
        <f t="shared" si="63"/>
        <v>304.93161636532585</v>
      </c>
      <c r="AT248" s="7">
        <f t="shared" si="63"/>
        <v>361.60213406733766</v>
      </c>
      <c r="AU248" s="7">
        <f t="shared" si="63"/>
        <v>384.14927588037807</v>
      </c>
      <c r="AV248" s="7">
        <f t="shared" si="63"/>
        <v>395.50000076095358</v>
      </c>
      <c r="AW248" s="21"/>
    </row>
    <row r="249" spans="1:49" ht="15">
      <c r="A249" s="7"/>
      <c r="B249" s="7"/>
      <c r="C249" s="21"/>
      <c r="D249" s="21"/>
      <c r="E249" s="21" t="s">
        <v>533</v>
      </c>
      <c r="F249" s="21"/>
      <c r="G249" s="21" t="s">
        <v>302</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5.9905800000000006E-3</v>
      </c>
      <c r="AS249" s="7">
        <f t="shared" si="63"/>
        <v>0</v>
      </c>
      <c r="AT249" s="7">
        <f t="shared" si="63"/>
        <v>0</v>
      </c>
      <c r="AU249" s="7">
        <f t="shared" si="63"/>
        <v>0</v>
      </c>
      <c r="AV249" s="7">
        <f t="shared" si="63"/>
        <v>0</v>
      </c>
      <c r="AW249" s="21"/>
    </row>
    <row r="250" spans="1:49" ht="15">
      <c r="A250" s="7"/>
      <c r="B250" s="7"/>
      <c r="C250" s="21"/>
      <c r="D250" s="21"/>
      <c r="E250" s="21" t="s">
        <v>1011</v>
      </c>
      <c r="F250" s="21"/>
      <c r="G250" s="21" t="s">
        <v>302</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22.565044114355249</v>
      </c>
      <c r="AS250" s="7">
        <f t="shared" si="64"/>
        <v>17.382284532819895</v>
      </c>
      <c r="AT250" s="7">
        <f t="shared" si="64"/>
        <v>14.174126858627753</v>
      </c>
      <c r="AU250" s="7">
        <f t="shared" si="64"/>
        <v>20.491561079021885</v>
      </c>
      <c r="AV250" s="7">
        <f>AV239</f>
        <v>20.798281467223859</v>
      </c>
      <c r="AW250" s="21"/>
    </row>
    <row r="251" spans="1:49" ht="15">
      <c r="A251" s="7"/>
      <c r="B251" s="7"/>
      <c r="C251" s="21"/>
      <c r="D251" s="21"/>
      <c r="E251" s="21" t="s">
        <v>1116</v>
      </c>
      <c r="F251" s="21"/>
      <c r="G251" s="21" t="s">
        <v>302</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-3.5738824725274383</v>
      </c>
      <c r="AS251" s="7">
        <f>(InputSummary!AS143 + InputSummary!AS144) * AS$17</f>
        <v>1.1366104760960685</v>
      </c>
      <c r="AT251" s="7">
        <f>(InputSummary!AT143 + InputSummary!AT144) * AT$17</f>
        <v>1.0311898664407719</v>
      </c>
      <c r="AU251" s="7">
        <f>(InputSummary!AU143 + InputSummary!AU144) * AU$17</f>
        <v>0.67222963387822821</v>
      </c>
      <c r="AV251" s="7">
        <f>(InputSummary!AV143 + InputSummary!AV144) * AV$17</f>
        <v>0.6086777503468086</v>
      </c>
      <c r="AW251" s="21"/>
    </row>
    <row r="252" spans="1:49" ht="15">
      <c r="A252" s="7"/>
      <c r="B252" s="7"/>
      <c r="C252" s="21"/>
      <c r="D252" s="21"/>
      <c r="E252" s="7" t="s">
        <v>1009</v>
      </c>
      <c r="F252" s="21"/>
      <c r="G252" s="21" t="s">
        <v>302</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-49.030061257239225</v>
      </c>
      <c r="AS252" s="7">
        <f t="shared" si="65"/>
        <v>-52.265818122352904</v>
      </c>
      <c r="AT252" s="7">
        <f t="shared" si="65"/>
        <v>-57.09458605027006</v>
      </c>
      <c r="AU252" s="7">
        <f t="shared" si="65"/>
        <v>-62.557993292788581</v>
      </c>
      <c r="AV252" s="7">
        <f t="shared" si="65"/>
        <v>-68.140005223539305</v>
      </c>
      <c r="AW252" s="21"/>
    </row>
    <row r="253" spans="1:49" ht="15">
      <c r="A253" s="98"/>
      <c r="B253" s="21"/>
      <c r="C253" s="21"/>
      <c r="D253" s="21"/>
      <c r="E253" s="7" t="s">
        <v>1010</v>
      </c>
      <c r="F253" s="21"/>
      <c r="G253" s="21" t="s">
        <v>302</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-14.498645160240297</v>
      </c>
      <c r="AS253" s="7">
        <f t="shared" si="65"/>
        <v>-8.7103794672132882</v>
      </c>
      <c r="AT253" s="7">
        <f t="shared" si="65"/>
        <v>-7.4791254599726287</v>
      </c>
      <c r="AU253" s="7">
        <f t="shared" si="65"/>
        <v>-7.3069172699778768</v>
      </c>
      <c r="AV253" s="7">
        <f t="shared" si="65"/>
        <v>-7.54568579300929</v>
      </c>
      <c r="AW253" s="21"/>
    </row>
    <row r="254" spans="1:49" ht="15">
      <c r="A254" s="98"/>
      <c r="B254" s="21"/>
      <c r="C254" s="21"/>
      <c r="D254" s="21"/>
      <c r="E254" s="21" t="s">
        <v>535</v>
      </c>
      <c r="F254" s="21"/>
      <c r="G254" s="21" t="s">
        <v>302</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-119.50064473612255</v>
      </c>
      <c r="AS254" s="7">
        <f t="shared" si="65"/>
        <v>-65.201061290926106</v>
      </c>
      <c r="AT254" s="7">
        <f t="shared" si="65"/>
        <v>-111.27305154047313</v>
      </c>
      <c r="AU254" s="7">
        <f t="shared" si="65"/>
        <v>-117.97955627827167</v>
      </c>
      <c r="AV254" s="7">
        <f t="shared" si="65"/>
        <v>-121.98591515964615</v>
      </c>
      <c r="AW254" s="21"/>
    </row>
    <row r="255" spans="1:49" ht="15">
      <c r="A255" s="98"/>
      <c r="B255" s="21"/>
      <c r="C255" s="21"/>
      <c r="D255" s="21"/>
      <c r="E255" s="21" t="s">
        <v>536</v>
      </c>
      <c r="F255" s="21"/>
      <c r="G255" s="21" t="s">
        <v>302</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-69.437436182100157</v>
      </c>
      <c r="AS255" s="7">
        <f t="shared" si="65"/>
        <v>-77.237935546663564</v>
      </c>
      <c r="AT255" s="7">
        <f t="shared" si="65"/>
        <v>-81.905875942474552</v>
      </c>
      <c r="AU255" s="7">
        <f t="shared" si="65"/>
        <v>-84.316679502819682</v>
      </c>
      <c r="AV255" s="7">
        <f t="shared" si="65"/>
        <v>-88.04509476094843</v>
      </c>
      <c r="AW255" s="21"/>
    </row>
    <row r="256" spans="1:49" ht="15">
      <c r="A256" s="98"/>
      <c r="B256" s="21"/>
      <c r="C256" s="21"/>
      <c r="D256" s="21"/>
      <c r="E256" s="21" t="s">
        <v>1117</v>
      </c>
      <c r="F256" s="21"/>
      <c r="G256" s="21" t="s">
        <v>302</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110.20507898535155</v>
      </c>
      <c r="AS256" s="431">
        <f>SUM(AS248:AS255)</f>
        <v>120.03531694708592</v>
      </c>
      <c r="AT256" s="431">
        <f>SUM(AT248:AT255)</f>
        <v>119.05481179921583</v>
      </c>
      <c r="AU256" s="431">
        <f>SUM(AU248:AU255)</f>
        <v>133.15192024942036</v>
      </c>
      <c r="AV256" s="431">
        <f>SUM(AV248:AV255)</f>
        <v>131.19025904138107</v>
      </c>
      <c r="AW256" s="21"/>
    </row>
    <row r="257" spans="1:49" ht="15">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5">
      <c r="A258" s="98"/>
      <c r="B258" s="21"/>
      <c r="C258" s="124" t="s">
        <v>1118</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5">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5">
      <c r="A260" s="21"/>
      <c r="B260" s="21"/>
      <c r="C260" s="21"/>
      <c r="D260" s="21"/>
      <c r="E260" s="134" t="s">
        <v>1099</v>
      </c>
      <c r="F260" s="21"/>
      <c r="G260" s="21" t="s">
        <v>302</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5">
      <c r="A262" s="98"/>
      <c r="B262" s="21"/>
      <c r="C262" s="21"/>
      <c r="D262" s="21"/>
      <c r="E262" s="7" t="s">
        <v>1100</v>
      </c>
      <c r="F262" s="21"/>
      <c r="G262" s="21" t="s">
        <v>302</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5">
      <c r="A263" s="98"/>
      <c r="B263" s="21"/>
      <c r="C263" s="21"/>
      <c r="D263" s="21"/>
      <c r="E263" s="7" t="s">
        <v>1101</v>
      </c>
      <c r="F263" s="21"/>
      <c r="G263" s="21" t="s">
        <v>302</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5">
      <c r="A264" s="98"/>
      <c r="B264" s="21"/>
      <c r="C264" s="21"/>
      <c r="D264" s="21"/>
      <c r="E264" s="7" t="s">
        <v>1102</v>
      </c>
      <c r="F264" s="21"/>
      <c r="G264" s="21" t="s">
        <v>302</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5">
      <c r="A265" s="98"/>
      <c r="B265" s="21"/>
      <c r="C265" s="21"/>
      <c r="D265" s="21"/>
      <c r="E265" s="7" t="s">
        <v>1119</v>
      </c>
      <c r="F265" s="21"/>
      <c r="G265" s="21" t="s">
        <v>302</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-28.776682929140783</v>
      </c>
      <c r="AS265" s="7">
        <f t="shared" ref="AS265:AU265" si="69">(AS281* AS$17) * ((1 - AS226) / AS226)</f>
        <v>-54.921534378424738</v>
      </c>
      <c r="AT265" s="7">
        <f t="shared" si="69"/>
        <v>-66.585209447183018</v>
      </c>
      <c r="AU265" s="7">
        <f t="shared" si="69"/>
        <v>-55.336564882474107</v>
      </c>
      <c r="AV265" s="7">
        <f>(AV281* AV$17) * ((1 - AV226) / AV226)</f>
        <v>-51.700999728932544</v>
      </c>
      <c r="AW265" s="21"/>
    </row>
    <row r="266" spans="1:49" ht="15">
      <c r="A266" s="98"/>
      <c r="B266" s="21"/>
      <c r="C266" s="21"/>
      <c r="D266" s="21"/>
      <c r="E266" s="21" t="s">
        <v>1120</v>
      </c>
      <c r="F266" s="21"/>
      <c r="G266" s="21" t="s">
        <v>302</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28.776682929140783</v>
      </c>
      <c r="AS266" s="7">
        <f t="shared" ref="AS266:AV266" si="70">IF(AS256 &gt;= 0, MIN(AS256, -AS262-AS264-AS265), 0)</f>
        <v>54.921534378424738</v>
      </c>
      <c r="AT266" s="7">
        <f t="shared" si="70"/>
        <v>66.585209447183018</v>
      </c>
      <c r="AU266" s="7">
        <f t="shared" si="70"/>
        <v>55.336564882474107</v>
      </c>
      <c r="AV266" s="7">
        <f t="shared" si="70"/>
        <v>51.700999728932544</v>
      </c>
      <c r="AW266" s="21"/>
    </row>
    <row r="267" spans="1:49" ht="15">
      <c r="A267" s="98"/>
      <c r="B267" s="21"/>
      <c r="C267" s="21"/>
      <c r="D267" s="21"/>
      <c r="E267" s="7" t="s">
        <v>1104</v>
      </c>
      <c r="F267" s="21"/>
      <c r="G267" s="21" t="s">
        <v>302</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5">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5">
      <c r="A269" s="98"/>
      <c r="B269" s="99"/>
      <c r="C269" s="124" t="s">
        <v>1114</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5">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5">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5">
      <c r="A272" s="98"/>
      <c r="B272" s="7"/>
      <c r="C272" s="7"/>
      <c r="D272" s="21"/>
      <c r="E272" s="21" t="s">
        <v>1107</v>
      </c>
      <c r="F272" s="21"/>
      <c r="G272" s="21" t="s">
        <v>302</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81.428396056210772</v>
      </c>
      <c r="AS272" s="7">
        <f t="shared" ref="AS272:AU272" si="72">MAX( AS256 - AS266, 0)</f>
        <v>65.113782568661179</v>
      </c>
      <c r="AT272" s="7">
        <f t="shared" si="72"/>
        <v>52.469602352032808</v>
      </c>
      <c r="AU272" s="7">
        <f t="shared" si="72"/>
        <v>77.81535536694625</v>
      </c>
      <c r="AV272" s="7">
        <f>MAX( AV256 - AV266, 0)</f>
        <v>79.489259312448524</v>
      </c>
      <c r="AW272" s="21"/>
    </row>
    <row r="273" spans="1:49" ht="15">
      <c r="A273" s="98"/>
      <c r="B273" s="7"/>
      <c r="C273" s="7"/>
      <c r="D273" s="21"/>
      <c r="E273" s="7" t="s">
        <v>332</v>
      </c>
      <c r="F273" s="21"/>
      <c r="G273" s="7" t="s">
        <v>209</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5">
      <c r="A274" s="98"/>
      <c r="B274" s="21"/>
      <c r="C274" s="21"/>
      <c r="D274" s="21"/>
      <c r="E274" s="21" t="s">
        <v>1108</v>
      </c>
      <c r="F274" s="21"/>
      <c r="G274" s="21" t="s">
        <v>302</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20.357099014052693</v>
      </c>
      <c r="AS274" s="7">
        <f t="shared" si="73"/>
        <v>16.278445642165295</v>
      </c>
      <c r="AT274" s="7">
        <f t="shared" si="73"/>
        <v>13.117400588008202</v>
      </c>
      <c r="AU274" s="7">
        <f t="shared" si="73"/>
        <v>19.453838841736562</v>
      </c>
      <c r="AV274" s="7">
        <f>AV272 * AV273</f>
        <v>19.872314828112131</v>
      </c>
      <c r="AW274" s="21"/>
    </row>
    <row r="275" spans="1:49" ht="15">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5">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5">
      <c r="A277" s="98"/>
      <c r="B277" s="37" t="s">
        <v>1121</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5">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5">
      <c r="A279" s="98"/>
      <c r="B279" s="21"/>
      <c r="C279" s="28" t="s">
        <v>1122</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5">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5">
      <c r="A281" s="98"/>
      <c r="B281" s="7"/>
      <c r="C281" s="7"/>
      <c r="D281" s="7"/>
      <c r="E281" s="82" t="s">
        <v>320</v>
      </c>
      <c r="F281" s="2"/>
      <c r="G281" s="2" t="s">
        <v>105</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-7.4902841129978519</v>
      </c>
      <c r="AS281" s="8">
        <f>InputSummary!AS281</f>
        <v>-13.85742314165349</v>
      </c>
      <c r="AT281" s="8">
        <f>InputSummary!AT281</f>
        <v>-16.391682717885182</v>
      </c>
      <c r="AU281" s="8">
        <f>InputSummary!AU281</f>
        <v>-13.326443031526201</v>
      </c>
      <c r="AV281" s="8">
        <f>InputSummary!AV281</f>
        <v>-12.194089871593816</v>
      </c>
      <c r="AW281" s="8"/>
    </row>
    <row r="282" spans="1:49" ht="15">
      <c r="A282" s="98"/>
      <c r="B282" s="7"/>
      <c r="C282" s="7"/>
      <c r="D282" s="7"/>
      <c r="E282" s="2" t="s">
        <v>342</v>
      </c>
      <c r="F282" s="2"/>
      <c r="G282" s="2" t="s">
        <v>105</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1.368578491828039</v>
      </c>
      <c r="AS282" s="8">
        <f>InputSummary!AS286</f>
        <v>1.4008338175049104</v>
      </c>
      <c r="AT282" s="8">
        <f>InputSummary!AT286</f>
        <v>1.2944169556388054</v>
      </c>
      <c r="AU282" s="8">
        <f>InputSummary!AU286</f>
        <v>1.1615288221705597</v>
      </c>
      <c r="AV282" s="8">
        <f>InputSummary!AV286</f>
        <v>1.0171476978779488</v>
      </c>
      <c r="AW282" s="7"/>
    </row>
    <row r="283" spans="1:49" ht="15">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5">
      <c r="A284" s="98"/>
      <c r="B284" s="7"/>
      <c r="C284" s="7"/>
      <c r="D284" s="7"/>
      <c r="E284" s="7" t="s">
        <v>1123</v>
      </c>
      <c r="F284" s="7"/>
      <c r="G284" s="7" t="s">
        <v>865</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5">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5">
      <c r="A286" s="98"/>
      <c r="B286" s="7"/>
      <c r="C286" s="7"/>
      <c r="D286" s="7"/>
      <c r="E286" s="2" t="s">
        <v>1124</v>
      </c>
      <c r="F286" s="2"/>
      <c r="G286" s="2" t="s">
        <v>105</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1.368578491828039</v>
      </c>
      <c r="AS286" s="7">
        <f t="shared" si="75"/>
        <v>1.4008338175049104</v>
      </c>
      <c r="AT286" s="7">
        <f t="shared" si="75"/>
        <v>1.2944169556388054</v>
      </c>
      <c r="AU286" s="7">
        <f t="shared" si="75"/>
        <v>1.1615288221705597</v>
      </c>
      <c r="AV286" s="7">
        <f t="shared" si="75"/>
        <v>1.0171476978779488</v>
      </c>
      <c r="AW286" s="7"/>
    </row>
    <row r="287" spans="1:49" ht="15">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5">
      <c r="A288" s="98"/>
      <c r="B288" s="7"/>
      <c r="C288" s="7"/>
      <c r="D288" s="7"/>
      <c r="E288" s="7" t="s">
        <v>1122</v>
      </c>
      <c r="F288" s="7"/>
      <c r="G288" s="2" t="s">
        <v>105</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-6.1217056211698129</v>
      </c>
      <c r="AS288" s="463">
        <f t="shared" ref="AS288:AV288" si="76">(AS281+AS286) * AS284</f>
        <v>-12.456589324148579</v>
      </c>
      <c r="AT288" s="463">
        <f t="shared" si="76"/>
        <v>-15.097265762246376</v>
      </c>
      <c r="AU288" s="463">
        <f t="shared" si="76"/>
        <v>-12.164914209355642</v>
      </c>
      <c r="AV288" s="463">
        <f t="shared" si="76"/>
        <v>-11.176942173715867</v>
      </c>
      <c r="AW288" s="7"/>
    </row>
    <row r="289" spans="1:49" ht="15">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5">
      <c r="A290" s="98"/>
      <c r="B290" s="21"/>
      <c r="C290" s="28" t="s">
        <v>1125</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5">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5">
      <c r="A292" s="98"/>
      <c r="B292" s="2"/>
      <c r="C292" s="2"/>
      <c r="D292" s="2"/>
      <c r="E292" s="2" t="s">
        <v>1126</v>
      </c>
      <c r="F292" s="2"/>
      <c r="G292" s="21" t="s">
        <v>302</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-23.518785000457971</v>
      </c>
      <c r="AS292" s="2">
        <f>(AS288 * AS$17) * ((1 - AS226) / AS226)</f>
        <v>-49.369568339710291</v>
      </c>
      <c r="AT292" s="2">
        <f>(AT288 * AT$17) * ((1 - AT226) / AT226)</f>
        <v>-61.327114498264024</v>
      </c>
      <c r="AU292" s="2">
        <f>(AU288 * AU$17) * ((1 - AU226) / AU226)</f>
        <v>-50.5134462994546</v>
      </c>
      <c r="AV292" s="2">
        <f>(AV288 * AV$17) * ((1 - AV226) / AV226)</f>
        <v>-47.388455422138875</v>
      </c>
      <c r="AW292" s="2"/>
    </row>
    <row r="293" spans="1:49" ht="15">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5">
      <c r="A294" s="98"/>
      <c r="B294" s="2"/>
      <c r="C294" s="2"/>
      <c r="D294" s="2"/>
      <c r="E294" s="2" t="s">
        <v>1127</v>
      </c>
      <c r="F294" s="2"/>
      <c r="G294" s="21" t="s">
        <v>302</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5">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5">
      <c r="A296" s="7"/>
      <c r="B296" s="2"/>
      <c r="C296" s="2"/>
      <c r="D296" s="2"/>
      <c r="E296" s="2" t="s">
        <v>1128</v>
      </c>
      <c r="F296" s="2"/>
      <c r="G296" s="21" t="s">
        <v>865</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5">
      <c r="A297" s="7"/>
      <c r="B297" s="2"/>
      <c r="C297" s="2"/>
      <c r="D297" s="2"/>
      <c r="E297" s="2" t="s">
        <v>1129</v>
      </c>
      <c r="F297" s="2"/>
      <c r="G297" s="21" t="s">
        <v>865</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5">
      <c r="A299" s="7"/>
      <c r="B299" s="2"/>
      <c r="C299" s="2"/>
      <c r="D299" s="2"/>
      <c r="E299" s="7" t="s">
        <v>1103</v>
      </c>
      <c r="F299" s="21"/>
      <c r="G299" s="21" t="s">
        <v>302</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-23.518785000457971</v>
      </c>
      <c r="AS299" s="464">
        <f t="shared" ref="AS299:AV299" si="79">IF(AS292&lt;0,AS292, AS296 * IF(AS297, -AS294,AS292))</f>
        <v>-49.369568339710291</v>
      </c>
      <c r="AT299" s="464">
        <f t="shared" si="79"/>
        <v>-61.327114498264024</v>
      </c>
      <c r="AU299" s="464">
        <f t="shared" si="79"/>
        <v>-50.5134462994546</v>
      </c>
      <c r="AV299" s="464">
        <f t="shared" si="79"/>
        <v>-47.388455422138875</v>
      </c>
      <c r="AW299" s="2"/>
    </row>
    <row r="300" spans="1:49" ht="1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5">
      <c r="A301" s="7"/>
      <c r="B301" s="21"/>
      <c r="C301" s="28" t="s">
        <v>1130</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5">
      <c r="A303" s="7"/>
      <c r="B303" s="2"/>
      <c r="C303" s="2"/>
      <c r="D303" s="2"/>
      <c r="E303" s="2" t="s">
        <v>1131</v>
      </c>
      <c r="F303" s="2"/>
      <c r="G303" s="21" t="s">
        <v>302</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5">
      <c r="A304" s="7"/>
      <c r="B304" s="2"/>
      <c r="C304" s="2"/>
      <c r="D304" s="2"/>
      <c r="E304" s="7" t="s">
        <v>332</v>
      </c>
      <c r="F304" s="21"/>
      <c r="G304" s="7" t="s">
        <v>209</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5">
      <c r="A305" s="7"/>
      <c r="B305" s="2"/>
      <c r="C305" s="2"/>
      <c r="D305" s="2"/>
      <c r="E305" s="7" t="s">
        <v>1109</v>
      </c>
      <c r="F305" s="21"/>
      <c r="G305" s="7" t="s">
        <v>100</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5">
      <c r="A307" s="7"/>
      <c r="B307" s="2"/>
      <c r="C307" s="2"/>
      <c r="D307" s="2"/>
      <c r="E307" s="2" t="s">
        <v>1132</v>
      </c>
      <c r="F307" s="2"/>
      <c r="G307" s="21" t="s">
        <v>302</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5">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5">
      <c r="A309" s="21"/>
      <c r="B309" s="37" t="s">
        <v>1133</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5">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5">
      <c r="A311" s="7"/>
      <c r="B311" s="2"/>
      <c r="C311" s="194"/>
      <c r="D311" s="10" t="s">
        <v>1134</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5">
      <c r="A313" s="7"/>
      <c r="B313" s="2"/>
      <c r="C313" s="2"/>
      <c r="D313" s="2"/>
      <c r="E313" s="2" t="s">
        <v>920</v>
      </c>
      <c r="F313" s="2"/>
      <c r="G313" s="2" t="s">
        <v>105</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1516.0001751270891</v>
      </c>
      <c r="AS313" s="8">
        <f>'Return&amp;RAV'!AS46</f>
        <v>1580.5474579114568</v>
      </c>
      <c r="AT313" s="8">
        <f>'Return&amp;RAV'!AT46</f>
        <v>1651.3421280605492</v>
      </c>
      <c r="AU313" s="8">
        <f>'Return&amp;RAV'!AU46</f>
        <v>1731.8773987592108</v>
      </c>
      <c r="AV313" s="8">
        <f>'Return&amp;RAV'!AV46</f>
        <v>1809.849562309676</v>
      </c>
      <c r="AW313" s="2"/>
    </row>
    <row r="314" spans="1:49" ht="15">
      <c r="A314" s="7"/>
      <c r="B314" s="2"/>
      <c r="C314" s="2"/>
      <c r="D314" s="2"/>
      <c r="E314" s="2" t="s">
        <v>1135</v>
      </c>
      <c r="F314" s="2"/>
      <c r="G314" s="2" t="s">
        <v>100</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5">
      <c r="A316" s="7"/>
      <c r="B316" s="2"/>
      <c r="C316" s="2"/>
      <c r="D316" s="2"/>
      <c r="E316" s="2" t="s">
        <v>322</v>
      </c>
      <c r="F316" s="2"/>
      <c r="G316" s="21" t="s">
        <v>302</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1088.3004290000001</v>
      </c>
      <c r="AS316" s="8">
        <f>InputSummary!AS282</f>
        <v>1060.8897999999999</v>
      </c>
      <c r="AT316" s="8">
        <f>InputSummary!AT282</f>
        <v>1318.623</v>
      </c>
      <c r="AU316" s="8">
        <f>InputSummary!AU282</f>
        <v>1402.528</v>
      </c>
      <c r="AV316" s="8">
        <f>InputSummary!AV282</f>
        <v>1566.8589999999999</v>
      </c>
      <c r="AW316" s="2"/>
    </row>
    <row r="317" spans="1:49" ht="15">
      <c r="A317" s="7"/>
      <c r="B317" s="2"/>
      <c r="C317" s="2"/>
      <c r="D317" s="2"/>
      <c r="E317" s="2" t="s">
        <v>920</v>
      </c>
      <c r="F317" s="2"/>
      <c r="G317" s="21" t="s">
        <v>302</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1971.8212346701434</v>
      </c>
      <c r="AS317" s="7">
        <f t="shared" si="82"/>
        <v>2115.0783042519324</v>
      </c>
      <c r="AT317" s="7">
        <f t="shared" si="82"/>
        <v>2261.2237299682997</v>
      </c>
      <c r="AU317" s="7">
        <f t="shared" si="82"/>
        <v>2422.3999062850162</v>
      </c>
      <c r="AV317" s="7">
        <f t="shared" si="82"/>
        <v>2581.98939814702</v>
      </c>
      <c r="AW317" s="2"/>
    </row>
    <row r="318" spans="1:49" ht="1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5">
      <c r="A319" s="7"/>
      <c r="B319" s="2"/>
      <c r="C319" s="2"/>
      <c r="D319" s="2"/>
      <c r="E319" s="2" t="s">
        <v>1136</v>
      </c>
      <c r="F319" s="2"/>
      <c r="G319" s="2" t="s">
        <v>209</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0.55192651842095453</v>
      </c>
      <c r="AS319" s="185">
        <f t="shared" si="83"/>
        <v>0.50158417202204664</v>
      </c>
      <c r="AT319" s="185">
        <f t="shared" si="83"/>
        <v>0.5831457464929779</v>
      </c>
      <c r="AU319" s="185">
        <f t="shared" si="83"/>
        <v>0.57898284934749356</v>
      </c>
      <c r="AV319" s="185">
        <f t="shared" si="83"/>
        <v>0.60684176361237796</v>
      </c>
      <c r="AW319" s="2"/>
    </row>
    <row r="320" spans="1:49" ht="15">
      <c r="A320" s="7"/>
      <c r="B320" s="2"/>
      <c r="C320" s="2"/>
      <c r="D320" s="2"/>
      <c r="E320" s="2" t="s">
        <v>1137</v>
      </c>
      <c r="F320" s="2"/>
      <c r="G320" s="2" t="s">
        <v>209</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InputSummary!AR287</f>
        <v>0.65</v>
      </c>
      <c r="AS320" s="123">
        <f>InputSummary!AS287</f>
        <v>0.64</v>
      </c>
      <c r="AT320" s="123">
        <f>InputSummary!AT287</f>
        <v>0.63</v>
      </c>
      <c r="AU320" s="123">
        <f>InputSummary!AU287</f>
        <v>0.61</v>
      </c>
      <c r="AV320" s="123">
        <f>InputSummary!AV287</f>
        <v>0.6</v>
      </c>
      <c r="AW320" s="2"/>
    </row>
    <row r="321" spans="1:49" ht="15">
      <c r="A321" s="7"/>
      <c r="B321" s="2"/>
      <c r="C321" s="2"/>
      <c r="D321" s="2"/>
      <c r="E321" s="2" t="s">
        <v>1138</v>
      </c>
      <c r="F321" s="2"/>
      <c r="G321" s="2" t="s">
        <v>865</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1</v>
      </c>
      <c r="AW321" s="2"/>
    </row>
    <row r="322" spans="1:49" ht="1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5">
      <c r="A323" s="7"/>
      <c r="B323" s="2"/>
      <c r="C323" s="194"/>
      <c r="D323" s="10" t="s">
        <v>1139</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5">
      <c r="A325" s="7"/>
      <c r="B325" s="2"/>
      <c r="C325" s="2"/>
      <c r="D325" s="2"/>
      <c r="E325" s="2" t="s">
        <v>324</v>
      </c>
      <c r="F325" s="2"/>
      <c r="G325" s="21" t="s">
        <v>302</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18.307000000000002</v>
      </c>
      <c r="AS325" s="8">
        <f>InputSummary!AS283</f>
        <v>32.593967244983794</v>
      </c>
      <c r="AT325" s="8">
        <f>InputSummary!AT283</f>
        <v>38.851299999999995</v>
      </c>
      <c r="AU325" s="8">
        <f>InputSummary!AU283</f>
        <v>47.974300000000014</v>
      </c>
      <c r="AV325" s="8">
        <f>InputSummary!AV283</f>
        <v>54.565899999999999</v>
      </c>
      <c r="AW325" s="2"/>
    </row>
    <row r="326" spans="1:49" ht="15">
      <c r="A326" s="7"/>
      <c r="B326" s="2"/>
      <c r="C326" s="2"/>
      <c r="D326" s="2"/>
      <c r="E326" s="2" t="s">
        <v>1140</v>
      </c>
      <c r="F326" s="2"/>
      <c r="G326" s="21" t="s">
        <v>302</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63.528706417479526</v>
      </c>
      <c r="AS326" s="2">
        <f xml:space="preserve"> - (AS203+AS204)</f>
        <v>60.976197589566191</v>
      </c>
      <c r="AT326" s="2">
        <f xml:space="preserve"> - (AT203+AT204)</f>
        <v>64.573711510242688</v>
      </c>
      <c r="AU326" s="2">
        <f xml:space="preserve"> - (AU203+AU204)</f>
        <v>69.864910562766454</v>
      </c>
      <c r="AV326" s="2">
        <f xml:space="preserve"> - (AV203+AV204)</f>
        <v>75.685691016548589</v>
      </c>
      <c r="AW326" s="2"/>
    </row>
    <row r="327" spans="1:49" ht="15">
      <c r="A327" s="7"/>
      <c r="B327" s="2"/>
      <c r="C327" s="2"/>
      <c r="D327" s="2"/>
      <c r="E327" s="2" t="s">
        <v>1141</v>
      </c>
      <c r="F327" s="2"/>
      <c r="G327" s="2" t="s">
        <v>865</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0</v>
      </c>
      <c r="AS327" s="432" t="b">
        <f t="shared" si="85"/>
        <v>0</v>
      </c>
      <c r="AT327" s="432" t="b">
        <f t="shared" si="85"/>
        <v>0</v>
      </c>
      <c r="AU327" s="432" t="b">
        <f t="shared" si="85"/>
        <v>0</v>
      </c>
      <c r="AV327" s="432" t="b">
        <f t="shared" si="85"/>
        <v>0</v>
      </c>
      <c r="AW327" s="2"/>
    </row>
    <row r="328" spans="1:49" ht="15">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5">
      <c r="A329" s="7"/>
      <c r="B329" s="2"/>
      <c r="C329" s="194"/>
      <c r="D329" s="10" t="s">
        <v>1142</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5">
      <c r="A331" s="7"/>
      <c r="B331" s="2"/>
      <c r="C331" s="2"/>
      <c r="D331" s="2"/>
      <c r="E331" s="2" t="s">
        <v>1143</v>
      </c>
      <c r="F331" s="2"/>
      <c r="G331" s="2" t="s">
        <v>865</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5">
      <c r="A333" s="7"/>
      <c r="B333" s="2"/>
      <c r="C333" s="2"/>
      <c r="D333" s="2"/>
      <c r="E333" s="2" t="s">
        <v>1142</v>
      </c>
      <c r="F333" s="2"/>
      <c r="G333" s="21" t="s">
        <v>302</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5">
      <c r="A335" s="98"/>
      <c r="B335" s="37" t="s">
        <v>79</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1" priority="9" operator="equal">
      <formula>FALSE()</formula>
    </cfRule>
  </conditionalFormatting>
  <conditionalFormatting sqref="AJ284:AU284 AR284:AV285">
    <cfRule type="cellIs" dxfId="70" priority="16" operator="equal">
      <formula>FALSE()</formula>
    </cfRule>
  </conditionalFormatting>
  <conditionalFormatting sqref="AJ296:AV297">
    <cfRule type="cellIs" dxfId="69" priority="10" operator="equal">
      <formula>FALSE()</formula>
    </cfRule>
  </conditionalFormatting>
  <conditionalFormatting sqref="AJ321:AV321">
    <cfRule type="cellIs" dxfId="68" priority="8" operator="equal">
      <formula>FALSE()</formula>
    </cfRule>
  </conditionalFormatting>
  <conditionalFormatting sqref="AJ327:AV327">
    <cfRule type="cellIs" dxfId="67" priority="7" operator="equal">
      <formula>FALSE()</formula>
    </cfRule>
  </conditionalFormatting>
  <conditionalFormatting sqref="AJ331:AV331">
    <cfRule type="cellIs" dxfId="66" priority="6" operator="equal">
      <formula>FALSE()</formula>
    </cfRule>
  </conditionalFormatting>
  <conditionalFormatting sqref="AM2">
    <cfRule type="expression" dxfId="65" priority="1">
      <formula>mac_sensitivity=2</formula>
    </cfRule>
    <cfRule type="expression" dxfId="64" priority="2">
      <formula>mac_sensitivity=1</formula>
    </cfRule>
  </conditionalFormatting>
  <conditionalFormatting sqref="AM3">
    <cfRule type="expression" dxfId="63" priority="3">
      <formula>$AM$3="OK"</formula>
    </cfRule>
  </conditionalFormatting>
  <conditionalFormatting sqref="AR12:AR13 AJ84:AV84">
    <cfRule type="cellIs" dxfId="62" priority="22" operator="equal">
      <formula>FALSE()</formula>
    </cfRule>
  </conditionalFormatting>
  <conditionalFormatting sqref="AR176:AV176">
    <cfRule type="cellIs" dxfId="61" priority="20" operator="equal">
      <formula>FALSE()</formula>
    </cfRule>
  </conditionalFormatting>
  <conditionalFormatting sqref="AR327:AV328">
    <cfRule type="cellIs" dxfId="60"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14.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2" width="9" hidden="1" customWidth="1"/>
    <col min="53" max="16384" width="9" hidden="1"/>
  </cols>
  <sheetData>
    <row r="1" spans="1:102" ht="19.5">
      <c r="A1" s="195" t="s">
        <v>1144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5">
      <c r="B6" s="37" t="s">
        <v>1145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5">
      <c r="B7" s="4" t="s">
        <v>1146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5">
      <c r="B8" s="4" t="s">
        <v>1147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5">
      <c r="A9" s="2"/>
      <c r="B9" s="4" t="s">
        <v>1148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5">
      <c r="C11" s="28" t="s">
        <v>1149</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5">
      <c r="I12" s="182"/>
      <c r="AQ12" s="147"/>
    </row>
    <row r="13" spans="1:102" s="82" customFormat="1" ht="15.75">
      <c r="E13" s="7" t="s">
        <v>256</v>
      </c>
      <c r="G13" s="7" t="s">
        <v>209</v>
      </c>
      <c r="H13" s="82" t="s">
        <v>290</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5.75">
      <c r="E14" s="56" t="s">
        <v>922</v>
      </c>
      <c r="G14" s="2" t="s">
        <v>105</v>
      </c>
      <c r="H14" s="82" t="s">
        <v>1150</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1472.2845990988924</v>
      </c>
      <c r="AS14" s="400">
        <f>'Return&amp;RAV'!AS23</f>
        <v>1516.8788625706379</v>
      </c>
      <c r="AT14" s="400">
        <f>'Return&amp;RAV'!AT23</f>
        <v>1583.4787844220843</v>
      </c>
      <c r="AU14" s="400">
        <f>'Return&amp;RAV'!AU23</f>
        <v>1657.4138124391061</v>
      </c>
      <c r="AV14" s="400">
        <f>'Return&amp;RAV'!AV23</f>
        <v>1735.0634835738192</v>
      </c>
    </row>
    <row r="15" spans="1:102" s="82" customFormat="1" ht="15">
      <c r="E15" s="194" t="s">
        <v>1151</v>
      </c>
      <c r="G15" s="2" t="s">
        <v>105</v>
      </c>
      <c r="H15" s="21" t="s">
        <v>1152</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588.91383963955695</v>
      </c>
      <c r="AS15" s="449">
        <f t="shared" ref="AS15:AV15" si="0">AS14 * (1 - AS13)</f>
        <v>606.75154502825524</v>
      </c>
      <c r="AT15" s="449">
        <f t="shared" si="0"/>
        <v>633.39151376883376</v>
      </c>
      <c r="AU15" s="449">
        <f t="shared" si="0"/>
        <v>662.96552497564244</v>
      </c>
      <c r="AV15" s="449">
        <f t="shared" si="0"/>
        <v>694.02539342952775</v>
      </c>
    </row>
    <row r="16" spans="1:102" s="82" customFormat="1" ht="15">
      <c r="E16" s="194"/>
      <c r="G16" s="2"/>
      <c r="H16" s="133"/>
      <c r="AJ16" s="92"/>
      <c r="AK16" s="92"/>
      <c r="AL16" s="92"/>
      <c r="AM16" s="92"/>
      <c r="AN16" s="92"/>
      <c r="AO16" s="92"/>
      <c r="AP16" s="92"/>
      <c r="AQ16" s="215"/>
      <c r="AR16" s="92"/>
      <c r="AS16" s="92"/>
      <c r="AT16" s="92"/>
      <c r="AU16" s="92"/>
      <c r="AV16" s="92"/>
    </row>
    <row r="17" spans="1:49" s="82" customFormat="1" ht="16.5">
      <c r="E17" s="56" t="s">
        <v>1153</v>
      </c>
      <c r="G17" s="2" t="s">
        <v>105</v>
      </c>
      <c r="H17" s="21" t="s">
        <v>1154</v>
      </c>
      <c r="I17" s="438">
        <f>SUM(AR14:AV14)</f>
        <v>7965.1195421045404</v>
      </c>
      <c r="AJ17" s="93"/>
      <c r="AK17" s="93"/>
      <c r="AL17" s="93"/>
      <c r="AM17" s="93"/>
      <c r="AN17" s="93"/>
      <c r="AO17" s="93"/>
      <c r="AP17" s="93"/>
      <c r="AQ17" s="241"/>
      <c r="AR17" s="93"/>
      <c r="AS17" s="93"/>
      <c r="AT17" s="93"/>
      <c r="AU17" s="93"/>
      <c r="AV17" s="93"/>
    </row>
    <row r="18" spans="1:49" s="82" customFormat="1" ht="15">
      <c r="E18" s="56" t="s">
        <v>256</v>
      </c>
      <c r="G18" s="2" t="s">
        <v>105</v>
      </c>
      <c r="H18" s="21" t="s">
        <v>290</v>
      </c>
      <c r="I18" s="439">
        <f>InputSummary!I239</f>
        <v>0.6</v>
      </c>
      <c r="AJ18" s="92"/>
      <c r="AK18" s="92"/>
      <c r="AL18" s="92"/>
      <c r="AM18" s="92"/>
      <c r="AN18" s="92"/>
      <c r="AO18" s="92"/>
      <c r="AP18" s="92"/>
      <c r="AQ18" s="215"/>
      <c r="AR18" s="92"/>
      <c r="AS18" s="92"/>
      <c r="AT18" s="92"/>
      <c r="AU18" s="92"/>
      <c r="AV18" s="92"/>
    </row>
    <row r="19" spans="1:49" s="82" customFormat="1" ht="16.5">
      <c r="C19" s="194"/>
      <c r="D19" s="194"/>
      <c r="E19" s="56" t="s">
        <v>1155</v>
      </c>
      <c r="F19" s="194"/>
      <c r="G19" s="2" t="s">
        <v>105</v>
      </c>
      <c r="H19" s="21" t="s">
        <v>1156</v>
      </c>
      <c r="I19" s="440">
        <f>I17 * (1 - I18)</f>
        <v>3186.0478168418163</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5">
      <c r="E20" s="2"/>
      <c r="G20" s="2"/>
      <c r="AJ20" s="92"/>
      <c r="AK20" s="92"/>
      <c r="AL20" s="92"/>
      <c r="AM20" s="92"/>
      <c r="AN20" s="92"/>
      <c r="AO20" s="92"/>
      <c r="AP20" s="92"/>
      <c r="AQ20" s="215"/>
      <c r="AR20" s="92"/>
      <c r="AS20" s="92"/>
      <c r="AT20" s="92"/>
      <c r="AU20" s="92"/>
      <c r="AV20" s="92"/>
    </row>
    <row r="21" spans="1:49" s="21" customFormat="1" ht="15">
      <c r="C21" s="28" t="s">
        <v>1157</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5">
      <c r="E22" s="346"/>
      <c r="G22" s="2"/>
      <c r="AJ22" s="92"/>
      <c r="AK22" s="92"/>
      <c r="AL22" s="92"/>
      <c r="AM22" s="92"/>
      <c r="AN22" s="92"/>
      <c r="AO22" s="92"/>
      <c r="AP22" s="92"/>
      <c r="AQ22" s="215"/>
      <c r="AR22" s="92"/>
      <c r="AS22" s="92"/>
      <c r="AT22" s="92"/>
      <c r="AU22" s="92"/>
      <c r="AV22" s="92"/>
    </row>
    <row r="23" spans="1:49" s="82" customFormat="1" ht="15">
      <c r="E23" s="56" t="s">
        <v>1158</v>
      </c>
      <c r="G23" s="2" t="s">
        <v>105</v>
      </c>
      <c r="AJ23" s="92"/>
      <c r="AK23" s="92"/>
      <c r="AL23" s="92"/>
      <c r="AM23" s="92"/>
      <c r="AN23" s="92"/>
      <c r="AO23" s="92"/>
      <c r="AP23" s="92"/>
      <c r="AQ23" s="215"/>
      <c r="AR23" s="8">
        <f>-(TIM!AR15 * (1 - TIM!AR17) + TIM!AR28 * (1 - TIM!AR30))</f>
        <v>25.767018314472356</v>
      </c>
      <c r="AS23" s="8">
        <f>-(TIM!AS15 * (1 - TIM!AS17) + TIM!AS28 * (1 - TIM!AS30))</f>
        <v>1.0969172593970231</v>
      </c>
      <c r="AT23" s="8">
        <f>-(TIM!AT15 * (1 - TIM!AT17) + TIM!AT28 * (1 - TIM!AT30))</f>
        <v>-9.6067795000334097</v>
      </c>
      <c r="AU23" s="8">
        <f>-(TIM!AU15 * (1 - TIM!AU17) + TIM!AU28 * (1 - TIM!AU30))</f>
        <v>-8.7667323445251952</v>
      </c>
      <c r="AV23" s="8">
        <f>-(TIM!AV15 * (1 - TIM!AV17) + TIM!AV28 * (1 - TIM!AV30))</f>
        <v>-2.5232447184286291</v>
      </c>
    </row>
    <row r="24" spans="1:49" s="82" customFormat="1" ht="15">
      <c r="E24" s="56" t="s">
        <v>1159</v>
      </c>
      <c r="G24" s="2" t="s">
        <v>105</v>
      </c>
      <c r="AJ24" s="92"/>
      <c r="AK24" s="92"/>
      <c r="AL24" s="92"/>
      <c r="AM24" s="92"/>
      <c r="AO24" s="437"/>
      <c r="AP24" s="92"/>
      <c r="AQ24" s="215"/>
      <c r="AR24" s="8">
        <f>Revenue!AR16</f>
        <v>-3.4585751317747073</v>
      </c>
      <c r="AS24" s="8">
        <f>Revenue!AS16</f>
        <v>-3.1117431866993988</v>
      </c>
      <c r="AT24" s="8">
        <f>Revenue!AT16</f>
        <v>-9.8084695945250377E-2</v>
      </c>
      <c r="AU24" s="8">
        <f>Revenue!AU16</f>
        <v>0.56827265052088982</v>
      </c>
      <c r="AV24" s="8">
        <f>Revenue!AV16</f>
        <v>1.3606014409248606</v>
      </c>
    </row>
    <row r="25" spans="1:49" s="82" customFormat="1" ht="15">
      <c r="E25" s="56" t="s">
        <v>1157</v>
      </c>
      <c r="G25" s="2" t="s">
        <v>105</v>
      </c>
      <c r="I25" s="393"/>
      <c r="AJ25" s="92"/>
      <c r="AK25" s="92"/>
      <c r="AL25" s="92"/>
      <c r="AM25" s="92"/>
      <c r="AN25" s="144"/>
      <c r="AO25" s="437"/>
      <c r="AP25" s="92"/>
      <c r="AQ25" s="215"/>
      <c r="AR25" s="447">
        <f>SUM(AR23:AR24)</f>
        <v>22.308443182697648</v>
      </c>
      <c r="AS25" s="431">
        <f t="shared" ref="AS25:AV25" si="1">SUM(AS23:AS24)</f>
        <v>-2.0148259273023754</v>
      </c>
      <c r="AT25" s="431">
        <f t="shared" si="1"/>
        <v>-9.7048641959786597</v>
      </c>
      <c r="AU25" s="431">
        <f t="shared" si="1"/>
        <v>-8.1984596940043062</v>
      </c>
      <c r="AV25" s="431">
        <f t="shared" si="1"/>
        <v>-1.1626432775037685</v>
      </c>
    </row>
    <row r="26" spans="1:49" s="82" customFormat="1" ht="15">
      <c r="E26" s="56"/>
      <c r="AJ26" s="92"/>
      <c r="AK26" s="92"/>
      <c r="AL26" s="92"/>
      <c r="AM26" s="92"/>
      <c r="AN26" s="250"/>
      <c r="AO26" s="400"/>
      <c r="AP26" s="92"/>
      <c r="AQ26" s="215"/>
      <c r="AR26" s="92"/>
      <c r="AS26" s="92"/>
      <c r="AT26" s="92"/>
      <c r="AU26" s="92"/>
      <c r="AV26" s="92"/>
    </row>
    <row r="27" spans="1:49" s="82" customFormat="1" ht="15">
      <c r="E27" s="56" t="s">
        <v>1160</v>
      </c>
      <c r="F27"/>
      <c r="G27" s="2" t="s">
        <v>249</v>
      </c>
      <c r="H27" s="82" t="s">
        <v>1161</v>
      </c>
      <c r="I27" s="289">
        <f>SUM(AR25:AV25)/SUM(AR15:AV15)</f>
        <v>3.8532067265878369E-4</v>
      </c>
      <c r="AJ27" s="92"/>
      <c r="AK27" s="92"/>
      <c r="AL27" s="92"/>
      <c r="AM27" s="92"/>
      <c r="AN27" s="436"/>
      <c r="AO27" s="400"/>
      <c r="AP27" s="92"/>
      <c r="AQ27" s="215"/>
      <c r="AR27" s="92"/>
      <c r="AS27" s="92"/>
      <c r="AT27" s="92"/>
      <c r="AU27" s="92"/>
      <c r="AV27" s="92"/>
    </row>
    <row r="28" spans="1:49" s="82" customFormat="1" ht="15">
      <c r="E28" s="56"/>
      <c r="F28"/>
      <c r="G28" s="2"/>
      <c r="AJ28" s="92"/>
      <c r="AK28" s="92"/>
      <c r="AL28" s="92"/>
      <c r="AM28" s="92"/>
      <c r="AN28" s="92"/>
      <c r="AO28" s="437"/>
      <c r="AP28" s="92"/>
      <c r="AQ28" s="215"/>
      <c r="AR28" s="92"/>
      <c r="AS28" s="92"/>
      <c r="AT28" s="92"/>
      <c r="AU28" s="92"/>
      <c r="AV28" s="92"/>
    </row>
    <row r="29" spans="1:49" s="82" customFormat="1" ht="15">
      <c r="A29" s="21"/>
      <c r="B29" s="21"/>
      <c r="C29" s="28" t="s">
        <v>1162</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5">
      <c r="E30" s="56"/>
      <c r="F30"/>
      <c r="G30" s="2"/>
      <c r="AJ30" s="92"/>
      <c r="AK30" s="92"/>
      <c r="AL30" s="92"/>
      <c r="AM30" s="92"/>
      <c r="AN30" s="92"/>
      <c r="AO30" s="437"/>
      <c r="AP30" s="92"/>
      <c r="AQ30" s="215"/>
      <c r="AR30" s="92"/>
      <c r="AS30" s="92"/>
      <c r="AT30" s="92"/>
      <c r="AU30" s="92"/>
      <c r="AV30" s="92"/>
    </row>
    <row r="31" spans="1:49" s="82" customFormat="1" ht="15">
      <c r="D31" s="351" t="s">
        <v>1163</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5">
      <c r="E32" s="56"/>
      <c r="G32" s="2"/>
      <c r="AJ32" s="92"/>
      <c r="AK32" s="92"/>
      <c r="AL32" s="92"/>
      <c r="AM32" s="92"/>
      <c r="AN32" s="92"/>
      <c r="AO32" s="437"/>
      <c r="AP32" s="92"/>
      <c r="AQ32" s="215"/>
      <c r="AR32" s="92"/>
      <c r="AS32" s="92"/>
      <c r="AT32" s="92"/>
      <c r="AU32" s="92"/>
      <c r="AV32" s="92"/>
    </row>
    <row r="33" spans="2:52" s="82" customFormat="1" ht="15">
      <c r="E33" s="56" t="s">
        <v>291</v>
      </c>
      <c r="G33" s="2" t="s">
        <v>249</v>
      </c>
      <c r="H33" s="82" t="s">
        <v>292</v>
      </c>
      <c r="I33" s="439">
        <f>InputSummary!I240</f>
        <v>0.03</v>
      </c>
      <c r="AJ33" s="92"/>
      <c r="AK33" s="92"/>
      <c r="AL33" s="92"/>
      <c r="AM33" s="92"/>
      <c r="AN33" s="92"/>
      <c r="AO33" s="437"/>
      <c r="AP33" s="92"/>
      <c r="AQ33" s="215"/>
      <c r="AR33" s="92"/>
      <c r="AS33" s="92"/>
      <c r="AT33" s="92"/>
      <c r="AU33" s="92"/>
      <c r="AV33" s="92"/>
    </row>
    <row r="34" spans="2:52" s="82" customFormat="1" ht="15">
      <c r="E34" s="56" t="s">
        <v>293</v>
      </c>
      <c r="G34" s="2" t="s">
        <v>249</v>
      </c>
      <c r="H34" s="82" t="s">
        <v>294</v>
      </c>
      <c r="I34" s="439">
        <f>InputSummary!I241</f>
        <v>0.04</v>
      </c>
      <c r="AJ34" s="92"/>
      <c r="AK34" s="92"/>
      <c r="AL34" s="92"/>
      <c r="AM34" s="92"/>
      <c r="AN34" s="92"/>
      <c r="AO34" s="437"/>
      <c r="AP34" s="92"/>
      <c r="AQ34" s="215"/>
      <c r="AR34" s="92"/>
      <c r="AS34" s="92"/>
      <c r="AT34" s="92"/>
      <c r="AU34" s="92"/>
      <c r="AV34" s="92"/>
    </row>
    <row r="35" spans="2:52" s="82" customFormat="1" ht="15">
      <c r="E35" s="56" t="s">
        <v>295</v>
      </c>
      <c r="G35" s="2" t="s">
        <v>209</v>
      </c>
      <c r="H35" s="82" t="s">
        <v>296</v>
      </c>
      <c r="I35" s="439">
        <f>InputSummary!I242</f>
        <v>0.5</v>
      </c>
      <c r="AJ35" s="92"/>
      <c r="AK35" s="92"/>
      <c r="AL35" s="92"/>
      <c r="AM35" s="92"/>
      <c r="AN35" s="92"/>
      <c r="AO35" s="437"/>
      <c r="AP35" s="92"/>
      <c r="AQ35" s="215"/>
      <c r="AR35" s="92"/>
      <c r="AS35" s="92"/>
      <c r="AT35" s="92"/>
      <c r="AU35" s="92"/>
      <c r="AV35" s="92"/>
    </row>
    <row r="36" spans="2:52" s="82" customFormat="1" ht="15">
      <c r="E36" s="56" t="s">
        <v>297</v>
      </c>
      <c r="G36" s="2" t="s">
        <v>209</v>
      </c>
      <c r="H36" s="82" t="s">
        <v>298</v>
      </c>
      <c r="I36" s="439">
        <f>InputSummary!I243</f>
        <v>0.9</v>
      </c>
      <c r="AJ36" s="92"/>
      <c r="AK36" s="92"/>
      <c r="AL36" s="92"/>
      <c r="AM36" s="92"/>
      <c r="AN36" s="92"/>
      <c r="AO36" s="437"/>
      <c r="AP36" s="92"/>
      <c r="AQ36" s="215"/>
      <c r="AR36" s="92"/>
      <c r="AS36" s="92"/>
      <c r="AT36" s="92"/>
      <c r="AU36" s="92"/>
      <c r="AV36" s="92"/>
    </row>
    <row r="37" spans="2:52" s="82" customFormat="1" ht="15">
      <c r="E37" s="56"/>
      <c r="G37" s="2"/>
      <c r="AJ37" s="92"/>
      <c r="AK37" s="92"/>
      <c r="AL37" s="92"/>
      <c r="AM37" s="92"/>
      <c r="AN37" s="92"/>
      <c r="AO37" s="437"/>
      <c r="AP37" s="92"/>
      <c r="AQ37" s="215"/>
      <c r="AR37" s="92"/>
      <c r="AS37" s="92"/>
      <c r="AT37" s="92"/>
      <c r="AU37" s="92"/>
      <c r="AV37" s="92"/>
    </row>
    <row r="38" spans="2:52" s="2" customFormat="1" ht="15" customHeight="1">
      <c r="C38" s="55"/>
      <c r="D38" s="97" t="s">
        <v>1164</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5">
      <c r="E39" s="56"/>
      <c r="G39" s="2"/>
      <c r="AJ39" s="92"/>
      <c r="AK39" s="92"/>
      <c r="AL39" s="92"/>
      <c r="AM39" s="92"/>
      <c r="AN39" s="92"/>
      <c r="AO39" s="92"/>
      <c r="AP39" s="92"/>
      <c r="AQ39" s="215"/>
      <c r="AR39" s="92"/>
      <c r="AS39" s="92"/>
      <c r="AT39" s="92"/>
      <c r="AU39" s="92"/>
      <c r="AV39" s="92"/>
    </row>
    <row r="40" spans="2:52" s="82" customFormat="1" ht="15">
      <c r="E40" s="56" t="s">
        <v>1165</v>
      </c>
      <c r="G40" s="2" t="s">
        <v>865</v>
      </c>
      <c r="I40" s="82" t="b">
        <f>I27 &gt;= 0</f>
        <v>1</v>
      </c>
      <c r="AJ40" s="92"/>
      <c r="AK40" s="92"/>
      <c r="AL40" s="92"/>
      <c r="AM40" s="92"/>
      <c r="AN40" s="92"/>
      <c r="AO40" s="92"/>
      <c r="AP40" s="92"/>
      <c r="AQ40" s="215"/>
      <c r="AR40" s="92"/>
      <c r="AS40" s="92"/>
      <c r="AT40" s="92"/>
      <c r="AU40" s="92"/>
      <c r="AV40" s="92"/>
    </row>
    <row r="41" spans="2:52" s="82" customFormat="1" ht="15">
      <c r="E41" s="56"/>
      <c r="G41" s="2"/>
      <c r="AJ41" s="92"/>
      <c r="AK41" s="92"/>
      <c r="AL41" s="92"/>
      <c r="AM41" s="92"/>
      <c r="AN41" s="92"/>
      <c r="AO41" s="92"/>
      <c r="AP41" s="92"/>
      <c r="AQ41" s="215"/>
      <c r="AR41" s="92"/>
      <c r="AS41" s="92"/>
      <c r="AT41" s="92"/>
      <c r="AU41" s="92"/>
      <c r="AV41" s="92"/>
    </row>
    <row r="42" spans="2:52" s="82" customFormat="1" ht="15">
      <c r="E42" s="2" t="s">
        <v>1166</v>
      </c>
      <c r="G42" s="2" t="s">
        <v>209</v>
      </c>
      <c r="I42" s="311">
        <f>I40 * MAX( MIN( I27, I34) - I33, 0) * I35</f>
        <v>0</v>
      </c>
      <c r="AJ42" s="92"/>
      <c r="AK42" s="92"/>
      <c r="AL42" s="92"/>
      <c r="AM42" s="92"/>
      <c r="AN42" s="92"/>
      <c r="AO42" s="92"/>
      <c r="AP42" s="92"/>
      <c r="AQ42" s="215"/>
      <c r="AR42" s="92"/>
      <c r="AS42" s="92"/>
      <c r="AT42" s="92"/>
      <c r="AU42" s="92"/>
      <c r="AV42" s="92"/>
    </row>
    <row r="43" spans="2:52" s="82" customFormat="1" ht="15">
      <c r="E43" s="2" t="s">
        <v>1167</v>
      </c>
      <c r="G43" s="2" t="s">
        <v>209</v>
      </c>
      <c r="I43" s="311">
        <f>I40 * MAX( I27 - I34, 0) * I36</f>
        <v>0</v>
      </c>
      <c r="AJ43" s="92"/>
      <c r="AK43" s="92"/>
      <c r="AL43" s="92"/>
      <c r="AM43" s="92"/>
      <c r="AN43" s="92"/>
      <c r="AO43" s="92"/>
      <c r="AP43" s="92"/>
      <c r="AQ43" s="215"/>
      <c r="AR43" s="92"/>
      <c r="AS43" s="92"/>
      <c r="AT43" s="92"/>
      <c r="AU43" s="92"/>
      <c r="AV43" s="92"/>
    </row>
    <row r="44" spans="2:52" s="82" customFormat="1" ht="15">
      <c r="E44" s="2"/>
      <c r="G44" s="2"/>
      <c r="AJ44" s="92"/>
      <c r="AK44" s="92"/>
      <c r="AL44" s="92"/>
      <c r="AM44" s="92"/>
      <c r="AN44" s="92"/>
      <c r="AO44" s="92"/>
      <c r="AP44" s="92"/>
      <c r="AQ44" s="215"/>
      <c r="AR44" s="92"/>
      <c r="AS44" s="92"/>
      <c r="AT44" s="92"/>
      <c r="AU44" s="92"/>
      <c r="AV44" s="92"/>
    </row>
    <row r="45" spans="2:52" s="82" customFormat="1" ht="15">
      <c r="E45" s="2" t="s">
        <v>1164</v>
      </c>
      <c r="G45" s="2" t="s">
        <v>105</v>
      </c>
      <c r="I45" s="446">
        <f>I19 * (-I42 -I43)</f>
        <v>0</v>
      </c>
      <c r="AJ45" s="92"/>
      <c r="AK45" s="92"/>
      <c r="AL45" s="92"/>
      <c r="AM45" s="92"/>
      <c r="AN45" s="92"/>
      <c r="AO45" s="92"/>
      <c r="AP45" s="92"/>
      <c r="AQ45" s="215"/>
      <c r="AR45" s="92"/>
      <c r="AS45" s="92"/>
      <c r="AT45" s="92"/>
      <c r="AU45" s="92"/>
      <c r="AV45" s="92"/>
    </row>
    <row r="46" spans="2:52" s="21" customFormat="1" ht="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1168</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5">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5">
      <c r="B49" s="34"/>
      <c r="C49" s="34"/>
      <c r="D49" s="34"/>
      <c r="E49" s="35" t="s">
        <v>1169</v>
      </c>
      <c r="F49" s="35"/>
      <c r="G49" s="21" t="s">
        <v>865</v>
      </c>
      <c r="H49" s="35"/>
      <c r="I49" s="35" t="b">
        <f>I27 &lt; 0</f>
        <v>0</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5">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5">
      <c r="B51" s="34"/>
      <c r="C51" s="34"/>
      <c r="D51" s="34"/>
      <c r="E51" s="35" t="s">
        <v>1170</v>
      </c>
      <c r="F51" s="35"/>
      <c r="G51" s="21" t="s">
        <v>209</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5">
      <c r="B52" s="34"/>
      <c r="C52" s="34"/>
      <c r="D52" s="34"/>
      <c r="E52" s="35" t="s">
        <v>1171</v>
      </c>
      <c r="F52" s="35"/>
      <c r="G52" s="21" t="s">
        <v>209</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5">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5">
      <c r="B54" s="34"/>
      <c r="C54" s="34"/>
      <c r="D54" s="34"/>
      <c r="E54" s="35" t="s">
        <v>1168</v>
      </c>
      <c r="F54" s="35"/>
      <c r="G54" s="2" t="s">
        <v>105</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5">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1172</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5">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5">
      <c r="B60" s="34"/>
      <c r="C60" s="34"/>
      <c r="D60" s="34"/>
      <c r="E60" s="35" t="s">
        <v>1175</v>
      </c>
      <c r="F60" s="35"/>
      <c r="G60" s="2" t="s">
        <v>105</v>
      </c>
      <c r="H60" s="35" t="s">
        <v>1176</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5">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5">
      <c r="B62" s="34"/>
      <c r="C62" s="34"/>
      <c r="D62" s="34"/>
      <c r="E62" s="35" t="s">
        <v>1177</v>
      </c>
      <c r="F62" s="35"/>
      <c r="G62" s="2" t="s">
        <v>209</v>
      </c>
      <c r="H62" s="35" t="s">
        <v>1178</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0.18484149438262995</v>
      </c>
      <c r="AS62" s="439">
        <f t="shared" ref="AS62:AV62" si="2">AS15/$I$19</f>
        <v>0.19044018794096454</v>
      </c>
      <c r="AT62" s="439">
        <f t="shared" si="2"/>
        <v>0.19880163455823016</v>
      </c>
      <c r="AU62" s="439">
        <f t="shared" si="2"/>
        <v>0.2080839846379989</v>
      </c>
      <c r="AV62" s="439">
        <f t="shared" si="2"/>
        <v>0.21783269848017645</v>
      </c>
      <c r="AW62" s="34"/>
      <c r="AX62"/>
      <c r="AY62"/>
      <c r="AZ62"/>
    </row>
    <row r="63" spans="2:52" s="21" customFormat="1" ht="15">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5">
      <c r="B64" s="34"/>
      <c r="C64" s="34"/>
      <c r="D64" s="34"/>
      <c r="E64" s="35" t="s">
        <v>1179</v>
      </c>
      <c r="F64" s="35"/>
      <c r="G64" s="2" t="s">
        <v>105</v>
      </c>
      <c r="H64" s="35" t="s">
        <v>1180</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5">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5">
      <c r="B66" s="37" t="s">
        <v>1181</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5">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5">
      <c r="B68" s="34"/>
      <c r="C68" s="34"/>
      <c r="D68" s="34"/>
      <c r="E68" s="35" t="s">
        <v>1157</v>
      </c>
      <c r="F68" s="35"/>
      <c r="G68" s="2" t="s">
        <v>105</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22.308443182697648</v>
      </c>
      <c r="AS68" s="7">
        <f t="shared" ref="AS68:AV68" si="4">AS25</f>
        <v>-2.0148259273023754</v>
      </c>
      <c r="AT68" s="7">
        <f t="shared" si="4"/>
        <v>-9.7048641959786597</v>
      </c>
      <c r="AU68" s="7">
        <f t="shared" si="4"/>
        <v>-8.1984596940043062</v>
      </c>
      <c r="AV68" s="7">
        <f t="shared" si="4"/>
        <v>-1.1626432775037685</v>
      </c>
      <c r="AW68" s="34"/>
      <c r="AX68"/>
      <c r="AY68"/>
      <c r="AZ68"/>
    </row>
    <row r="69" spans="1:52" s="21" customFormat="1" ht="15">
      <c r="B69" s="34"/>
      <c r="C69" s="34"/>
      <c r="D69" s="34"/>
      <c r="E69" s="35" t="s">
        <v>1179</v>
      </c>
      <c r="F69" s="35"/>
      <c r="G69" s="2" t="s">
        <v>105</v>
      </c>
      <c r="H69" s="35" t="s">
        <v>1180</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5">
      <c r="B70" s="34"/>
      <c r="C70" s="34"/>
      <c r="D70" s="34"/>
      <c r="E70" s="35" t="s">
        <v>1182</v>
      </c>
      <c r="F70" s="35"/>
      <c r="G70" s="2" t="s">
        <v>105</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22.308443182697648</v>
      </c>
      <c r="AS70" s="431">
        <f t="shared" ref="AS70:AV70" si="6">SUM(AS68:AS69)</f>
        <v>-2.0148259273023754</v>
      </c>
      <c r="AT70" s="431">
        <f t="shared" si="6"/>
        <v>-9.7048641959786597</v>
      </c>
      <c r="AU70" s="431">
        <f t="shared" si="6"/>
        <v>-8.1984596940043062</v>
      </c>
      <c r="AV70" s="431">
        <f t="shared" si="6"/>
        <v>-1.1626432775037685</v>
      </c>
      <c r="AW70" s="34"/>
      <c r="AX70"/>
      <c r="AY70"/>
      <c r="AZ70"/>
    </row>
    <row r="71" spans="1:52" s="21" customFormat="1" ht="15">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5">
      <c r="B72" s="34"/>
      <c r="C72" s="34"/>
      <c r="D72" s="34"/>
      <c r="E72" s="35" t="s">
        <v>1160</v>
      </c>
      <c r="F72" s="35"/>
      <c r="G72" s="21" t="s">
        <v>1183</v>
      </c>
      <c r="H72" s="35"/>
      <c r="I72" s="450">
        <f>SUM(AR68:AV68) / I19</f>
        <v>3.8532067265878369E-4</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5">
      <c r="B73" s="34"/>
      <c r="C73" s="34"/>
      <c r="D73" s="34"/>
      <c r="E73" s="35" t="s">
        <v>1175</v>
      </c>
      <c r="F73" s="35"/>
      <c r="G73" s="21" t="s">
        <v>1183</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5">
      <c r="B74" s="34"/>
      <c r="C74" s="34"/>
      <c r="D74" s="34"/>
      <c r="E74" s="35" t="s">
        <v>1184</v>
      </c>
      <c r="F74" s="35"/>
      <c r="G74" s="21" t="s">
        <v>1183</v>
      </c>
      <c r="H74" s="35"/>
      <c r="I74" s="451">
        <f>SUM(I72:I73)</f>
        <v>3.8532067265878369E-4</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5">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5">
      <c r="A76" s="21"/>
      <c r="B76" s="37" t="s">
        <v>79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row r="78" spans="1:52"/>
  </sheetData>
  <conditionalFormatting sqref="AM2">
    <cfRule type="expression" dxfId="59" priority="1">
      <formula>mac_sensitivity=2</formula>
    </cfRule>
    <cfRule type="expression" dxfId="58" priority="2">
      <formula>mac_sensitivity=1</formula>
    </cfRule>
  </conditionalFormatting>
  <conditionalFormatting sqref="AM3">
    <cfRule type="expression" dxfId="5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1.875" customWidth="1"/>
    <col min="7" max="7" width="12" customWidth="1"/>
    <col min="8" max="8" width="2" customWidth="1"/>
    <col min="9" max="9" width="10.5" customWidth="1"/>
    <col min="10" max="10" width="1.5" customWidth="1" collapsed="1"/>
    <col min="11" max="35" width="9.625" hidden="1" customWidth="1" outlineLevel="1"/>
    <col min="36" max="48" width="9.625" customWidth="1"/>
    <col min="49" max="49" width="6" customWidth="1"/>
    <col min="50" max="52" width="9" hidden="1" customWidth="1"/>
    <col min="53" max="99" width="0" hidden="1" customWidth="1"/>
    <col min="100" max="16384" width="9" hidden="1"/>
  </cols>
  <sheetData>
    <row r="1" spans="1:52" ht="19.5">
      <c r="A1" s="195" t="s">
        <v>67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52"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472"/>
      <c r="AS3" s="472"/>
      <c r="AT3" s="472"/>
      <c r="AU3" s="472"/>
      <c r="AV3" s="181"/>
      <c r="AW3" s="181"/>
    </row>
    <row r="4" spans="1:5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5">
      <c r="B6" s="37" t="s">
        <v>531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5">
      <c r="A8" s="2"/>
      <c r="B8" s="2"/>
      <c r="C8" s="2"/>
      <c r="D8" s="2"/>
      <c r="E8" s="21" t="s">
        <v>1185</v>
      </c>
      <c r="F8" s="21"/>
      <c r="G8" s="2" t="s">
        <v>105</v>
      </c>
      <c r="H8" s="288"/>
      <c r="I8" s="2" t="s">
        <v>1186</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49.439635603217575</v>
      </c>
      <c r="AS8" s="8">
        <f>TIM!AS66</f>
        <v>60.527611238926525</v>
      </c>
      <c r="AT8" s="8">
        <f>TIM!AT66</f>
        <v>61.35857216085239</v>
      </c>
      <c r="AU8" s="8">
        <f>TIM!AU66</f>
        <v>64.204489719015427</v>
      </c>
      <c r="AV8" s="8">
        <f>TIM!AV66</f>
        <v>62.699782731283634</v>
      </c>
    </row>
    <row r="9" spans="1:52" ht="15">
      <c r="E9" s="7" t="s">
        <v>932</v>
      </c>
      <c r="F9" s="7"/>
      <c r="G9" s="2" t="s">
        <v>105</v>
      </c>
      <c r="H9" s="288"/>
      <c r="I9" s="2" t="s">
        <v>1187</v>
      </c>
      <c r="AJ9" s="8"/>
      <c r="AK9" s="8"/>
      <c r="AL9" s="8"/>
      <c r="AM9" s="8"/>
      <c r="AN9" s="8"/>
      <c r="AO9" s="8"/>
      <c r="AP9" s="8"/>
      <c r="AQ9" s="435"/>
      <c r="AR9" s="8">
        <f>-'Return&amp;RAV'!AR45</f>
        <v>111.44039133920448</v>
      </c>
      <c r="AS9" s="8">
        <f>-'Return&amp;RAV'!AS45</f>
        <v>109.70207363013095</v>
      </c>
      <c r="AT9" s="8">
        <f>-'Return&amp;RAV'!AT45</f>
        <v>109.01155879895549</v>
      </c>
      <c r="AU9" s="8">
        <f>-'Return&amp;RAV'!AU45</f>
        <v>107.61468290675388</v>
      </c>
      <c r="AV9" s="8">
        <f>-'Return&amp;RAV'!AV45</f>
        <v>106.15672245506136</v>
      </c>
    </row>
    <row r="10" spans="1:52" ht="15">
      <c r="E10" s="7" t="s">
        <v>527</v>
      </c>
      <c r="F10" s="7"/>
      <c r="G10" s="2" t="s">
        <v>105</v>
      </c>
      <c r="H10" s="288"/>
      <c r="I10" s="2" t="s">
        <v>1188</v>
      </c>
      <c r="AJ10" s="8"/>
      <c r="AK10" s="8"/>
      <c r="AL10" s="8"/>
      <c r="AM10" s="8"/>
      <c r="AN10" s="8"/>
      <c r="AO10" s="8"/>
      <c r="AP10" s="8"/>
      <c r="AQ10" s="435"/>
      <c r="AR10" s="8">
        <f>'Return&amp;RAV'!AR30</f>
        <v>58.49913436758073</v>
      </c>
      <c r="AS10" s="8">
        <f>'Return&amp;RAV'!AS30</f>
        <v>62.753556436754913</v>
      </c>
      <c r="AT10" s="8">
        <f>'Return&amp;RAV'!AT30</f>
        <v>64.812037469435367</v>
      </c>
      <c r="AU10" s="8">
        <f>'Return&amp;RAV'!AU30</f>
        <v>68.142273048820869</v>
      </c>
      <c r="AV10" s="8">
        <f>'Return&amp;RAV'!AV30</f>
        <v>71.468756348976086</v>
      </c>
    </row>
    <row r="11" spans="1:52" ht="15">
      <c r="E11" s="7" t="s">
        <v>748</v>
      </c>
      <c r="F11" s="21"/>
      <c r="G11" s="2" t="s">
        <v>105</v>
      </c>
      <c r="H11" s="288"/>
      <c r="I11" s="2" t="s">
        <v>1189</v>
      </c>
      <c r="AJ11" s="8"/>
      <c r="AK11" s="8"/>
      <c r="AL11" s="8"/>
      <c r="AM11" s="8"/>
      <c r="AN11" s="8"/>
      <c r="AO11" s="8"/>
      <c r="AP11" s="8"/>
      <c r="AQ11" s="435"/>
      <c r="AR11" s="8">
        <f>InputSummary!AR97</f>
        <v>47.929374806055144</v>
      </c>
      <c r="AS11" s="8">
        <f>InputSummary!AS97</f>
        <v>5.6028198525613249E-2</v>
      </c>
      <c r="AT11" s="8">
        <f>InputSummary!AT97</f>
        <v>31.240839945274683</v>
      </c>
      <c r="AU11" s="8">
        <f>InputSummary!AU97</f>
        <v>36.492131115479992</v>
      </c>
      <c r="AV11" s="8">
        <f>InputSummary!AV97</f>
        <v>37.744187844163946</v>
      </c>
    </row>
    <row r="12" spans="1:52" ht="15">
      <c r="E12" s="133" t="s">
        <v>1190</v>
      </c>
      <c r="F12" s="21"/>
      <c r="G12" s="180" t="s">
        <v>105</v>
      </c>
      <c r="H12" s="288"/>
      <c r="I12" s="2"/>
      <c r="AJ12" s="539"/>
      <c r="AK12" s="539"/>
      <c r="AL12" s="539"/>
      <c r="AM12" s="539"/>
      <c r="AN12" s="539"/>
      <c r="AO12" s="539"/>
      <c r="AP12" s="539"/>
      <c r="AQ12" s="540"/>
      <c r="AR12" s="539">
        <f t="shared" ref="AR12:AV12" si="0">SUM(AR8:AR11)</f>
        <v>267.30853611605795</v>
      </c>
      <c r="AS12" s="539">
        <f t="shared" si="0"/>
        <v>233.03926950433799</v>
      </c>
      <c r="AT12" s="539">
        <f t="shared" si="0"/>
        <v>266.42300837451791</v>
      </c>
      <c r="AU12" s="539">
        <f t="shared" si="0"/>
        <v>276.4535767900702</v>
      </c>
      <c r="AV12" s="539">
        <f t="shared" si="0"/>
        <v>278.06944937948504</v>
      </c>
    </row>
    <row r="13" spans="1:52" ht="15">
      <c r="E13" s="21" t="s">
        <v>1191</v>
      </c>
      <c r="F13" s="21"/>
      <c r="G13" s="2" t="s">
        <v>105</v>
      </c>
      <c r="H13" s="288"/>
      <c r="I13" s="2" t="s">
        <v>1192</v>
      </c>
      <c r="AJ13" s="8"/>
      <c r="AK13" s="8"/>
      <c r="AL13" s="8"/>
      <c r="AM13" s="8"/>
      <c r="AN13" s="8"/>
      <c r="AO13" s="8"/>
      <c r="AP13" s="8"/>
      <c r="AQ13" s="435"/>
      <c r="AR13" s="8">
        <v>0</v>
      </c>
      <c r="AS13" s="8">
        <v>0</v>
      </c>
      <c r="AT13" s="8">
        <v>0</v>
      </c>
      <c r="AU13" s="8">
        <v>0</v>
      </c>
      <c r="AV13" s="8">
        <v>0</v>
      </c>
    </row>
    <row r="14" spans="1:52" ht="15">
      <c r="E14" s="21" t="s">
        <v>264</v>
      </c>
      <c r="F14" s="21"/>
      <c r="G14" s="2" t="s">
        <v>105</v>
      </c>
      <c r="H14" s="288"/>
      <c r="I14" s="2" t="s">
        <v>1193</v>
      </c>
      <c r="AJ14" s="8"/>
      <c r="AK14" s="8"/>
      <c r="AL14" s="8"/>
      <c r="AM14" s="8"/>
      <c r="AN14" s="8"/>
      <c r="AO14" s="8"/>
      <c r="AP14" s="8"/>
      <c r="AQ14" s="435"/>
      <c r="AR14" s="8">
        <f>'Finance&amp;Tax'!AR185</f>
        <v>3.4647055301925747</v>
      </c>
      <c r="AS14" s="8">
        <f>'Finance&amp;Tax'!AS185</f>
        <v>0</v>
      </c>
      <c r="AT14" s="8">
        <f>'Finance&amp;Tax'!AT185</f>
        <v>0</v>
      </c>
      <c r="AU14" s="8">
        <f>'Finance&amp;Tax'!AU185</f>
        <v>0</v>
      </c>
      <c r="AV14" s="8">
        <f>'Finance&amp;Tax'!AV185</f>
        <v>0</v>
      </c>
    </row>
    <row r="15" spans="1:52" ht="15">
      <c r="E15" s="7" t="s">
        <v>1194</v>
      </c>
      <c r="F15" s="21"/>
      <c r="G15" s="2" t="s">
        <v>105</v>
      </c>
      <c r="H15" s="288"/>
      <c r="I15" s="2" t="s">
        <v>1195</v>
      </c>
      <c r="AJ15" s="8"/>
      <c r="AK15" s="8"/>
      <c r="AL15" s="8"/>
      <c r="AM15" s="8"/>
      <c r="AN15" s="8"/>
      <c r="AO15" s="8"/>
      <c r="AP15" s="8"/>
      <c r="AQ15" s="435"/>
      <c r="AR15" s="8">
        <f>TIM!AR76</f>
        <v>0</v>
      </c>
      <c r="AS15" s="8">
        <f>TIM!AS76</f>
        <v>0</v>
      </c>
      <c r="AT15" s="8">
        <f>TIM!AT76</f>
        <v>0</v>
      </c>
      <c r="AU15" s="8">
        <f>TIM!AU76</f>
        <v>0</v>
      </c>
      <c r="AV15" s="8">
        <f>TIM!AV76</f>
        <v>0</v>
      </c>
    </row>
    <row r="16" spans="1:52" ht="15">
      <c r="E16" s="7" t="s">
        <v>1196</v>
      </c>
      <c r="F16" s="21"/>
      <c r="G16" s="2" t="s">
        <v>105</v>
      </c>
      <c r="H16" s="288"/>
      <c r="I16" s="2" t="s">
        <v>1197</v>
      </c>
      <c r="AJ16" s="8"/>
      <c r="AK16" s="8"/>
      <c r="AL16" s="8"/>
      <c r="AM16" s="8"/>
      <c r="AN16" s="8"/>
      <c r="AO16" s="8"/>
      <c r="AP16" s="8"/>
      <c r="AQ16" s="435"/>
      <c r="AR16" s="8">
        <f>InputSummary!AR111</f>
        <v>-3.4585751317747073</v>
      </c>
      <c r="AS16" s="8">
        <f>InputSummary!AS111</f>
        <v>-3.1117431866993988</v>
      </c>
      <c r="AT16" s="8">
        <f>InputSummary!AT111</f>
        <v>-9.8084695945250377E-2</v>
      </c>
      <c r="AU16" s="8">
        <f>InputSummary!AU111</f>
        <v>0.56827265052088982</v>
      </c>
      <c r="AV16" s="8">
        <f>InputSummary!AV111</f>
        <v>1.3606014409248606</v>
      </c>
    </row>
    <row r="17" spans="1:48" ht="15">
      <c r="E17" s="7" t="s">
        <v>3</v>
      </c>
      <c r="F17" s="21"/>
      <c r="G17" s="2" t="s">
        <v>105</v>
      </c>
      <c r="H17" s="288"/>
      <c r="I17" s="2" t="s">
        <v>1198</v>
      </c>
      <c r="AJ17" s="8"/>
      <c r="AK17" s="8"/>
      <c r="AL17" s="8"/>
      <c r="AM17" s="8"/>
      <c r="AN17" s="8"/>
      <c r="AO17" s="8"/>
      <c r="AP17" s="8"/>
      <c r="AQ17" s="435"/>
      <c r="AR17" s="8">
        <f>InputSummary!AR123</f>
        <v>1.055332405296362</v>
      </c>
      <c r="AS17" s="8">
        <f>InputSummary!AS123</f>
        <v>0.88720701413623226</v>
      </c>
      <c r="AT17" s="8">
        <f>InputSummary!AT123</f>
        <v>0.72841298369148766</v>
      </c>
      <c r="AU17" s="8">
        <f>InputSummary!AU123</f>
        <v>0.51670674705209008</v>
      </c>
      <c r="AV17" s="8">
        <f>InputSummary!AV123</f>
        <v>0.41536293059017515</v>
      </c>
    </row>
    <row r="18" spans="1:48" ht="15">
      <c r="E18" s="7" t="s">
        <v>573</v>
      </c>
      <c r="F18" s="21"/>
      <c r="G18" s="2" t="s">
        <v>105</v>
      </c>
      <c r="H18" s="288"/>
      <c r="I18" s="2" t="s">
        <v>213</v>
      </c>
      <c r="AJ18" s="8"/>
      <c r="AK18" s="8"/>
      <c r="AL18" s="8"/>
      <c r="AM18" s="8"/>
      <c r="AN18" s="8"/>
      <c r="AO18" s="8"/>
      <c r="AP18" s="8"/>
      <c r="AQ18" s="435"/>
      <c r="AR18" s="8">
        <f>InputSummary!AR149</f>
        <v>-4.6778650248327051E-3</v>
      </c>
      <c r="AS18" s="8">
        <f>InputSummary!AS149</f>
        <v>0</v>
      </c>
      <c r="AT18" s="8">
        <f>InputSummary!AT149</f>
        <v>0</v>
      </c>
      <c r="AU18" s="8">
        <f>InputSummary!AU149</f>
        <v>0</v>
      </c>
      <c r="AV18" s="8">
        <f>InputSummary!AV149</f>
        <v>0</v>
      </c>
    </row>
    <row r="19" spans="1:48" ht="15">
      <c r="E19" s="133" t="s">
        <v>1199</v>
      </c>
      <c r="F19" s="21"/>
      <c r="G19" s="180" t="s">
        <v>105</v>
      </c>
      <c r="H19" s="288"/>
      <c r="I19" s="2"/>
      <c r="AJ19" s="541"/>
      <c r="AK19" s="541"/>
      <c r="AL19" s="541"/>
      <c r="AM19" s="541"/>
      <c r="AN19" s="541"/>
      <c r="AO19" s="541"/>
      <c r="AP19" s="541"/>
      <c r="AQ19" s="542"/>
      <c r="AR19" s="541">
        <f t="shared" ref="AR19:AV19" si="1">SUM(AR12:AR18)</f>
        <v>268.36532105474737</v>
      </c>
      <c r="AS19" s="541">
        <f t="shared" si="1"/>
        <v>230.81473333177485</v>
      </c>
      <c r="AT19" s="541">
        <f t="shared" si="1"/>
        <v>267.05333666226414</v>
      </c>
      <c r="AU19" s="541">
        <f t="shared" si="1"/>
        <v>277.53855618764317</v>
      </c>
      <c r="AV19" s="541">
        <f t="shared" si="1"/>
        <v>279.84541375100008</v>
      </c>
    </row>
    <row r="20" spans="1:48" ht="15">
      <c r="E20" s="21" t="s">
        <v>530</v>
      </c>
      <c r="F20" s="21"/>
      <c r="G20" s="2" t="s">
        <v>105</v>
      </c>
      <c r="H20" s="288"/>
      <c r="I20" s="2" t="s">
        <v>1200</v>
      </c>
      <c r="AJ20" s="93"/>
      <c r="AK20" s="93"/>
      <c r="AL20" s="93"/>
      <c r="AM20" s="93"/>
      <c r="AN20" s="93"/>
      <c r="AO20" s="93"/>
      <c r="AP20" s="8"/>
      <c r="AQ20" s="435"/>
      <c r="AR20" s="8">
        <f>'Finance&amp;Tax'!AR240</f>
        <v>17.620369087191808</v>
      </c>
      <c r="AS20" s="8">
        <f>'Finance&amp;Tax'!AS240</f>
        <v>13.157334804971958</v>
      </c>
      <c r="AT20" s="8">
        <f>'Finance&amp;Tax'!AT240</f>
        <v>10.467990963697874</v>
      </c>
      <c r="AU20" s="8">
        <f>'Finance&amp;Tax'!AU240</f>
        <v>14.80465702523828</v>
      </c>
      <c r="AV20" s="8">
        <f>'Finance&amp;Tax'!AV240</f>
        <v>14.716317752987568</v>
      </c>
    </row>
    <row r="21" spans="1:48" ht="15">
      <c r="E21" s="21" t="s">
        <v>326</v>
      </c>
      <c r="F21" s="21"/>
      <c r="G21" s="2" t="s">
        <v>105</v>
      </c>
      <c r="H21" s="288"/>
      <c r="I21" s="2" t="s">
        <v>1201</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5">
      <c r="E22" s="133" t="s">
        <v>1202</v>
      </c>
      <c r="F22" s="21"/>
      <c r="G22" s="180" t="s">
        <v>105</v>
      </c>
      <c r="H22" s="288"/>
      <c r="I22" s="2"/>
      <c r="AJ22" s="541"/>
      <c r="AK22" s="541"/>
      <c r="AL22" s="541"/>
      <c r="AM22" s="541"/>
      <c r="AN22" s="541"/>
      <c r="AO22" s="541"/>
      <c r="AP22" s="541"/>
      <c r="AQ22" s="542"/>
      <c r="AR22" s="541">
        <f t="shared" ref="AR22:AV22" si="2">SUM(AR19:AR21)</f>
        <v>285.98569014193919</v>
      </c>
      <c r="AS22" s="541">
        <f t="shared" si="2"/>
        <v>243.9720681367468</v>
      </c>
      <c r="AT22" s="541">
        <f t="shared" si="2"/>
        <v>277.52132762596204</v>
      </c>
      <c r="AU22" s="541">
        <f t="shared" si="2"/>
        <v>292.34321321288144</v>
      </c>
      <c r="AV22" s="541">
        <f t="shared" si="2"/>
        <v>294.56173150398763</v>
      </c>
    </row>
    <row r="23" spans="1:48" ht="15">
      <c r="E23" s="133"/>
      <c r="F23" s="7"/>
      <c r="G23" s="180"/>
      <c r="AJ23" s="85"/>
      <c r="AK23" s="85"/>
      <c r="AL23" s="85"/>
      <c r="AM23" s="85"/>
      <c r="AN23" s="85"/>
      <c r="AO23" s="85"/>
      <c r="AP23" s="85"/>
      <c r="AQ23" s="240"/>
      <c r="AR23" s="480"/>
      <c r="AS23" s="480"/>
      <c r="AT23" s="480"/>
      <c r="AU23" s="480"/>
      <c r="AV23" s="480"/>
    </row>
    <row r="24" spans="1:48">
      <c r="AQ24" s="313"/>
    </row>
    <row r="25" spans="1:48" ht="15">
      <c r="A25" s="98"/>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56" priority="1">
      <formula>mac_sensitivity=2</formula>
    </cfRule>
    <cfRule type="expression" dxfId="55" priority="2">
      <formula>mac_sensitivity=1</formula>
    </cfRule>
  </conditionalFormatting>
  <conditionalFormatting sqref="AM3">
    <cfRule type="expression" dxfId="5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142875</xdr:colOff>
                    <xdr:row>0</xdr:row>
                    <xdr:rowOff>28575</xdr:rowOff>
                  </from>
                  <to>
                    <xdr:col>8</xdr:col>
                    <xdr:colOff>0</xdr:colOff>
                    <xdr:row>0</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2" width="9.625" customWidth="1"/>
    <col min="43" max="43" width="9.625" style="220" customWidth="1"/>
    <col min="44" max="48" width="9.625" customWidth="1"/>
    <col min="49" max="49" width="3" customWidth="1"/>
    <col min="50" max="52" width="9" hidden="1" customWidth="1"/>
    <col min="53" max="16384" width="9" hidden="1"/>
  </cols>
  <sheetData>
    <row r="1" spans="1:102" ht="19.5">
      <c r="A1" s="195" t="s">
        <v>1144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7"/>
      <c r="B5" s="7"/>
      <c r="C5" s="4" t="s">
        <v>1203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5">
      <c r="B7" s="37" t="s">
        <v>1145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5">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5">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5">
      <c r="A11" s="2"/>
      <c r="B11" s="2"/>
      <c r="C11" s="2"/>
      <c r="D11" s="2"/>
      <c r="E11" s="2" t="s">
        <v>549</v>
      </c>
      <c r="F11" s="2"/>
      <c r="G11" s="2" t="s">
        <v>865</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5">
      <c r="B12" s="34"/>
      <c r="C12" s="34"/>
      <c r="D12" s="34"/>
      <c r="E12" s="34" t="s">
        <v>1204</v>
      </c>
      <c r="F12" s="34"/>
      <c r="G12" s="2" t="s">
        <v>547</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5">
      <c r="C14" s="28" t="s">
        <v>947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5">
      <c r="I15" s="182"/>
      <c r="AQ15" s="147"/>
    </row>
    <row r="16" spans="1:102" s="82" customFormat="1" ht="15.75">
      <c r="E16" s="2" t="s">
        <v>1</v>
      </c>
      <c r="G16" s="2" t="s">
        <v>100</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5">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5">
      <c r="E18" s="2"/>
      <c r="G18" s="2"/>
      <c r="AJ18" s="92"/>
      <c r="AK18" s="92"/>
      <c r="AL18" s="92"/>
      <c r="AM18" s="92"/>
      <c r="AN18" s="92"/>
      <c r="AO18" s="92"/>
      <c r="AP18" s="92"/>
      <c r="AQ18" s="215"/>
      <c r="AR18" s="92"/>
      <c r="AS18" s="92"/>
      <c r="AT18" s="92"/>
      <c r="AU18" s="92"/>
      <c r="AV18" s="92"/>
    </row>
    <row r="19" spans="3:48" s="82" customFormat="1" ht="15">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5">
      <c r="E20" s="2"/>
      <c r="G20" s="2"/>
      <c r="AJ20" s="92"/>
      <c r="AK20" s="92"/>
      <c r="AL20" s="92"/>
      <c r="AM20" s="92"/>
      <c r="AN20" s="92"/>
      <c r="AO20" s="92"/>
      <c r="AP20" s="92"/>
      <c r="AQ20" s="215"/>
      <c r="AR20" s="92"/>
      <c r="AS20" s="92"/>
      <c r="AT20" s="92"/>
      <c r="AU20" s="92"/>
      <c r="AV20" s="92"/>
    </row>
    <row r="21" spans="3:48" s="82" customFormat="1" ht="15">
      <c r="E21" s="259" t="s">
        <v>394</v>
      </c>
      <c r="AJ21" s="92"/>
      <c r="AK21" s="92"/>
      <c r="AL21" s="92"/>
      <c r="AM21" s="92"/>
      <c r="AN21" s="92"/>
      <c r="AO21" s="92"/>
      <c r="AP21" s="92"/>
      <c r="AQ21" s="215"/>
      <c r="AR21" s="92"/>
      <c r="AS21" s="92"/>
      <c r="AT21" s="92"/>
      <c r="AU21" s="92"/>
      <c r="AV21" s="92"/>
    </row>
    <row r="22" spans="3:48" s="82" customFormat="1" ht="15">
      <c r="E22" s="346" t="s">
        <v>789</v>
      </c>
      <c r="G22" s="2" t="s">
        <v>302</v>
      </c>
      <c r="H22" s="82" t="s">
        <v>790</v>
      </c>
      <c r="AJ22" s="92"/>
      <c r="AK22" s="92"/>
      <c r="AL22" s="92"/>
      <c r="AM22" s="92"/>
      <c r="AN22" s="92"/>
      <c r="AO22" s="92"/>
      <c r="AP22" s="92"/>
      <c r="AQ22" s="215"/>
      <c r="AR22" s="8">
        <f>Legacy!AR26</f>
        <v>1.8436382396153808</v>
      </c>
      <c r="AS22" s="8">
        <f>Legacy!AS26</f>
        <v>1.9774955726718106</v>
      </c>
      <c r="AT22" s="8">
        <f>Legacy!AT26</f>
        <v>2.1106426327091921</v>
      </c>
      <c r="AU22" s="8">
        <f>Legacy!AU26</f>
        <v>2.2458462197069466</v>
      </c>
      <c r="AV22" s="8">
        <f>Legacy!AV26</f>
        <v>2.3874250251213769</v>
      </c>
    </row>
    <row r="23" spans="3:48" s="82" customFormat="1" ht="15">
      <c r="E23" s="346" t="s">
        <v>791</v>
      </c>
      <c r="G23" s="2" t="s">
        <v>302</v>
      </c>
      <c r="H23" s="82" t="s">
        <v>709</v>
      </c>
      <c r="AJ23" s="92"/>
      <c r="AK23" s="92"/>
      <c r="AL23" s="92"/>
      <c r="AM23" s="92"/>
      <c r="AN23" s="92"/>
      <c r="AO23" s="92"/>
      <c r="AP23" s="92"/>
      <c r="AQ23" s="215"/>
      <c r="AR23" s="8">
        <f>Legacy!AR33</f>
        <v>10.92761890233416</v>
      </c>
      <c r="AS23" s="8">
        <f>Legacy!AS33</f>
        <v>33.143241726016555</v>
      </c>
      <c r="AT23" s="8">
        <f>Legacy!AT33</f>
        <v>0</v>
      </c>
      <c r="AU23" s="8">
        <f>Legacy!AU33</f>
        <v>0</v>
      </c>
      <c r="AV23" s="8">
        <f>Legacy!AV33</f>
        <v>0</v>
      </c>
    </row>
    <row r="24" spans="3:48" s="82" customFormat="1" ht="15">
      <c r="E24" s="346" t="s">
        <v>714</v>
      </c>
      <c r="G24" s="2" t="s">
        <v>302</v>
      </c>
      <c r="H24" s="82" t="s">
        <v>717</v>
      </c>
      <c r="AJ24" s="92"/>
      <c r="AK24" s="92"/>
      <c r="AL24" s="92"/>
      <c r="AM24" s="92"/>
      <c r="AN24" s="92"/>
      <c r="AO24" s="92"/>
      <c r="AP24" s="92"/>
      <c r="AQ24" s="475"/>
      <c r="AR24" s="8">
        <f>Legacy!AR43</f>
        <v>-1.4428176689494179</v>
      </c>
      <c r="AS24" s="8">
        <f>Legacy!AS43</f>
        <v>0</v>
      </c>
      <c r="AT24" s="8">
        <f>Legacy!AT43</f>
        <v>0</v>
      </c>
      <c r="AU24" s="8">
        <f>Legacy!AU43</f>
        <v>0</v>
      </c>
      <c r="AV24" s="8">
        <f>Legacy!AV43</f>
        <v>0</v>
      </c>
    </row>
    <row r="25" spans="3:48" s="82" customFormat="1" ht="15">
      <c r="E25" s="346" t="s">
        <v>427</v>
      </c>
      <c r="G25" s="2" t="s">
        <v>302</v>
      </c>
      <c r="H25" s="82" t="s">
        <v>718</v>
      </c>
      <c r="AJ25" s="92"/>
      <c r="AK25" s="92"/>
      <c r="AL25" s="92"/>
      <c r="AM25" s="92"/>
      <c r="AN25" s="92"/>
      <c r="AO25" s="92"/>
      <c r="AP25" s="92"/>
      <c r="AQ25" s="475"/>
      <c r="AR25" s="8">
        <f>Legacy!AR48</f>
        <v>1.6053850000000001E-2</v>
      </c>
      <c r="AS25" s="8">
        <f>Legacy!AS48</f>
        <v>0</v>
      </c>
      <c r="AT25" s="8">
        <f>Legacy!AT48</f>
        <v>0</v>
      </c>
      <c r="AU25" s="8">
        <f>Legacy!AU48</f>
        <v>0</v>
      </c>
      <c r="AV25" s="8">
        <f>Legacy!AV48</f>
        <v>0</v>
      </c>
    </row>
    <row r="26" spans="3:48" s="82" customFormat="1" ht="15">
      <c r="E26" s="346" t="s">
        <v>432</v>
      </c>
      <c r="G26" s="2" t="s">
        <v>302</v>
      </c>
      <c r="H26" s="82" t="s">
        <v>1208</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5">
      <c r="E27" s="259" t="s">
        <v>437</v>
      </c>
      <c r="AJ27" s="92"/>
      <c r="AK27" s="92"/>
      <c r="AL27" s="92"/>
      <c r="AM27" s="92"/>
      <c r="AN27" s="92"/>
      <c r="AO27" s="92"/>
      <c r="AP27" s="92"/>
      <c r="AQ27" s="215"/>
      <c r="AR27" s="8"/>
      <c r="AS27" s="8"/>
      <c r="AT27" s="8"/>
      <c r="AU27" s="8"/>
      <c r="AV27" s="8"/>
    </row>
    <row r="28" spans="3:48" s="82" customFormat="1" ht="15">
      <c r="E28" s="346" t="s">
        <v>793</v>
      </c>
      <c r="F28"/>
      <c r="G28" s="2" t="s">
        <v>302</v>
      </c>
      <c r="H28" s="82" t="s">
        <v>794</v>
      </c>
      <c r="AJ28" s="92"/>
      <c r="AK28" s="92"/>
      <c r="AL28" s="92"/>
      <c r="AM28" s="92"/>
      <c r="AN28" s="92"/>
      <c r="AO28" s="92"/>
      <c r="AP28" s="92"/>
      <c r="AQ28" s="215"/>
      <c r="AR28" s="8">
        <f>Legacy!AR62</f>
        <v>0.87418609570518735</v>
      </c>
      <c r="AS28" s="8">
        <f>Legacy!AS62</f>
        <v>2.121332078791192</v>
      </c>
      <c r="AT28" s="8">
        <f>Legacy!AT62</f>
        <v>0</v>
      </c>
      <c r="AU28" s="8">
        <f>Legacy!AU62</f>
        <v>0</v>
      </c>
      <c r="AV28" s="8">
        <f>Legacy!AV62</f>
        <v>0</v>
      </c>
    </row>
    <row r="29" spans="3:48" s="82" customFormat="1" ht="15">
      <c r="E29" s="346" t="s">
        <v>795</v>
      </c>
      <c r="F29"/>
      <c r="G29" s="2" t="s">
        <v>302</v>
      </c>
      <c r="H29" s="82" t="s">
        <v>796</v>
      </c>
      <c r="AJ29" s="92"/>
      <c r="AK29" s="92"/>
      <c r="AL29" s="92"/>
      <c r="AM29" s="92"/>
      <c r="AN29" s="92"/>
      <c r="AO29" s="92"/>
      <c r="AP29" s="92"/>
      <c r="AQ29" s="215"/>
      <c r="AR29" s="8">
        <f>Legacy!AR68</f>
        <v>7.5332366673961726</v>
      </c>
      <c r="AS29" s="8">
        <f>Legacy!AS68</f>
        <v>8.0441632637703648</v>
      </c>
      <c r="AT29" s="8">
        <f>Legacy!AT68</f>
        <v>0</v>
      </c>
      <c r="AU29" s="8">
        <f>Legacy!AU68</f>
        <v>0</v>
      </c>
      <c r="AV29" s="8">
        <f>Legacy!AV68</f>
        <v>0</v>
      </c>
    </row>
    <row r="30" spans="3:48" s="82" customFormat="1" ht="15">
      <c r="E30" s="346" t="s">
        <v>797</v>
      </c>
      <c r="F30"/>
      <c r="G30" s="2" t="s">
        <v>302</v>
      </c>
      <c r="H30" s="82" t="s">
        <v>798</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5">
      <c r="E31" s="346" t="s">
        <v>746</v>
      </c>
      <c r="F31"/>
      <c r="G31" s="2" t="s">
        <v>302</v>
      </c>
      <c r="H31" s="82" t="s">
        <v>799</v>
      </c>
      <c r="AJ31" s="92"/>
      <c r="AK31" s="92"/>
      <c r="AL31" s="92"/>
      <c r="AM31" s="92"/>
      <c r="AN31" s="92"/>
      <c r="AO31" s="92"/>
      <c r="AP31" s="92"/>
      <c r="AQ31" s="215"/>
      <c r="AR31" s="8">
        <f>Legacy!AR79</f>
        <v>0</v>
      </c>
      <c r="AS31" s="8">
        <f>Legacy!AS79</f>
        <v>0</v>
      </c>
      <c r="AT31" s="8">
        <f>Legacy!AT79</f>
        <v>0</v>
      </c>
      <c r="AU31" s="8">
        <f>Legacy!AU79</f>
        <v>0</v>
      </c>
      <c r="AV31" s="8">
        <f>Legacy!AV79</f>
        <v>0</v>
      </c>
    </row>
    <row r="32" spans="3:48" s="82" customFormat="1" ht="15">
      <c r="E32" s="259" t="s">
        <v>464</v>
      </c>
      <c r="H32" s="182"/>
      <c r="AJ32" s="92"/>
      <c r="AK32" s="92"/>
      <c r="AL32" s="92"/>
      <c r="AM32" s="92"/>
      <c r="AN32" s="92"/>
      <c r="AO32" s="92"/>
      <c r="AP32" s="92"/>
      <c r="AQ32" s="215"/>
      <c r="AR32" s="8"/>
      <c r="AS32" s="8"/>
      <c r="AT32" s="8"/>
      <c r="AU32" s="8"/>
      <c r="AV32" s="8"/>
    </row>
    <row r="33" spans="2:52" s="82" customFormat="1" ht="15">
      <c r="E33" s="346" t="s">
        <v>465</v>
      </c>
      <c r="G33" s="2" t="s">
        <v>302</v>
      </c>
      <c r="H33" s="82" t="s">
        <v>753</v>
      </c>
      <c r="AJ33" s="92"/>
      <c r="AK33" s="92"/>
      <c r="AL33" s="92"/>
      <c r="AM33" s="92"/>
      <c r="AN33" s="92"/>
      <c r="AO33" s="92"/>
      <c r="AP33" s="92"/>
      <c r="AQ33" s="215"/>
      <c r="AR33" s="8">
        <f>Legacy!AR85</f>
        <v>0.73355067574662769</v>
      </c>
      <c r="AS33" s="8">
        <f>Legacy!AS85</f>
        <v>0.61123823219939954</v>
      </c>
      <c r="AT33" s="8">
        <f>Legacy!AT85</f>
        <v>0</v>
      </c>
      <c r="AU33" s="8">
        <f>Legacy!AU85</f>
        <v>0</v>
      </c>
      <c r="AV33" s="8">
        <f>Legacy!AV85</f>
        <v>0</v>
      </c>
    </row>
    <row r="34" spans="2:52" s="82" customFormat="1" ht="15">
      <c r="E34" s="346" t="s">
        <v>470</v>
      </c>
      <c r="G34" s="2" t="s">
        <v>302</v>
      </c>
      <c r="H34" s="82" t="s">
        <v>756</v>
      </c>
      <c r="AJ34" s="92"/>
      <c r="AK34" s="92"/>
      <c r="AL34" s="92"/>
      <c r="AM34" s="92"/>
      <c r="AN34" s="92"/>
      <c r="AO34" s="92"/>
      <c r="AP34" s="92"/>
      <c r="AQ34" s="215"/>
      <c r="AR34" s="8">
        <f>Legacy!AR90</f>
        <v>5.0895091089673929</v>
      </c>
      <c r="AS34" s="8">
        <f>Legacy!AS90</f>
        <v>2.1073579389465298</v>
      </c>
      <c r="AT34" s="8">
        <f>Legacy!AT90</f>
        <v>0</v>
      </c>
      <c r="AU34" s="8">
        <f>Legacy!AU90</f>
        <v>0</v>
      </c>
      <c r="AV34" s="8">
        <f>Legacy!AV90</f>
        <v>0</v>
      </c>
    </row>
    <row r="35" spans="2:52" s="82" customFormat="1" ht="15">
      <c r="E35" s="346" t="s">
        <v>475</v>
      </c>
      <c r="G35" s="2" t="s">
        <v>302</v>
      </c>
      <c r="H35" s="82" t="s">
        <v>759</v>
      </c>
      <c r="AJ35" s="92"/>
      <c r="AK35" s="92"/>
      <c r="AL35" s="92"/>
      <c r="AM35" s="92"/>
      <c r="AN35" s="92"/>
      <c r="AO35" s="92"/>
      <c r="AP35" s="92"/>
      <c r="AQ35" s="215"/>
      <c r="AR35" s="8">
        <f>Legacy!AR95</f>
        <v>-4.5706440143658904</v>
      </c>
      <c r="AS35" s="8">
        <f>Legacy!AS95</f>
        <v>-1.8882078704386205</v>
      </c>
      <c r="AT35" s="8">
        <f>Legacy!AT95</f>
        <v>0</v>
      </c>
      <c r="AU35" s="8">
        <f>Legacy!AU95</f>
        <v>0</v>
      </c>
      <c r="AV35" s="8">
        <f>Legacy!AV95</f>
        <v>0</v>
      </c>
    </row>
    <row r="36" spans="2:52" s="82" customFormat="1" ht="15">
      <c r="E36" s="346" t="s">
        <v>480</v>
      </c>
      <c r="G36" s="2" t="s">
        <v>302</v>
      </c>
      <c r="H36" s="82" t="s">
        <v>762</v>
      </c>
      <c r="AJ36" s="92"/>
      <c r="AK36" s="92"/>
      <c r="AL36" s="92"/>
      <c r="AM36" s="92"/>
      <c r="AN36" s="92"/>
      <c r="AO36" s="92"/>
      <c r="AP36" s="92"/>
      <c r="AQ36" s="215"/>
      <c r="AR36" s="8">
        <f>Legacy!AR100</f>
        <v>2.2536689900420246</v>
      </c>
      <c r="AS36" s="8">
        <f>Legacy!AS100</f>
        <v>2.2186371936629312</v>
      </c>
      <c r="AT36" s="8">
        <f>Legacy!AT100</f>
        <v>0</v>
      </c>
      <c r="AU36" s="8">
        <f>Legacy!AU100</f>
        <v>0</v>
      </c>
      <c r="AV36" s="8">
        <f>Legacy!AV100</f>
        <v>0</v>
      </c>
    </row>
    <row r="37" spans="2:52" s="82" customFormat="1" ht="15">
      <c r="E37" s="346" t="s">
        <v>485</v>
      </c>
      <c r="G37" s="2" t="s">
        <v>302</v>
      </c>
      <c r="H37" s="82" t="s">
        <v>765</v>
      </c>
      <c r="AJ37" s="92"/>
      <c r="AK37" s="92"/>
      <c r="AL37" s="92"/>
      <c r="AM37" s="92"/>
      <c r="AN37" s="92"/>
      <c r="AO37" s="92"/>
      <c r="AP37" s="92"/>
      <c r="AQ37" s="215"/>
      <c r="AR37" s="8">
        <f>Legacy!AR105</f>
        <v>1.3084546414642424</v>
      </c>
      <c r="AS37" s="8">
        <f>Legacy!AS105</f>
        <v>0.92148044645802119</v>
      </c>
      <c r="AT37" s="8">
        <f>Legacy!AT105</f>
        <v>0</v>
      </c>
      <c r="AU37" s="8">
        <f>Legacy!AU105</f>
        <v>0</v>
      </c>
      <c r="AV37" s="8">
        <f>Legacy!AV105</f>
        <v>0</v>
      </c>
    </row>
    <row r="38" spans="2:52" s="82" customFormat="1" ht="15">
      <c r="E38" s="346" t="s">
        <v>801</v>
      </c>
      <c r="G38" s="2" t="s">
        <v>302</v>
      </c>
      <c r="H38" s="82" t="s">
        <v>768</v>
      </c>
      <c r="AJ38" s="92"/>
      <c r="AK38" s="92"/>
      <c r="AL38" s="92"/>
      <c r="AM38" s="92"/>
      <c r="AN38" s="92"/>
      <c r="AO38" s="92"/>
      <c r="AP38" s="92"/>
      <c r="AQ38" s="215"/>
      <c r="AR38" s="8">
        <f>Legacy!AR110</f>
        <v>4.3824408404241399E-2</v>
      </c>
      <c r="AS38" s="8">
        <f>Legacy!AS110</f>
        <v>4.2712395354564385E-2</v>
      </c>
      <c r="AT38" s="8">
        <f>Legacy!AT110</f>
        <v>0</v>
      </c>
      <c r="AU38" s="8">
        <f>Legacy!AU110</f>
        <v>0</v>
      </c>
      <c r="AV38" s="8">
        <f>Legacy!AV110</f>
        <v>0</v>
      </c>
    </row>
    <row r="39" spans="2:52" s="82" customFormat="1" ht="15">
      <c r="E39" s="346" t="s">
        <v>802</v>
      </c>
      <c r="G39" s="2" t="s">
        <v>302</v>
      </c>
      <c r="H39" s="82" t="s">
        <v>771</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5">
      <c r="E40" s="346" t="s">
        <v>500</v>
      </c>
      <c r="G40" s="2" t="s">
        <v>302</v>
      </c>
      <c r="H40" s="82" t="s">
        <v>774</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5">
      <c r="E41" s="346" t="s">
        <v>505</v>
      </c>
      <c r="G41" s="2" t="s">
        <v>302</v>
      </c>
      <c r="H41" s="82" t="s">
        <v>777</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5">
      <c r="E42" s="346" t="s">
        <v>803</v>
      </c>
      <c r="G42" s="2" t="s">
        <v>302</v>
      </c>
      <c r="H42" s="82" t="s">
        <v>1209</v>
      </c>
      <c r="AJ42" s="92"/>
      <c r="AK42" s="92"/>
      <c r="AL42" s="92"/>
      <c r="AM42" s="92"/>
      <c r="AN42" s="92"/>
      <c r="AO42" s="92"/>
      <c r="AP42" s="92"/>
      <c r="AQ42" s="215"/>
      <c r="AR42" s="8">
        <f>Legacy!AR130</f>
        <v>0.71565833445342841</v>
      </c>
      <c r="AS42" s="8">
        <f>Legacy!AS130</f>
        <v>1.3719750170526188</v>
      </c>
      <c r="AT42" s="8">
        <f>Legacy!AT130</f>
        <v>0</v>
      </c>
      <c r="AU42" s="8">
        <f>Legacy!AU130</f>
        <v>0</v>
      </c>
      <c r="AV42" s="8">
        <f>Legacy!AV130</f>
        <v>0</v>
      </c>
    </row>
    <row r="43" spans="2:52" s="82" customFormat="1" ht="15">
      <c r="E43" s="346" t="s">
        <v>804</v>
      </c>
      <c r="G43" s="2" t="s">
        <v>302</v>
      </c>
      <c r="H43" s="82" t="s">
        <v>785</v>
      </c>
      <c r="AJ43" s="92"/>
      <c r="AK43" s="92"/>
      <c r="AL43" s="92"/>
      <c r="AM43" s="92"/>
      <c r="AN43" s="92"/>
      <c r="AO43" s="92"/>
      <c r="AP43" s="92"/>
      <c r="AQ43" s="215"/>
      <c r="AR43" s="8">
        <f>Legacy!AR135</f>
        <v>0.85536762507014652</v>
      </c>
      <c r="AS43" s="8">
        <f>Legacy!AS135</f>
        <v>3.0435477129045792</v>
      </c>
      <c r="AT43" s="8">
        <f>Legacy!AT135</f>
        <v>-7.2436987381309395E-2</v>
      </c>
      <c r="AU43" s="8">
        <f>Legacy!AU135</f>
        <v>0</v>
      </c>
      <c r="AV43" s="8">
        <f>Legacy!AV135</f>
        <v>0</v>
      </c>
    </row>
    <row r="44" spans="2:52" s="82" customFormat="1" ht="15">
      <c r="E44" s="346" t="s">
        <v>805</v>
      </c>
      <c r="G44" s="2" t="s">
        <v>302</v>
      </c>
      <c r="H44" s="82" t="s">
        <v>787</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5">
      <c r="E45" s="2" t="s">
        <v>1210</v>
      </c>
      <c r="G45" s="2" t="s">
        <v>302</v>
      </c>
      <c r="H45" s="82" t="s">
        <v>1211</v>
      </c>
      <c r="AJ45" s="92"/>
      <c r="AK45" s="92"/>
      <c r="AL45" s="92"/>
      <c r="AM45" s="92"/>
      <c r="AN45" s="92"/>
      <c r="AO45" s="92"/>
      <c r="AP45" s="92"/>
      <c r="AQ45" s="215"/>
      <c r="AR45" s="543">
        <f>SUM(AR22:AR44)</f>
        <v>26.181305855883693</v>
      </c>
      <c r="AS45" s="544">
        <f t="shared" ref="AS45:AV45" si="1">SUM(AS22:AS44)</f>
        <v>53.714973707389937</v>
      </c>
      <c r="AT45" s="544">
        <f t="shared" si="1"/>
        <v>2.0382056453278827</v>
      </c>
      <c r="AU45" s="544">
        <f t="shared" si="1"/>
        <v>2.2458462197069466</v>
      </c>
      <c r="AV45" s="544">
        <f t="shared" si="1"/>
        <v>2.3874250251213769</v>
      </c>
    </row>
    <row r="46" spans="2:52" s="82" customFormat="1" ht="15">
      <c r="E46" s="2"/>
      <c r="G46" s="2"/>
      <c r="AJ46" s="92"/>
      <c r="AK46" s="92"/>
      <c r="AL46" s="92"/>
      <c r="AM46" s="92"/>
      <c r="AN46" s="92"/>
      <c r="AO46" s="92"/>
      <c r="AP46" s="92"/>
      <c r="AQ46" s="215"/>
      <c r="AR46" s="92"/>
      <c r="AS46" s="92"/>
      <c r="AT46" s="92"/>
      <c r="AU46" s="92"/>
      <c r="AV46" s="92"/>
    </row>
    <row r="47" spans="2:52" s="2" customFormat="1" ht="15">
      <c r="C47" s="28" t="s">
        <v>1144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5">
      <c r="B49" s="34"/>
      <c r="C49" s="34"/>
      <c r="D49" s="34"/>
      <c r="E49" s="34" t="s">
        <v>1202</v>
      </c>
      <c r="F49" s="34"/>
      <c r="G49" s="34" t="s">
        <v>302</v>
      </c>
      <c r="H49" s="159"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366.23975821358124</v>
      </c>
      <c r="AS49" s="35">
        <f>Revenue!AS22 * (AS17/$AO$17)</f>
        <v>322.31390089814573</v>
      </c>
      <c r="AT49" s="35">
        <f>Revenue!AT22 * (AT17/$AO$17)</f>
        <v>375.77626092596546</v>
      </c>
      <c r="AU49" s="35">
        <f>Revenue!AU22 * (AU17/$AO$17)</f>
        <v>404.64083695939996</v>
      </c>
      <c r="AV49" s="35">
        <f>Revenue!AV22 * (AV17/$AO$17)</f>
        <v>416.29828222817741</v>
      </c>
      <c r="AW49" s="34"/>
      <c r="AX49"/>
      <c r="AY49"/>
      <c r="AZ49"/>
    </row>
    <row r="50" spans="2:52" s="21" customFormat="1" ht="15">
      <c r="B50" s="34"/>
      <c r="C50" s="34"/>
      <c r="D50" s="34"/>
      <c r="E50" s="141" t="s">
        <v>1213</v>
      </c>
      <c r="F50"/>
      <c r="G50" s="21" t="s">
        <v>302</v>
      </c>
      <c r="H50" t="s">
        <v>1214</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14.04312375420632</v>
      </c>
      <c r="AS50" s="35">
        <f>AS69</f>
        <v>51.524631309836373</v>
      </c>
      <c r="AT50" s="35">
        <f>AT69</f>
        <v>-74.584985694714803</v>
      </c>
      <c r="AU50" s="35">
        <f>AU69</f>
        <v>-40.882795496744954</v>
      </c>
      <c r="AV50" s="35">
        <f>AV69</f>
        <v>0</v>
      </c>
      <c r="AW50" s="34"/>
      <c r="AX50"/>
      <c r="AY50"/>
      <c r="AZ50"/>
    </row>
    <row r="51" spans="2:52" s="21" customFormat="1" ht="15">
      <c r="B51" s="34"/>
      <c r="C51" s="34"/>
      <c r="D51" s="34"/>
      <c r="E51" s="35" t="s">
        <v>1215</v>
      </c>
      <c r="F51" s="35"/>
      <c r="G51" s="21" t="s">
        <v>302</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5">
      <c r="B52" s="34"/>
      <c r="C52" s="34"/>
      <c r="D52" s="34"/>
      <c r="E52" s="159" t="s">
        <v>1210</v>
      </c>
      <c r="F52" s="159"/>
      <c r="G52" s="21" t="s">
        <v>302</v>
      </c>
      <c r="H52" s="159" t="s">
        <v>1217</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26.181305855883693</v>
      </c>
      <c r="AS52" s="35">
        <f t="shared" ref="AS52:AV52" si="3">AS45</f>
        <v>53.714973707389937</v>
      </c>
      <c r="AT52" s="35">
        <f t="shared" si="3"/>
        <v>2.0382056453278827</v>
      </c>
      <c r="AU52" s="35">
        <f t="shared" si="3"/>
        <v>2.2458462197069466</v>
      </c>
      <c r="AV52" s="35">
        <f t="shared" si="3"/>
        <v>2.3874250251213769</v>
      </c>
      <c r="AW52" s="34"/>
      <c r="AX52"/>
      <c r="AY52"/>
      <c r="AZ52"/>
    </row>
    <row r="53" spans="2:52" s="21" customFormat="1" ht="15">
      <c r="B53" s="34"/>
      <c r="C53" s="34"/>
      <c r="D53" s="34"/>
      <c r="E53" s="34" t="s">
        <v>1144</v>
      </c>
      <c r="F53" s="34"/>
      <c r="G53" s="21" t="s">
        <v>302</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406.46418782367124</v>
      </c>
      <c r="AS53" s="546">
        <f t="shared" ref="AS53:AV53" si="4">SUM(AS49:AS52)</f>
        <v>427.55350591537206</v>
      </c>
      <c r="AT53" s="546">
        <f t="shared" si="4"/>
        <v>303.22948087657852</v>
      </c>
      <c r="AU53" s="546">
        <f t="shared" si="4"/>
        <v>366.00388768236195</v>
      </c>
      <c r="AV53" s="546">
        <f t="shared" si="4"/>
        <v>418.6857072532988</v>
      </c>
      <c r="AW53" s="34"/>
      <c r="AX53"/>
      <c r="AY53"/>
      <c r="AZ53"/>
    </row>
    <row r="54" spans="2:52" s="21" customFormat="1" ht="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5">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5">
      <c r="B57" s="34"/>
      <c r="C57" s="34"/>
      <c r="D57" s="34"/>
      <c r="E57" s="34" t="s">
        <v>1219</v>
      </c>
      <c r="F57" s="34"/>
      <c r="G57" s="21" t="s">
        <v>302</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400.6964231536399</v>
      </c>
      <c r="AR57" s="35"/>
      <c r="AS57" s="34"/>
      <c r="AT57" s="34"/>
      <c r="AU57" s="34"/>
      <c r="AV57" s="34"/>
      <c r="AW57" s="34"/>
      <c r="AX57"/>
      <c r="AY57"/>
      <c r="AZ57"/>
    </row>
    <row r="58" spans="2:52" s="21" customFormat="1" ht="15">
      <c r="B58" s="34"/>
      <c r="C58" s="34"/>
      <c r="D58" s="34"/>
      <c r="E58" s="34" t="s">
        <v>1220</v>
      </c>
      <c r="F58" s="34"/>
      <c r="G58" s="21" t="s">
        <v>302</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400.6964231536399</v>
      </c>
      <c r="AR58" s="35">
        <f>AR57 + AR53</f>
        <v>406.46418782367124</v>
      </c>
      <c r="AS58" s="34">
        <f t="shared" ref="AS58:AV58" si="6">AS57 + AS53</f>
        <v>427.55350591537206</v>
      </c>
      <c r="AT58" s="34">
        <f t="shared" si="6"/>
        <v>303.22948087657852</v>
      </c>
      <c r="AU58" s="34">
        <f t="shared" si="6"/>
        <v>366.00388768236195</v>
      </c>
      <c r="AV58" s="34">
        <f t="shared" si="6"/>
        <v>418.6857072532988</v>
      </c>
      <c r="AW58" s="34"/>
      <c r="AX58"/>
      <c r="AY58"/>
      <c r="AZ58"/>
    </row>
    <row r="59" spans="2:52" s="21" customFormat="1" ht="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5">
      <c r="B60" s="34"/>
      <c r="C60" s="34"/>
      <c r="D60" s="34"/>
      <c r="E60" s="34" t="s">
        <v>1222</v>
      </c>
      <c r="F60" s="34"/>
      <c r="G60" s="21" t="s">
        <v>302</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InputSummary!AQ248</f>
        <v>387.98965212000002</v>
      </c>
      <c r="AR60" s="330">
        <f>InputSummary!AR248</f>
        <v>358.42727594500002</v>
      </c>
      <c r="AS60" s="81">
        <f>InputSummary!AS248</f>
        <v>497.43339780866279</v>
      </c>
      <c r="AT60" s="81">
        <f>InputSummary!AT248</f>
        <v>341.6510657395977</v>
      </c>
      <c r="AU60" s="81">
        <f>InputSummary!AU248</f>
        <v>0</v>
      </c>
      <c r="AV60" s="81">
        <f>InputSummary!AV248</f>
        <v>0</v>
      </c>
      <c r="AW60" s="34"/>
      <c r="AX60"/>
      <c r="AY60"/>
      <c r="AZ60"/>
    </row>
    <row r="61" spans="2:52" s="21" customFormat="1" ht="15">
      <c r="B61" s="34"/>
      <c r="C61" s="34"/>
      <c r="D61" s="34"/>
      <c r="E61" s="34" t="s">
        <v>1223</v>
      </c>
      <c r="F61" s="34"/>
      <c r="G61" s="21" t="s">
        <v>302</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366.00388768236195</v>
      </c>
      <c r="AV61" s="34">
        <f t="shared" si="7"/>
        <v>418.6857072532988</v>
      </c>
      <c r="AW61" s="34"/>
      <c r="AX61"/>
      <c r="AY61"/>
      <c r="AZ61"/>
    </row>
    <row r="62" spans="2:52" s="21" customFormat="1" ht="15">
      <c r="B62" s="34"/>
      <c r="C62" s="34"/>
      <c r="D62" s="34"/>
      <c r="E62" s="34" t="s">
        <v>1224</v>
      </c>
      <c r="F62" s="34"/>
      <c r="G62" s="21" t="s">
        <v>302</v>
      </c>
      <c r="H62" s="34" t="s">
        <v>616</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387.98965212000002</v>
      </c>
      <c r="AR62" s="35">
        <f t="shared" ref="AR62:AV62" si="8">AR60+AR61</f>
        <v>358.42727594500002</v>
      </c>
      <c r="AS62" s="35">
        <f t="shared" si="8"/>
        <v>497.43339780866279</v>
      </c>
      <c r="AT62" s="35">
        <f t="shared" si="8"/>
        <v>341.6510657395977</v>
      </c>
      <c r="AU62" s="35">
        <f t="shared" si="8"/>
        <v>366.00388768236195</v>
      </c>
      <c r="AV62" s="35">
        <f t="shared" si="8"/>
        <v>418.6857072532988</v>
      </c>
      <c r="AW62" s="34"/>
      <c r="AX62"/>
      <c r="AY62"/>
      <c r="AZ62"/>
    </row>
    <row r="63" spans="2:52" s="134" customFormat="1" ht="15">
      <c r="B63" s="77"/>
      <c r="C63" s="77"/>
      <c r="D63" s="77"/>
      <c r="E63" s="77" t="s">
        <v>1225</v>
      </c>
      <c r="F63" s="77"/>
      <c r="G63" s="134" t="s">
        <v>302</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12.706771033639882</v>
      </c>
      <c r="AR63" s="365">
        <f t="shared" si="9"/>
        <v>48.036911878671219</v>
      </c>
      <c r="AS63" s="365">
        <f t="shared" si="9"/>
        <v>-69.879891893290733</v>
      </c>
      <c r="AT63" s="365">
        <f t="shared" si="9"/>
        <v>-38.421584863019177</v>
      </c>
      <c r="AU63" s="365">
        <f t="shared" si="9"/>
        <v>0</v>
      </c>
      <c r="AV63" s="365">
        <f t="shared" si="9"/>
        <v>0</v>
      </c>
      <c r="AW63" s="77"/>
      <c r="AX63" s="78"/>
      <c r="AY63" s="78"/>
      <c r="AZ63" s="78"/>
    </row>
    <row r="64" spans="2:52" s="21" customFormat="1" ht="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5">
      <c r="E65" s="7" t="s">
        <v>1226</v>
      </c>
      <c r="F65" s="7"/>
      <c r="G65" s="7" t="s">
        <v>249</v>
      </c>
      <c r="H65" s="141" t="s">
        <v>597</v>
      </c>
      <c r="AJ65" s="8"/>
      <c r="AK65" s="8"/>
      <c r="AL65" s="8"/>
      <c r="AM65" s="8"/>
      <c r="AN65" s="8"/>
      <c r="AO65" s="8"/>
      <c r="AP65" s="8"/>
      <c r="AQ65" s="216">
        <f>InputSummary!AQ182</f>
        <v>3.0359999999999998E-2</v>
      </c>
      <c r="AR65" s="211">
        <f>InputSummary!AR182</f>
        <v>3.97335776E-2</v>
      </c>
      <c r="AS65" s="211">
        <f>InputSummary!AS182</f>
        <v>4.1370183200000001E-2</v>
      </c>
      <c r="AT65" s="211">
        <f>InputSummary!AT182</f>
        <v>4.09301584E-2</v>
      </c>
      <c r="AU65" s="211">
        <f>InputSummary!AU182</f>
        <v>4.1113614800000003E-2</v>
      </c>
      <c r="AV65" s="211">
        <f>InputSummary!AV182</f>
        <v>4.1190859599999997E-2</v>
      </c>
      <c r="AW65" s="8"/>
    </row>
    <row r="66" spans="1:52" ht="15">
      <c r="A66" s="21"/>
      <c r="E66" s="21" t="s">
        <v>1227</v>
      </c>
      <c r="F66" s="7"/>
      <c r="G66" s="7" t="s">
        <v>601</v>
      </c>
      <c r="H66" s="141" t="s">
        <v>1228</v>
      </c>
      <c r="AJ66" s="8"/>
      <c r="AK66" s="8"/>
      <c r="AL66" s="8"/>
      <c r="AM66" s="8"/>
      <c r="AN66" s="8"/>
      <c r="AO66" s="8"/>
      <c r="AP66" s="8"/>
      <c r="AQ66" s="227">
        <f t="shared" ref="AQ66:AV66" si="10">IF(AQ12=1,AR17/AQ17 - 1,"")</f>
        <v>7.2604286672181217E-2</v>
      </c>
      <c r="AR66" s="212">
        <f t="shared" si="10"/>
        <v>3.1615224840486178E-2</v>
      </c>
      <c r="AS66" s="212">
        <f t="shared" si="10"/>
        <v>2.4929628075416987E-2</v>
      </c>
      <c r="AT66" s="212">
        <f t="shared" si="10"/>
        <v>2.2218456203320525E-2</v>
      </c>
      <c r="AU66" s="212">
        <f t="shared" si="10"/>
        <v>2.106079359766122E-2</v>
      </c>
      <c r="AV66" s="212" t="str">
        <f t="shared" si="10"/>
        <v/>
      </c>
      <c r="AW66" s="8"/>
    </row>
    <row r="67" spans="1:52" ht="15">
      <c r="A67" s="21"/>
      <c r="E67" s="21" t="s">
        <v>1229</v>
      </c>
      <c r="F67" s="21"/>
      <c r="G67" s="21" t="s">
        <v>1230</v>
      </c>
      <c r="H67" s="21" t="s">
        <v>1231</v>
      </c>
      <c r="AJ67" s="8"/>
      <c r="AK67" s="8"/>
      <c r="AL67" s="8"/>
      <c r="AM67" s="8"/>
      <c r="AN67" s="8"/>
      <c r="AO67" s="8"/>
      <c r="AP67" s="8"/>
      <c r="AQ67" s="547">
        <f t="shared" ref="AQ67:AV67" si="11">IF(AQ12=1,(1 + AQ65) * (1 + AQ66) - 1,"")</f>
        <v>0.1051685528155486</v>
      </c>
      <c r="AR67" s="548">
        <f t="shared" si="11"/>
        <v>7.2604988430027051E-2</v>
      </c>
      <c r="AS67" s="548">
        <f t="shared" si="11"/>
        <v>6.7331154556004913E-2</v>
      </c>
      <c r="AT67" s="548">
        <f t="shared" si="11"/>
        <v>6.405801953512591E-2</v>
      </c>
      <c r="AU67" s="548">
        <f t="shared" si="11"/>
        <v>6.3040293753017673E-2</v>
      </c>
      <c r="AV67" s="548" t="str">
        <f t="shared" si="11"/>
        <v/>
      </c>
      <c r="AW67" s="8"/>
    </row>
    <row r="68" spans="1:52" s="21" customFormat="1" ht="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5">
      <c r="B69" s="34"/>
      <c r="C69" s="34"/>
      <c r="D69" s="34"/>
      <c r="E69" s="367" t="s">
        <v>1232</v>
      </c>
      <c r="F69" s="34"/>
      <c r="G69" s="21" t="s">
        <v>302</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14.04312375420632</v>
      </c>
      <c r="AS69" s="34">
        <f>(AR58 - AR62) * (1 + AR67)</f>
        <v>51.524631309836373</v>
      </c>
      <c r="AT69" s="34">
        <f>(AS58 - AS62) * (1 + AS67)</f>
        <v>-74.584985694714803</v>
      </c>
      <c r="AU69" s="34">
        <f>(AT58 - AT62) * (1 + AT67)</f>
        <v>-40.882795496744954</v>
      </c>
      <c r="AV69" s="34">
        <f>(AU58 - AU62) * (1 + AU67)</f>
        <v>0</v>
      </c>
      <c r="AW69" s="34"/>
      <c r="AX69"/>
      <c r="AY69"/>
      <c r="AZ69"/>
    </row>
    <row r="70" spans="1:52" s="21" customFormat="1" ht="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5">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5">
      <c r="B73" s="34"/>
      <c r="C73" s="34"/>
      <c r="D73" s="366" t="s">
        <v>1233</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5">
      <c r="B74" s="34"/>
      <c r="C74" s="34"/>
      <c r="D74" s="34"/>
      <c r="E74" s="34" t="s">
        <v>1234</v>
      </c>
      <c r="F74" s="34"/>
      <c r="G74" s="2" t="s">
        <v>105</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5">
      <c r="B75" s="34"/>
      <c r="C75" s="34"/>
      <c r="D75" s="34"/>
      <c r="E75" s="34" t="s">
        <v>1235</v>
      </c>
      <c r="F75" s="34"/>
      <c r="G75" s="2" t="s">
        <v>105</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267.30853611605795</v>
      </c>
      <c r="AS75" s="34">
        <f>Revenue!AS12</f>
        <v>233.03926950433799</v>
      </c>
      <c r="AT75" s="34">
        <f>Revenue!AT12</f>
        <v>266.42300837451791</v>
      </c>
      <c r="AU75" s="34">
        <f>Revenue!AU12</f>
        <v>276.4535767900702</v>
      </c>
      <c r="AV75" s="34">
        <f>Revenue!AV12</f>
        <v>278.06944937948504</v>
      </c>
      <c r="AW75" s="34"/>
      <c r="AX75"/>
      <c r="AY75"/>
      <c r="AZ75"/>
    </row>
    <row r="76" spans="1:52" s="21" customFormat="1" ht="15">
      <c r="B76" s="34"/>
      <c r="C76" s="34"/>
      <c r="D76" s="34"/>
      <c r="E76" s="34" t="s">
        <v>1236</v>
      </c>
      <c r="F76" s="34"/>
      <c r="G76" s="2" t="s">
        <v>105</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267.30853611605795</v>
      </c>
      <c r="AS76" s="34">
        <f t="shared" ref="AS76:AV76" si="13">AS74 + AS75</f>
        <v>233.03926950433799</v>
      </c>
      <c r="AT76" s="34">
        <f t="shared" si="13"/>
        <v>266.42300837451791</v>
      </c>
      <c r="AU76" s="34">
        <f t="shared" si="13"/>
        <v>276.4535767900702</v>
      </c>
      <c r="AV76" s="34">
        <f t="shared" si="13"/>
        <v>278.06944937948504</v>
      </c>
      <c r="AW76" s="34"/>
      <c r="AX76"/>
      <c r="AY76"/>
      <c r="AZ76"/>
    </row>
    <row r="77" spans="1:52" s="21" customFormat="1" ht="1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5">
      <c r="B78" s="34"/>
      <c r="C78" s="34"/>
      <c r="D78" s="34"/>
      <c r="E78" s="34" t="s">
        <v>1237</v>
      </c>
      <c r="F78" s="34"/>
      <c r="G78" s="2" t="s">
        <v>105</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InputSummary!AQ250</f>
        <v>0</v>
      </c>
      <c r="AR78" s="330">
        <f>InputSummary!AR250</f>
        <v>0</v>
      </c>
      <c r="AS78" s="81">
        <f>InputSummary!AS250</f>
        <v>0</v>
      </c>
      <c r="AT78" s="81">
        <f>InputSummary!AT250</f>
        <v>271.24935114255658</v>
      </c>
      <c r="AU78" s="81">
        <f>InputSummary!AU250</f>
        <v>0</v>
      </c>
      <c r="AV78" s="81">
        <f>InputSummary!AV250</f>
        <v>0</v>
      </c>
      <c r="AW78" s="34"/>
      <c r="AX78"/>
      <c r="AY78"/>
      <c r="AZ78"/>
    </row>
    <row r="79" spans="1:52" s="21" customFormat="1" ht="15">
      <c r="B79" s="34"/>
      <c r="C79" s="34"/>
      <c r="D79" s="34"/>
      <c r="E79" s="34" t="s">
        <v>1238</v>
      </c>
      <c r="F79" s="34"/>
      <c r="G79" s="2" t="s">
        <v>105</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267.30853611605795</v>
      </c>
      <c r="AS79" s="35">
        <f t="shared" ref="AS79:AV79" si="16">IF(AS78 = 0, AS76, 0)</f>
        <v>233.03926950433799</v>
      </c>
      <c r="AT79" s="35">
        <f t="shared" si="16"/>
        <v>0</v>
      </c>
      <c r="AU79" s="35">
        <f t="shared" si="16"/>
        <v>276.4535767900702</v>
      </c>
      <c r="AV79" s="35">
        <f t="shared" si="16"/>
        <v>278.06944937948504</v>
      </c>
      <c r="AW79" s="34"/>
      <c r="AX79"/>
      <c r="AY79"/>
      <c r="AZ79"/>
    </row>
    <row r="80" spans="1:52" s="21" customFormat="1" ht="15">
      <c r="B80" s="34"/>
      <c r="C80" s="34"/>
      <c r="D80" s="34"/>
      <c r="E80" s="34" t="s">
        <v>306</v>
      </c>
      <c r="F80" s="34"/>
      <c r="G80" s="2" t="s">
        <v>105</v>
      </c>
      <c r="H80" s="34" t="s">
        <v>1239</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267.30853611605795</v>
      </c>
      <c r="AS80" s="35">
        <f t="shared" ref="AS80:AV80" si="18">AS78+AS79</f>
        <v>233.03926950433799</v>
      </c>
      <c r="AT80" s="35">
        <f t="shared" si="18"/>
        <v>271.24935114255658</v>
      </c>
      <c r="AU80" s="35">
        <f t="shared" si="18"/>
        <v>276.4535767900702</v>
      </c>
      <c r="AV80" s="35">
        <f t="shared" si="18"/>
        <v>278.06944937948504</v>
      </c>
      <c r="AW80" s="34"/>
      <c r="AX80"/>
      <c r="AY80"/>
      <c r="AZ80"/>
    </row>
    <row r="81" spans="2:52" s="134" customFormat="1" ht="15">
      <c r="B81" s="77"/>
      <c r="C81" s="77"/>
      <c r="D81" s="77"/>
      <c r="E81" s="77" t="s">
        <v>1240</v>
      </c>
      <c r="F81" s="77"/>
      <c r="G81" s="2" t="s">
        <v>105</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-4.8263427680386712</v>
      </c>
      <c r="AU81" s="365">
        <f t="shared" si="21"/>
        <v>0</v>
      </c>
      <c r="AV81" s="365">
        <f t="shared" si="21"/>
        <v>0</v>
      </c>
      <c r="AW81" s="77"/>
      <c r="AX81" s="78"/>
      <c r="AY81" s="78"/>
      <c r="AZ81" s="78"/>
    </row>
    <row r="82" spans="2:52" s="21" customFormat="1" ht="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5">
      <c r="B83" s="34"/>
      <c r="C83" s="34"/>
      <c r="D83" s="34"/>
      <c r="E83" s="34" t="s">
        <v>311</v>
      </c>
      <c r="F83" s="34"/>
      <c r="G83" s="34" t="s">
        <v>312</v>
      </c>
      <c r="H83" s="34" t="s">
        <v>313</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InputSummary!AQ253</f>
        <v>0</v>
      </c>
      <c r="AR83" s="368">
        <f>InputSummary!AR253</f>
        <v>0</v>
      </c>
      <c r="AS83" s="368">
        <f>InputSummary!AS253</f>
        <v>0</v>
      </c>
      <c r="AT83" s="368">
        <f>InputSummary!AT253</f>
        <v>0</v>
      </c>
      <c r="AU83" s="368">
        <f>InputSummary!AU253</f>
        <v>0</v>
      </c>
      <c r="AV83" s="368">
        <f>InputSummary!AV253</f>
        <v>0</v>
      </c>
      <c r="AW83" s="34"/>
      <c r="AX83"/>
      <c r="AY83"/>
      <c r="AZ83"/>
    </row>
    <row r="84" spans="2:52" s="21" customFormat="1" ht="1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5">
      <c r="E85" s="131" t="s">
        <v>316</v>
      </c>
      <c r="F85" s="21"/>
      <c r="G85" s="21" t="s">
        <v>209</v>
      </c>
      <c r="H85" s="21"/>
      <c r="I85" s="370">
        <f>InputSummary!I255</f>
        <v>0.06</v>
      </c>
      <c r="AQ85" s="369"/>
      <c r="AR85" s="143"/>
      <c r="AS85" s="143"/>
      <c r="AT85" s="143"/>
      <c r="AU85" s="143"/>
      <c r="AV85" s="143"/>
    </row>
    <row r="86" spans="2:52" s="21" customFormat="1" ht="15">
      <c r="B86" s="34"/>
      <c r="C86" s="34"/>
      <c r="D86" s="34"/>
      <c r="E86" s="34" t="s">
        <v>1240</v>
      </c>
      <c r="F86" s="34"/>
      <c r="G86" s="34" t="s">
        <v>312</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1.0181153377010672</v>
      </c>
      <c r="AU86" s="368">
        <f t="shared" si="22"/>
        <v>1</v>
      </c>
      <c r="AV86" s="368">
        <f t="shared" si="22"/>
        <v>1</v>
      </c>
      <c r="AW86" s="34"/>
      <c r="AX86"/>
      <c r="AY86"/>
      <c r="AZ86"/>
    </row>
    <row r="87" spans="2:52" s="21" customFormat="1" ht="15">
      <c r="B87" s="34"/>
      <c r="C87" s="34"/>
      <c r="D87" s="34"/>
      <c r="E87" s="34" t="s">
        <v>317</v>
      </c>
      <c r="F87" s="34"/>
      <c r="G87" s="21" t="s">
        <v>209</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5">
      <c r="B89" s="367"/>
      <c r="C89" s="367"/>
      <c r="D89" s="367"/>
      <c r="E89" s="367" t="s">
        <v>1241</v>
      </c>
      <c r="F89" s="367"/>
      <c r="G89" s="34" t="s">
        <v>302</v>
      </c>
      <c r="H89" s="367" t="s">
        <v>1242</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5">
      <c r="B91" s="34"/>
      <c r="C91" s="34"/>
      <c r="D91" s="366" t="s">
        <v>1243</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5">
      <c r="B92" s="34"/>
      <c r="C92" s="34"/>
      <c r="D92" s="34"/>
      <c r="E92" s="34" t="s">
        <v>1244</v>
      </c>
      <c r="F92" s="34"/>
      <c r="G92" s="34" t="s">
        <v>302</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InputSummary!AQ249</f>
        <v>0</v>
      </c>
      <c r="AR92" s="330">
        <f>InputSummary!AR249</f>
        <v>0</v>
      </c>
      <c r="AS92" s="330">
        <f>InputSummary!AS249</f>
        <v>0</v>
      </c>
      <c r="AT92" s="330">
        <f>InputSummary!AT249</f>
        <v>340.41054209014391</v>
      </c>
      <c r="AU92" s="330">
        <f>InputSummary!AU249</f>
        <v>0</v>
      </c>
      <c r="AV92" s="330">
        <f>InputSummary!AV249</f>
        <v>0</v>
      </c>
      <c r="AW92" s="34"/>
      <c r="AX92"/>
      <c r="AY92"/>
      <c r="AZ92"/>
    </row>
    <row r="93" spans="2:52" s="21" customFormat="1" ht="15">
      <c r="B93" s="34"/>
      <c r="C93" s="34"/>
      <c r="D93" s="34"/>
      <c r="E93" s="34" t="s">
        <v>1245</v>
      </c>
      <c r="F93" s="34"/>
      <c r="G93" s="34" t="s">
        <v>302</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400.6964231536399</v>
      </c>
      <c r="AR93" s="35">
        <f t="shared" si="24"/>
        <v>406.46418782367124</v>
      </c>
      <c r="AS93" s="35">
        <f t="shared" si="24"/>
        <v>427.55350591537206</v>
      </c>
      <c r="AT93" s="35">
        <f t="shared" si="24"/>
        <v>0</v>
      </c>
      <c r="AU93" s="35">
        <f t="shared" si="24"/>
        <v>366.00388768236195</v>
      </c>
      <c r="AV93" s="35">
        <f t="shared" si="24"/>
        <v>418.6857072532988</v>
      </c>
      <c r="AW93" s="34"/>
      <c r="AX93"/>
      <c r="AY93"/>
      <c r="AZ93"/>
    </row>
    <row r="94" spans="2:52" s="21" customFormat="1" ht="15">
      <c r="B94" s="34"/>
      <c r="C94" s="34"/>
      <c r="D94" s="34"/>
      <c r="E94" s="34" t="s">
        <v>304</v>
      </c>
      <c r="F94" s="34"/>
      <c r="G94" s="34" t="s">
        <v>302</v>
      </c>
      <c r="H94" s="34" t="s">
        <v>1246</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400.6964231536399</v>
      </c>
      <c r="AR94" s="35">
        <f t="shared" ref="AR94:AV94" si="25">AR92+AR93</f>
        <v>406.46418782367124</v>
      </c>
      <c r="AS94" s="35">
        <f t="shared" si="25"/>
        <v>427.55350591537206</v>
      </c>
      <c r="AT94" s="35">
        <f t="shared" si="25"/>
        <v>340.41054209014391</v>
      </c>
      <c r="AU94" s="35">
        <f t="shared" si="25"/>
        <v>366.00388768236195</v>
      </c>
      <c r="AV94" s="35">
        <f t="shared" si="25"/>
        <v>418.6857072532988</v>
      </c>
      <c r="AW94" s="34"/>
      <c r="AX94"/>
      <c r="AY94"/>
      <c r="AZ94"/>
    </row>
    <row r="95" spans="2:52" s="134" customFormat="1" ht="15">
      <c r="B95" s="77"/>
      <c r="C95" s="77"/>
      <c r="D95" s="77"/>
      <c r="E95" s="77" t="s">
        <v>1247</v>
      </c>
      <c r="F95" s="77"/>
      <c r="G95" s="34" t="s">
        <v>302</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-12.706771033639882</v>
      </c>
      <c r="AR95" s="365">
        <f t="shared" si="26"/>
        <v>-48.036911878671219</v>
      </c>
      <c r="AS95" s="365">
        <f t="shared" si="26"/>
        <v>69.879891893290733</v>
      </c>
      <c r="AT95" s="365">
        <f t="shared" si="26"/>
        <v>1.2405236494537917</v>
      </c>
      <c r="AU95" s="365">
        <f t="shared" si="26"/>
        <v>0</v>
      </c>
      <c r="AV95" s="365">
        <f t="shared" si="26"/>
        <v>0</v>
      </c>
      <c r="AW95" s="77"/>
      <c r="AX95" s="78"/>
      <c r="AY95" s="78"/>
      <c r="AZ95" s="78"/>
    </row>
    <row r="96" spans="2:52" s="21" customFormat="1" ht="1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5">
      <c r="B97" s="34"/>
      <c r="C97" s="34"/>
      <c r="D97" s="34"/>
      <c r="E97" s="34" t="s">
        <v>314</v>
      </c>
      <c r="F97" s="34"/>
      <c r="G97" s="34" t="s">
        <v>312</v>
      </c>
      <c r="H97" s="34" t="s">
        <v>315</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InputSummary!AQ254</f>
        <v>0</v>
      </c>
      <c r="AR97" s="368">
        <f>InputSummary!AR254</f>
        <v>0</v>
      </c>
      <c r="AS97" s="368">
        <f>InputSummary!AS254</f>
        <v>0</v>
      </c>
      <c r="AT97" s="368">
        <f>InputSummary!AT254</f>
        <v>0</v>
      </c>
      <c r="AU97" s="368">
        <f>InputSummary!AU254</f>
        <v>0</v>
      </c>
      <c r="AV97" s="368">
        <f>InputSummary!AV254</f>
        <v>0</v>
      </c>
      <c r="AW97" s="34"/>
      <c r="AX97"/>
      <c r="AY97"/>
      <c r="AZ97"/>
    </row>
    <row r="98" spans="1:52" s="21" customFormat="1" ht="1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5">
      <c r="E99" s="131" t="s">
        <v>316</v>
      </c>
      <c r="F99" s="21"/>
      <c r="G99" s="21" t="s">
        <v>209</v>
      </c>
      <c r="H99" s="21"/>
      <c r="I99" s="370">
        <f>InputSummary!I255</f>
        <v>0.06</v>
      </c>
      <c r="AQ99" s="369"/>
      <c r="AR99" s="143"/>
      <c r="AS99" s="143"/>
      <c r="AT99" s="143"/>
      <c r="AU99" s="143"/>
      <c r="AV99" s="143"/>
    </row>
    <row r="100" spans="1:52" s="21" customFormat="1" ht="15">
      <c r="B100" s="34"/>
      <c r="C100" s="34"/>
      <c r="D100" s="34"/>
      <c r="E100" s="34" t="s">
        <v>1248</v>
      </c>
      <c r="F100" s="34"/>
      <c r="G100" s="34" t="s">
        <v>312</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1.0327502833238187</v>
      </c>
      <c r="AR100" s="368">
        <f t="shared" ref="AR100:AV100" si="27">IFERROR(AR94/AR62,0)</f>
        <v>1.1340213624982112</v>
      </c>
      <c r="AS100" s="368">
        <f t="shared" si="27"/>
        <v>0.85951909903691281</v>
      </c>
      <c r="AT100" s="368">
        <f t="shared" si="27"/>
        <v>0.99636903328029036</v>
      </c>
      <c r="AU100" s="368">
        <f t="shared" si="27"/>
        <v>1</v>
      </c>
      <c r="AV100" s="368">
        <f t="shared" si="27"/>
        <v>1</v>
      </c>
      <c r="AW100" s="34"/>
      <c r="AX100"/>
      <c r="AY100"/>
      <c r="AZ100"/>
    </row>
    <row r="101" spans="1:52" s="21" customFormat="1" ht="15">
      <c r="B101" s="34"/>
      <c r="C101" s="34"/>
      <c r="D101" s="34"/>
      <c r="E101" s="34" t="s">
        <v>318</v>
      </c>
      <c r="F101" s="34"/>
      <c r="G101" s="21" t="s">
        <v>209</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1.15E-2</v>
      </c>
      <c r="AS101" s="126">
        <f t="shared" si="28"/>
        <v>-1.15E-2</v>
      </c>
      <c r="AT101" s="126">
        <f t="shared" si="28"/>
        <v>0</v>
      </c>
      <c r="AU101" s="126">
        <f t="shared" si="28"/>
        <v>0</v>
      </c>
      <c r="AV101" s="126">
        <f t="shared" si="28"/>
        <v>0</v>
      </c>
      <c r="AW101" s="34"/>
      <c r="AX101"/>
      <c r="AY101"/>
      <c r="AZ101"/>
    </row>
    <row r="102" spans="1:52" s="21" customFormat="1" ht="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5">
      <c r="B103" s="367"/>
      <c r="C103" s="367"/>
      <c r="D103" s="367"/>
      <c r="E103" s="367" t="s">
        <v>1249</v>
      </c>
      <c r="F103" s="367"/>
      <c r="G103" s="34" t="s">
        <v>302</v>
      </c>
      <c r="H103" s="367" t="s">
        <v>1250</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5">
      <c r="B105" s="367"/>
      <c r="C105" s="367"/>
      <c r="D105" s="367"/>
      <c r="E105" s="367" t="s">
        <v>1251</v>
      </c>
      <c r="F105" s="367"/>
      <c r="G105" s="367"/>
      <c r="H105" s="367" t="s">
        <v>1216</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5">
      <c r="A108" s="21"/>
      <c r="B108" s="37" t="s">
        <v>79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row r="110" spans="1:52"/>
  </sheetData>
  <conditionalFormatting sqref="K11:AV11">
    <cfRule type="cellIs" dxfId="53" priority="5" operator="equal">
      <formula>FALSE()</formula>
    </cfRule>
  </conditionalFormatting>
  <conditionalFormatting sqref="AM2">
    <cfRule type="expression" dxfId="52" priority="1">
      <formula>mac_sensitivity=2</formula>
    </cfRule>
    <cfRule type="expression" dxfId="51" priority="2">
      <formula>mac_sensitivity=1</formula>
    </cfRule>
  </conditionalFormatting>
  <conditionalFormatting sqref="AM3">
    <cfRule type="expression" dxfId="50"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59"/>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 min="11" max="35" width="9.625" hidden="1" customWidth="1" outlineLevel="1"/>
    <col min="36" max="36" width="9.625" customWidth="1" collapsed="1"/>
    <col min="37" max="48" width="9.625" customWidth="1"/>
    <col min="49" max="49" width="3" customWidth="1"/>
    <col min="50" max="54" width="0" hidden="1" customWidth="1"/>
    <col min="55" max="16384" width="9" hidden="1"/>
  </cols>
  <sheetData>
    <row r="1" spans="1:49" ht="19.5">
      <c r="A1" s="195" t="s">
        <v>72</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5">
      <c r="A2" s="181"/>
      <c r="B2" s="157" t="str">
        <f>UserInterface!$E$30</f>
        <v>NPgN</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
      <c r="C6" s="2"/>
      <c r="D6" s="2"/>
      <c r="E6" s="2" t="s">
        <v>1252</v>
      </c>
      <c r="F6" s="2"/>
      <c r="G6" s="2" t="s">
        <v>1253</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5">
      <c r="A8" s="2"/>
      <c r="B8" s="2"/>
      <c r="C8" s="2"/>
      <c r="D8" s="2"/>
      <c r="E8" s="2" t="s">
        <v>1254</v>
      </c>
      <c r="F8" s="2"/>
      <c r="G8" s="2" t="s">
        <v>1253</v>
      </c>
      <c r="H8" s="2"/>
      <c r="I8" s="501">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5">
      <c r="A9" s="2"/>
      <c r="B9" s="2"/>
      <c r="C9" s="2"/>
      <c r="D9" s="2"/>
      <c r="E9" s="2" t="s">
        <v>1255</v>
      </c>
      <c r="F9" s="2"/>
      <c r="G9" s="2" t="s">
        <v>1256</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5">
      <c r="A11" s="2"/>
      <c r="B11" s="2"/>
      <c r="C11" s="2"/>
      <c r="D11" s="2"/>
      <c r="E11" s="2" t="s">
        <v>1257</v>
      </c>
      <c r="F11" s="2"/>
      <c r="G11" s="2" t="s">
        <v>1256</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5">
      <c r="A12" s="2"/>
      <c r="B12" s="2"/>
      <c r="C12" s="2"/>
      <c r="D12" s="2"/>
      <c r="E12" s="2" t="s">
        <v>1258</v>
      </c>
      <c r="F12" s="2"/>
      <c r="G12" s="2" t="s">
        <v>1259</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5">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5">
      <c r="A14" s="2"/>
      <c r="B14" s="2"/>
      <c r="C14" s="2"/>
      <c r="D14" s="2"/>
      <c r="E14" s="2" t="s">
        <v>1260</v>
      </c>
      <c r="F14" s="2"/>
      <c r="G14" s="2" t="s">
        <v>277</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5">
      <c r="A15" s="2"/>
      <c r="B15" s="2"/>
      <c r="C15" s="2"/>
      <c r="D15" s="2"/>
      <c r="E15" s="2" t="s">
        <v>544</v>
      </c>
      <c r="F15" s="2"/>
      <c r="G15" s="2" t="s">
        <v>277</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5">
      <c r="A17" s="2"/>
      <c r="B17" s="22" t="s">
        <v>73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0" t="s">
        <v>1261</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5">
      <c r="A21" s="2"/>
      <c r="B21" s="2"/>
      <c r="C21" s="2"/>
      <c r="D21" s="2"/>
      <c r="E21" s="2" t="s">
        <v>1262</v>
      </c>
      <c r="F21" s="2"/>
      <c r="G21" s="2" t="s">
        <v>865</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OUTTURN</v>
      </c>
      <c r="AS21" s="251" t="str">
        <f t="shared" si="2"/>
        <v>FORECAST</v>
      </c>
      <c r="AT21" s="251" t="str">
        <f t="shared" si="2"/>
        <v>FORECAST</v>
      </c>
      <c r="AU21" s="251" t="str">
        <f t="shared" si="2"/>
        <v>FORECAST</v>
      </c>
      <c r="AV21" s="251" t="str">
        <f t="shared" si="2"/>
        <v>FORECAST</v>
      </c>
      <c r="AW21" s="2"/>
    </row>
    <row r="22" spans="1:49" ht="15">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5">
      <c r="A23" s="2"/>
      <c r="B23" s="2"/>
      <c r="C23" s="2"/>
      <c r="D23" s="2"/>
      <c r="E23" s="2" t="s">
        <v>1263</v>
      </c>
      <c r="F23" s="2"/>
      <c r="G23" s="2" t="s">
        <v>537</v>
      </c>
      <c r="H23" s="2" t="s">
        <v>1264</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377.48333333333341</v>
      </c>
      <c r="AS23" s="252">
        <f>IFERROR(AVERAGEIFS('Monthly Inflation'!$M:$M,'Monthly Inflation'!$E:$E,"&gt;="&amp;DATE(AS$6 - 1, $I11, $I12),'Monthly Inflation'!$E:$E,"&lt;="&amp;DATE(AS$6, $I11 - 1, $I12)),"")</f>
        <v>391.21462167274558</v>
      </c>
      <c r="AT23" s="252">
        <f>IFERROR(AVERAGEIFS('Monthly Inflation'!$M:$M,'Monthly Inflation'!$E:$E,"&gt;="&amp;DATE(AT$6 - 1, $I11, $I12),'Monthly Inflation'!$E:$E,"&lt;="&amp;DATE(AT$6, $I11 - 1, $I12)),"")</f>
        <v>404.56041721202445</v>
      </c>
      <c r="AU23" s="252">
        <f>IFERROR(AVERAGEIFS('Monthly Inflation'!$M:$M,'Monthly Inflation'!$E:$E,"&gt;="&amp;DATE(AU$6 - 1, $I11, $I12),'Monthly Inflation'!$E:$E,"&lt;="&amp;DATE(AU$6, $I11 - 1, $I12)),"")</f>
        <v>417.55853089760785</v>
      </c>
      <c r="AV23" s="252">
        <f>IFERROR(AVERAGEIFS('Monthly Inflation'!$M:$M,'Monthly Inflation'!$E:$E,"&gt;="&amp;DATE(AV$6 - 1, $I11, $I12),'Monthly Inflation'!$E:$E,"&lt;="&amp;DATE(AV$6, $I11 - 1, $I12)),"")</f>
        <v>430.2703708555357</v>
      </c>
      <c r="AW23" s="2"/>
    </row>
    <row r="24" spans="1:49" ht="15">
      <c r="A24" s="2"/>
      <c r="B24" s="2"/>
      <c r="C24" s="2"/>
      <c r="D24" s="2"/>
      <c r="E24" s="2" t="s">
        <v>1265</v>
      </c>
      <c r="F24" s="2"/>
      <c r="G24" s="2" t="s">
        <v>601</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7.4787642955440825E-2</v>
      </c>
      <c r="AS24" s="322">
        <f t="shared" si="3"/>
        <v>3.6375879745893069E-2</v>
      </c>
      <c r="AT24" s="322">
        <f t="shared" si="3"/>
        <v>3.4113744221049958E-2</v>
      </c>
      <c r="AU24" s="322">
        <f t="shared" si="3"/>
        <v>3.2128980326741274E-2</v>
      </c>
      <c r="AV24" s="322">
        <f t="shared" si="3"/>
        <v>3.0443252903016305E-2</v>
      </c>
      <c r="AW24" s="2"/>
    </row>
    <row r="25" spans="1:49" ht="15">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5">
      <c r="A26" s="2"/>
      <c r="B26" s="2"/>
      <c r="C26" s="2"/>
      <c r="D26" s="2"/>
      <c r="E26" s="2" t="s">
        <v>1266</v>
      </c>
      <c r="F26" s="2"/>
      <c r="G26" s="2" t="s">
        <v>537</v>
      </c>
      <c r="H26" s="2" t="s">
        <v>1267</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129.86666666666665</v>
      </c>
      <c r="AS26" s="252">
        <f>IFERROR(AVERAGEIFS('Monthly Inflation'!$L:$L,'Monthly Inflation'!$E:$E,"&gt;="&amp;DATE(AS$6-1,$I11, $I12),'Monthly Inflation'!$E:$E,"&lt;="&amp;DATE(AS$6,$I11-1,$I12)),"")</f>
        <v>133.97243053261781</v>
      </c>
      <c r="AT26" s="252">
        <f>IFERROR(AVERAGEIFS('Monthly Inflation'!$L:$L,'Monthly Inflation'!$E:$E,"&gt;="&amp;DATE(AT$6-1,$I11, $I12),'Monthly Inflation'!$E:$E,"&lt;="&amp;DATE(AT$6,$I11-1,$I12)),"")</f>
        <v>137.31231339815562</v>
      </c>
      <c r="AU26" s="252">
        <f>IFERROR(AVERAGEIFS('Monthly Inflation'!$L:$L,'Monthly Inflation'!$E:$E,"&gt;="&amp;DATE(AU$6-1,$I11, $I12),'Monthly Inflation'!$E:$E,"&lt;="&amp;DATE(AU$6,$I11-1,$I12)),"")</f>
        <v>140.36318101956923</v>
      </c>
      <c r="AV26" s="252">
        <f>IFERROR(AVERAGEIFS('Monthly Inflation'!$L:$L,'Monthly Inflation'!$E:$E,"&gt;="&amp;DATE(AV$6-1,$I11, $I12),'Monthly Inflation'!$E:$E,"&lt;="&amp;DATE(AV$6,$I11-1,$I12)),"")</f>
        <v>143.31934100373354</v>
      </c>
      <c r="AW26" s="2"/>
    </row>
    <row r="27" spans="1:49" ht="15">
      <c r="A27" s="2"/>
      <c r="B27" s="2"/>
      <c r="C27" s="2"/>
      <c r="D27" s="2"/>
      <c r="E27" s="2" t="s">
        <v>1268</v>
      </c>
      <c r="F27" s="2"/>
      <c r="G27" s="2" t="s">
        <v>601</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5.5469014561462915E-2</v>
      </c>
      <c r="AS27" s="322">
        <f t="shared" si="4"/>
        <v>3.16152248404864E-2</v>
      </c>
      <c r="AT27" s="322">
        <f t="shared" si="4"/>
        <v>2.4929628075417209E-2</v>
      </c>
      <c r="AU27" s="322">
        <f t="shared" si="4"/>
        <v>2.2218456203320969E-2</v>
      </c>
      <c r="AV27" s="322">
        <f t="shared" si="4"/>
        <v>2.106079359766122E-2</v>
      </c>
      <c r="AW27" s="2"/>
    </row>
    <row r="28" spans="1:49" ht="15">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5">
      <c r="A29" s="2"/>
      <c r="B29" s="2"/>
      <c r="C29" s="2"/>
      <c r="D29" s="2"/>
      <c r="E29" s="2" t="s">
        <v>1269</v>
      </c>
      <c r="F29" s="2"/>
      <c r="G29" s="2" t="s">
        <v>537</v>
      </c>
      <c r="H29" s="2" t="s">
        <v>1206</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376.71650221738128</v>
      </c>
      <c r="AS29" s="252">
        <f>IFERROR(AVERAGEIFS('Monthly Inflation'!$N:$N,'Monthly Inflation'!$E:$E,"&gt;="&amp;DATE(AS$6-1, $I11, $I12),'Monthly Inflation'!$E:$E,"&lt;="&amp;DATE(AS$6, $I11 - 1, $I12)),"")</f>
        <v>388.62647913610527</v>
      </c>
      <c r="AT29" s="252">
        <f>IFERROR(AVERAGEIFS('Monthly Inflation'!$N:$N,'Monthly Inflation'!$E:$E,"&gt;="&amp;DATE(AT$6-1, $I11, $I12),'Monthly Inflation'!$E:$E,"&lt;="&amp;DATE(AT$6, $I11 - 1, $I12)),"")</f>
        <v>398.31479272122715</v>
      </c>
      <c r="AU29" s="252">
        <f>IFERROR(AVERAGEIFS('Monthly Inflation'!$N:$N,'Monthly Inflation'!$E:$E,"&gt;="&amp;DATE(AU$6-1, $I11, $I12),'Monthly Inflation'!$E:$E,"&lt;="&amp;DATE(AU$6, $I11 - 1, $I12)),"")</f>
        <v>407.16473249843847</v>
      </c>
      <c r="AV29" s="252">
        <f>IFERROR(AVERAGEIFS('Monthly Inflation'!$N:$N,'Monthly Inflation'!$E:$E,"&gt;="&amp;DATE(AV$6-1, $I11, $I12),'Monthly Inflation'!$E:$E,"&lt;="&amp;DATE(AV$6, $I11 - 1, $I12)),"")</f>
        <v>415.73994488983499</v>
      </c>
      <c r="AW29" s="2"/>
    </row>
    <row r="30" spans="1:49" ht="15">
      <c r="A30" s="2"/>
      <c r="B30" s="2"/>
      <c r="C30" s="2"/>
      <c r="D30" s="2"/>
      <c r="E30" s="2" t="s">
        <v>1270</v>
      </c>
      <c r="F30" s="2"/>
      <c r="G30" s="2" t="s">
        <v>601</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7.2604286672181217E-2</v>
      </c>
      <c r="AS30" s="322">
        <f t="shared" si="5"/>
        <v>3.1615224840486178E-2</v>
      </c>
      <c r="AT30" s="322">
        <f t="shared" si="5"/>
        <v>2.4929628075416987E-2</v>
      </c>
      <c r="AU30" s="322">
        <f t="shared" si="5"/>
        <v>2.2218456203320525E-2</v>
      </c>
      <c r="AV30" s="322">
        <f t="shared" si="5"/>
        <v>2.106079359766122E-2</v>
      </c>
      <c r="AW30" s="2"/>
    </row>
    <row r="31" spans="1:49" ht="15">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5">
      <c r="A32" s="2"/>
      <c r="B32" s="2"/>
      <c r="C32" s="2"/>
      <c r="D32" s="2"/>
      <c r="E32" s="2" t="s">
        <v>99</v>
      </c>
      <c r="F32" s="2"/>
      <c r="G32" s="2" t="s">
        <v>100</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1.2806226704273584</v>
      </c>
      <c r="AS32" s="253">
        <f t="shared" si="6"/>
        <v>1.321109844088743</v>
      </c>
      <c r="AT32" s="253">
        <f t="shared" si="6"/>
        <v>1.3540446211486474</v>
      </c>
      <c r="AU32" s="253">
        <f t="shared" si="6"/>
        <v>1.3841294022609805</v>
      </c>
      <c r="AV32" s="253">
        <f t="shared" si="6"/>
        <v>1.4132802659144532</v>
      </c>
      <c r="AW32" s="2"/>
    </row>
    <row r="33" spans="1:49" ht="15">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5">
      <c r="A34" s="2"/>
      <c r="B34" s="2"/>
      <c r="C34" s="2"/>
      <c r="D34" s="2"/>
      <c r="E34" s="7" t="s">
        <v>1271</v>
      </c>
      <c r="F34" s="2"/>
      <c r="G34" s="2" t="s">
        <v>601</v>
      </c>
      <c r="H34" s="2" t="s">
        <v>1272</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5">
      <c r="A35" s="2"/>
      <c r="B35" s="2"/>
      <c r="C35" s="2"/>
      <c r="D35" s="2"/>
      <c r="E35" s="7" t="s">
        <v>1273</v>
      </c>
      <c r="F35" s="2"/>
      <c r="G35" s="2" t="s">
        <v>601</v>
      </c>
      <c r="H35" s="2" t="s">
        <v>1274</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305">
        <v>0.02</v>
      </c>
      <c r="AS35" s="305">
        <v>0.02</v>
      </c>
      <c r="AT35" s="305">
        <v>0.02</v>
      </c>
      <c r="AU35" s="305">
        <v>0.02</v>
      </c>
      <c r="AV35" s="305">
        <v>0.02</v>
      </c>
      <c r="AW35" s="2"/>
    </row>
    <row r="36" spans="1:49" ht="15">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5">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5">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5">
      <c r="A39" s="2"/>
      <c r="B39" s="2"/>
      <c r="C39" s="2"/>
      <c r="D39" s="2"/>
      <c r="E39" s="7" t="s">
        <v>1276</v>
      </c>
      <c r="F39" s="2"/>
      <c r="G39" s="2" t="s">
        <v>865</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OUTTURN</v>
      </c>
      <c r="AT39" s="251" t="str">
        <f t="shared" si="8"/>
        <v>FORECAST</v>
      </c>
      <c r="AU39" s="251" t="str">
        <f t="shared" si="8"/>
        <v>FORECAST</v>
      </c>
      <c r="AV39" s="251" t="str">
        <f t="shared" si="8"/>
        <v>FORECAST</v>
      </c>
      <c r="AW39" s="2"/>
    </row>
    <row r="40" spans="1:49" ht="15">
      <c r="A40" s="2"/>
      <c r="B40" s="2"/>
      <c r="C40" s="2"/>
      <c r="D40" s="2"/>
      <c r="E40" s="7" t="s">
        <v>1277</v>
      </c>
      <c r="F40" s="2"/>
      <c r="G40" s="2" t="s">
        <v>537</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382.61478420795106</v>
      </c>
      <c r="AT40" s="206">
        <f>IFERROR(AVERAGEIFS('Monthly Inflation'!$N:$N,'Monthly Inflation'!$E:$E,"&gt;="&amp;DATE(AT$6 - 1, $I11 - 1, $I12),'Monthly Inflation'!$E:$E,"&lt;="&amp;DATE(AT$6 - 1, $I11, $I12)),"")</f>
        <v>393.651915598242</v>
      </c>
      <c r="AU40" s="206">
        <f>IFERROR(AVERAGEIFS('Monthly Inflation'!$N:$N,'Monthly Inflation'!$E:$E,"&gt;="&amp;DATE(AU$6 - 1, $I11 - 1, $I12),'Monthly Inflation'!$E:$E,"&lt;="&amp;DATE(AU$6 - 1, $I11, $I12)),"")</f>
        <v>402.80971213007888</v>
      </c>
      <c r="AV40" s="206">
        <f>IFERROR(AVERAGEIFS('Monthly Inflation'!$N:$N,'Monthly Inflation'!$E:$E,"&gt;="&amp;DATE(AV$6 - 1, $I11 - 1, $I12),'Monthly Inflation'!$E:$E,"&lt;="&amp;DATE(AV$6 - 1, $I11, $I12)),"")</f>
        <v>411.45482138402963</v>
      </c>
      <c r="AW40" s="2"/>
    </row>
    <row r="41" spans="1:49" ht="15">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5">
      <c r="A42" s="2"/>
      <c r="B42" s="2"/>
      <c r="C42" s="2"/>
      <c r="D42" s="2"/>
      <c r="E42" s="7" t="s">
        <v>1278</v>
      </c>
      <c r="F42" s="2"/>
      <c r="G42" s="2" t="s">
        <v>865</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OUTTURN</v>
      </c>
      <c r="AS42" s="251" t="str">
        <f t="shared" si="10"/>
        <v>FORECAST</v>
      </c>
      <c r="AT42" s="251" t="str">
        <f t="shared" si="10"/>
        <v>FORECAST</v>
      </c>
      <c r="AU42" s="251" t="str">
        <f t="shared" si="10"/>
        <v>FORECAST</v>
      </c>
      <c r="AV42" s="251" t="str">
        <f t="shared" si="10"/>
        <v>FORECAST</v>
      </c>
      <c r="AW42" s="2"/>
    </row>
    <row r="43" spans="1:49" ht="15">
      <c r="A43" s="2"/>
      <c r="B43" s="2"/>
      <c r="C43" s="2"/>
      <c r="D43" s="2"/>
      <c r="E43" s="7" t="s">
        <v>0</v>
      </c>
      <c r="F43" s="2"/>
      <c r="G43" s="2" t="s">
        <v>537</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382.61478420795106</v>
      </c>
      <c r="AS43" s="206">
        <f>IFERROR(AVERAGEIFS('Monthly Inflation'!$N:$N,'Monthly Inflation'!$E:$E,"&gt;="&amp;DATE(AS$6,$I11 - 1, $I12),'Monthly Inflation'!$E:$E,"&lt;="&amp;DATE(AS$6, $I11, $I12)),"")</f>
        <v>393.651915598242</v>
      </c>
      <c r="AT43" s="206">
        <f>IFERROR(AVERAGEIFS('Monthly Inflation'!$N:$N,'Monthly Inflation'!$E:$E,"&gt;="&amp;DATE(AT$6,$I11 - 1, $I12),'Monthly Inflation'!$E:$E,"&lt;="&amp;DATE(AT$6, $I11, $I12)),"")</f>
        <v>402.80971213007888</v>
      </c>
      <c r="AU43" s="206">
        <f>IFERROR(AVERAGEIFS('Monthly Inflation'!$N:$N,'Monthly Inflation'!$E:$E,"&gt;="&amp;DATE(AU$6,$I11 - 1, $I12),'Monthly Inflation'!$E:$E,"&lt;="&amp;DATE(AU$6, $I11, $I12)),"")</f>
        <v>411.45482138402963</v>
      </c>
      <c r="AV43" s="206">
        <f>IFERROR(AVERAGEIFS('Monthly Inflation'!$N:$N,'Monthly Inflation'!$E:$E,"&gt;="&amp;DATE(AV$6,$I11 - 1, $I12),'Monthly Inflation'!$E:$E,"&lt;="&amp;DATE(AV$6, $I11, $I12)),"")</f>
        <v>419.66759582618874</v>
      </c>
      <c r="AW43" s="2"/>
    </row>
    <row r="44" spans="1:49" ht="15">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5">
      <c r="A45" s="2"/>
      <c r="B45" s="2"/>
      <c r="C45" s="2"/>
      <c r="D45" s="2"/>
      <c r="E45" s="7" t="s">
        <v>1279</v>
      </c>
      <c r="F45" s="2"/>
      <c r="G45" s="2" t="s">
        <v>100</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1.3006734873924681</v>
      </c>
      <c r="AT45" s="256">
        <f t="shared" si="11"/>
        <v>1.3381934807872249</v>
      </c>
      <c r="AU45" s="256">
        <f t="shared" si="11"/>
        <v>1.3693248004421943</v>
      </c>
      <c r="AV45" s="256">
        <f t="shared" si="11"/>
        <v>1.3987132738267296</v>
      </c>
      <c r="AW45" s="2"/>
    </row>
    <row r="46" spans="1:49" ht="15">
      <c r="A46" s="2"/>
      <c r="B46" s="2"/>
      <c r="C46" s="2"/>
      <c r="D46" s="2"/>
      <c r="E46" s="7" t="s">
        <v>1280</v>
      </c>
      <c r="F46" s="2"/>
      <c r="G46" s="2" t="s">
        <v>100</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1.3006734873924681</v>
      </c>
      <c r="AS46" s="256">
        <f t="shared" si="12"/>
        <v>1.3381934807872249</v>
      </c>
      <c r="AT46" s="256">
        <f t="shared" si="12"/>
        <v>1.3693248004421943</v>
      </c>
      <c r="AU46" s="256">
        <f t="shared" si="12"/>
        <v>1.3987132738267296</v>
      </c>
      <c r="AV46" s="256">
        <f t="shared" si="12"/>
        <v>1.426632053800075</v>
      </c>
      <c r="AW46" s="2"/>
    </row>
    <row r="47" spans="1:49" ht="15">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5">
      <c r="A48" s="2"/>
      <c r="B48" s="2"/>
      <c r="C48" s="20" t="s">
        <v>1281</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5">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5">
      <c r="A50" s="2"/>
      <c r="B50" s="2"/>
      <c r="C50" s="2"/>
      <c r="D50" s="2"/>
      <c r="E50" s="7" t="s">
        <v>1282</v>
      </c>
      <c r="F50" s="2"/>
      <c r="G50" s="2" t="s">
        <v>100</v>
      </c>
      <c r="H50" s="2" t="s">
        <v>1283</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1">
        <v>9.6914789201007601</v>
      </c>
      <c r="AR50" s="441">
        <v>3.6285833089104491</v>
      </c>
      <c r="AS50" s="441">
        <v>3.4828566998632349</v>
      </c>
      <c r="AT50" s="441">
        <v>3.2635408950927314</v>
      </c>
      <c r="AU50" s="441">
        <v>3.0884869830960726</v>
      </c>
      <c r="AV50" s="441">
        <v>2.9368104260031114</v>
      </c>
      <c r="AW50" s="2"/>
    </row>
    <row r="51" spans="1:49" ht="15">
      <c r="A51" s="2"/>
      <c r="B51" s="2"/>
      <c r="C51" s="2"/>
      <c r="D51" s="2"/>
      <c r="E51" s="7" t="s">
        <v>1284</v>
      </c>
      <c r="F51" s="2"/>
      <c r="G51" s="2" t="s">
        <v>601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0.11111394299697319</v>
      </c>
      <c r="AR51" s="291">
        <f t="shared" si="13"/>
        <v>8.1757550173031823E-2</v>
      </c>
      <c r="AS51" s="291">
        <f t="shared" si="13"/>
        <v>3.5921516566486456E-2</v>
      </c>
      <c r="AT51" s="291">
        <f t="shared" si="13"/>
        <v>3.428027748670609E-2</v>
      </c>
      <c r="AU51" s="291">
        <f t="shared" si="13"/>
        <v>3.2197774170935667E-2</v>
      </c>
      <c r="AV51" s="291">
        <f t="shared" si="13"/>
        <v>3.0505678438228323E-2</v>
      </c>
      <c r="AW51" s="2"/>
    </row>
    <row r="52" spans="1:49" ht="15">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5">
      <c r="A53" s="2"/>
      <c r="B53" s="2"/>
      <c r="C53" s="2"/>
      <c r="D53" s="2"/>
      <c r="E53" s="7" t="s">
        <v>1285</v>
      </c>
      <c r="F53" s="2"/>
      <c r="G53" s="2" t="s">
        <v>100</v>
      </c>
      <c r="H53" s="2" t="s">
        <v>1286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1">
        <v>7.3032807433557112</v>
      </c>
      <c r="AR53" s="441">
        <v>2.5345237715914015</v>
      </c>
      <c r="AS53" s="441">
        <v>2.5756936498082306</v>
      </c>
      <c r="AT53" s="441">
        <v>2.2608746324726203</v>
      </c>
      <c r="AU53" s="441">
        <v>2.1160529756593105</v>
      </c>
      <c r="AV53" s="441">
        <v>2.0747861451908323</v>
      </c>
      <c r="AW53" s="2"/>
    </row>
    <row r="54" spans="1:49" ht="15">
      <c r="A54" s="2"/>
      <c r="B54" s="2"/>
      <c r="C54" s="2"/>
      <c r="D54" s="2"/>
      <c r="E54" s="7" t="s">
        <v>1287</v>
      </c>
      <c r="F54" s="2"/>
      <c r="G54" s="2" t="s">
        <v>601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8.6258793518668553E-2</v>
      </c>
      <c r="AR54" s="291">
        <f t="shared" si="14"/>
        <v>6.1110915004146338E-2</v>
      </c>
      <c r="AS54" s="291">
        <f t="shared" si="14"/>
        <v>2.5448162411456088E-2</v>
      </c>
      <c r="AT54" s="291">
        <f t="shared" si="14"/>
        <v>2.496988895474328E-2</v>
      </c>
      <c r="AU54" s="291">
        <f t="shared" si="14"/>
        <v>2.2246692182692929E-2</v>
      </c>
      <c r="AV54" s="291">
        <f t="shared" si="14"/>
        <v>2.1057362680421909E-2</v>
      </c>
      <c r="AW54" s="2"/>
    </row>
    <row r="55" spans="1:49" ht="15">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5">
      <c r="A56" s="94"/>
      <c r="B56" s="37" t="s">
        <v>79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5">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5">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5"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sheetData>
  <conditionalFormatting sqref="K21:T25">
    <cfRule type="cellIs" dxfId="49" priority="21" operator="equal">
      <formula>"FORECAST"</formula>
    </cfRule>
  </conditionalFormatting>
  <conditionalFormatting sqref="K23:T26">
    <cfRule type="expression" dxfId="48" priority="20">
      <formula>K$21 = "FORECAST"</formula>
    </cfRule>
  </conditionalFormatting>
  <conditionalFormatting sqref="K23:AV24">
    <cfRule type="expression" dxfId="47" priority="17">
      <formula>K$21 = "FORECAST"</formula>
    </cfRule>
    <cfRule type="cellIs" dxfId="46" priority="18" operator="equal">
      <formula>"FORECAST"</formula>
    </cfRule>
  </conditionalFormatting>
  <conditionalFormatting sqref="K26:AV30">
    <cfRule type="expression" dxfId="45" priority="5">
      <formula>K$21 = "FORECAST"</formula>
    </cfRule>
  </conditionalFormatting>
  <conditionalFormatting sqref="K27:AV27">
    <cfRule type="cellIs" dxfId="44" priority="12" operator="equal">
      <formula>"FORECAST"</formula>
    </cfRule>
  </conditionalFormatting>
  <conditionalFormatting sqref="K30:AV30">
    <cfRule type="cellIs" dxfId="43" priority="6" operator="equal">
      <formula>"FORECAST"</formula>
    </cfRule>
  </conditionalFormatting>
  <conditionalFormatting sqref="K32:AV32">
    <cfRule type="expression" dxfId="42" priority="19">
      <formula>K$21 = "FORECAST"</formula>
    </cfRule>
  </conditionalFormatting>
  <conditionalFormatting sqref="K39:AV39">
    <cfRule type="cellIs" dxfId="41" priority="1" operator="equal">
      <formula>"FORECAST"</formula>
    </cfRule>
  </conditionalFormatting>
  <conditionalFormatting sqref="K40:AV41">
    <cfRule type="expression" dxfId="40" priority="4">
      <formula>K$39 = "FORECAST"</formula>
    </cfRule>
  </conditionalFormatting>
  <conditionalFormatting sqref="K42:AV46">
    <cfRule type="cellIs" dxfId="39" priority="3" operator="equal">
      <formula>"FORECAST"</formula>
    </cfRule>
  </conditionalFormatting>
  <conditionalFormatting sqref="K43:AV46">
    <cfRule type="expression" dxfId="38" priority="2">
      <formula>K$42 = "FORECAST"</formula>
    </cfRule>
  </conditionalFormatting>
  <conditionalFormatting sqref="U27:V27 X27:AV27">
    <cfRule type="expression" dxfId="37" priority="15">
      <formula>U$21 = "FORECAST"</formula>
    </cfRule>
  </conditionalFormatting>
  <conditionalFormatting sqref="U30:V30 X30:AV30">
    <cfRule type="expression" dxfId="36" priority="9">
      <formula>U$21 = "FORECAST"</formula>
    </cfRule>
  </conditionalFormatting>
  <conditionalFormatting sqref="U21:AV23 U24:V24 X24:AV24 U25:AV25">
    <cfRule type="cellIs" dxfId="35" priority="24" operator="equal">
      <formula>"FORECAST"</formula>
    </cfRule>
  </conditionalFormatting>
  <conditionalFormatting sqref="U23:AV23 U24:V24 X24:AV24 U25:AV26 U28:AV29">
    <cfRule type="expression" dxfId="34"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zoomScale="85" zoomScaleNormal="85" workbookViewId="0"/>
  </sheetViews>
  <sheetFormatPr defaultColWidth="0" defaultRowHeight="12.75" zeroHeight="1"/>
  <cols>
    <col min="1" max="4" width="1.5" customWidth="1"/>
    <col min="5" max="14" width="22.75" customWidth="1"/>
    <col min="15" max="16" width="9" customWidth="1"/>
    <col min="17" max="18" width="9.625" customWidth="1"/>
    <col min="19" max="38" width="9.625" hidden="1" customWidth="1"/>
    <col min="39" max="55" width="9" hidden="1" customWidth="1"/>
    <col min="56" max="57" width="0" hidden="1" customWidth="1"/>
    <col min="58" max="16384" width="9" hidden="1"/>
  </cols>
  <sheetData>
    <row r="1" spans="1:14" ht="19.5">
      <c r="A1" s="195" t="s">
        <v>74</v>
      </c>
      <c r="B1" s="181"/>
      <c r="C1" s="181"/>
      <c r="D1" s="181"/>
      <c r="E1" s="181"/>
      <c r="F1" s="181"/>
      <c r="G1" s="181"/>
      <c r="H1" s="181"/>
      <c r="I1" s="181"/>
      <c r="J1" s="181"/>
      <c r="K1" s="181"/>
      <c r="L1" s="247"/>
      <c r="M1" s="247"/>
      <c r="N1" s="247"/>
    </row>
    <row r="2" spans="1:14" ht="15">
      <c r="A2" s="181"/>
      <c r="B2" s="157"/>
      <c r="C2" s="181"/>
      <c r="D2" s="181"/>
      <c r="E2" s="181"/>
      <c r="F2" s="181"/>
      <c r="G2" s="181"/>
      <c r="H2" s="181"/>
      <c r="I2" s="181"/>
      <c r="J2" s="181"/>
      <c r="K2" s="181"/>
      <c r="L2" s="247"/>
      <c r="M2" s="247"/>
      <c r="N2" s="247"/>
    </row>
    <row r="3" spans="1:14" ht="15">
      <c r="A3" s="181"/>
      <c r="B3" s="181"/>
      <c r="C3" s="181"/>
      <c r="D3" s="181"/>
      <c r="E3" s="179"/>
      <c r="F3" s="179"/>
      <c r="G3" s="179"/>
      <c r="H3" s="478" t="s">
        <v>1288</v>
      </c>
      <c r="I3" s="478" t="s">
        <v>1289</v>
      </c>
      <c r="J3" s="179"/>
      <c r="K3" s="179"/>
      <c r="L3" s="247"/>
      <c r="M3" s="247"/>
      <c r="N3" s="247"/>
    </row>
    <row r="4" spans="1:14" ht="30">
      <c r="A4" s="181"/>
      <c r="B4" s="181"/>
      <c r="C4" s="181"/>
      <c r="D4" s="181"/>
      <c r="E4" s="324" t="s">
        <v>1290</v>
      </c>
      <c r="F4" s="325" t="s">
        <v>1291</v>
      </c>
      <c r="G4" s="324" t="s">
        <v>1292</v>
      </c>
      <c r="H4" s="326" t="s">
        <v>1293</v>
      </c>
      <c r="I4" s="326" t="s">
        <v>1294</v>
      </c>
      <c r="J4" s="326" t="s">
        <v>1295</v>
      </c>
      <c r="K4" s="326" t="s">
        <v>1296</v>
      </c>
      <c r="L4" s="327" t="s">
        <v>1297</v>
      </c>
      <c r="M4" s="327" t="s">
        <v>1298</v>
      </c>
      <c r="N4" s="327" t="s">
        <v>1299</v>
      </c>
    </row>
    <row r="5" spans="1:14" ht="15">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5">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5">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5">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5">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5">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5">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5">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5">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5">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5">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5">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5">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5">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5">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5">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5">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5">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5">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5">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5">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5">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5">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5">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5">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5">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5">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5">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5">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5">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5">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5">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5">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5">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5">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5">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5">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5">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5">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5">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5">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5">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5">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5">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5">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5">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5">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5">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5">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5">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5">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5">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5">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5">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5">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5">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5">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5">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5">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5">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5">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5">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5">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5">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5">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5">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5">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5">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5">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5">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5">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5">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5">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5">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5">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5">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5">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5">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5">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5">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5">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5">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5">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5">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5">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5">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5">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5">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5">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5">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5">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5">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5">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5">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5">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5">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5">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5">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5">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5">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5">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5">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5">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5">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5">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5">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5">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5">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5">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5">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5">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5">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5">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5">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5">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5">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5">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5">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5">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5">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5">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5">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5">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5">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5">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5">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5">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5">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5">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5">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5">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5">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5">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5">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5">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5">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5">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5">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5">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5">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5">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5">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5">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5">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5">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5">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5">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5">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5">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5">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5">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5">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5">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5">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5">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5">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5">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5">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5">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5">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5">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5">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5">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5">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5">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5">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5">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5">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5">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5">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5">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5">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5">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5">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5">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5">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5">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5">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5">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5">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5">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5">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5">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5">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5">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5">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5">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5">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5">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5">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5">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5">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5">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5">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5">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5">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5">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5">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5">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5">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5">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5">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5">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5">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5">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5">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5">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5">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5">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5">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5">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5">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5">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5">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5">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5">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5">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5">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5">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5">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5">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5">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5">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5">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5">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5">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5">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5">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5">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5">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5">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5">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5">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5">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5">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5">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5">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5">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5">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5">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5">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5">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5">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5">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5">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5">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5">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5">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5">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5">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5">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5">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5">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5">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5">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5">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5">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5">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5">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5">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5">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5">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5">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5">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5">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5">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5">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5">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5">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5">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5">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5">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5">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5">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5">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5">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5">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5">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5">
      <c r="E284" s="248">
        <v>44743</v>
      </c>
      <c r="F284" s="323">
        <f t="shared" si="20"/>
        <v>44773</v>
      </c>
      <c r="G284" s="159">
        <f t="shared" si="21"/>
        <v>2023</v>
      </c>
      <c r="H284" s="500">
        <v>121.2</v>
      </c>
      <c r="I284" s="500">
        <v>343.2</v>
      </c>
      <c r="J284" s="257">
        <f>IF($E284&lt;DATE(2018,7,1),"-",INDEX('Annual Inflation'!$AM$53:$BA$53, MATCH(YEAR(EOMONTH($E284,6)), 'Annual Inflation'!$AM$6:$BA$6, 0))/100)</f>
        <v>7.3032807433557112E-2</v>
      </c>
      <c r="K284" s="257">
        <f>IF($E284&lt;DATE(2018,7,1),"-",INDEX('Annual Inflation'!$AM$50:$BA$50, MATCH(YEAR(EOMONTH($E284,6)), 'Annual Inflation'!$AM$6:$BA$6, 0))/100)</f>
        <v>9.6914789201007601E-2</v>
      </c>
      <c r="L284" s="258">
        <f t="shared" si="25"/>
        <v>121.2</v>
      </c>
      <c r="M284" s="258">
        <f t="shared" si="26"/>
        <v>343.2</v>
      </c>
      <c r="N284" s="258">
        <f t="shared" si="24"/>
        <v>343.2</v>
      </c>
    </row>
    <row r="285" spans="5:14" ht="15">
      <c r="E285" s="248">
        <v>44774</v>
      </c>
      <c r="F285" s="323">
        <f t="shared" si="20"/>
        <v>44804</v>
      </c>
      <c r="G285" s="159">
        <f t="shared" si="21"/>
        <v>2023</v>
      </c>
      <c r="H285" s="500">
        <v>121.8</v>
      </c>
      <c r="I285" s="500">
        <v>345.2</v>
      </c>
      <c r="J285" s="257">
        <f>IF($E285&lt;DATE(2018,7,1),"-",INDEX('Annual Inflation'!$AM$53:$BA$53, MATCH(YEAR(EOMONTH($E285,6)), 'Annual Inflation'!$AM$6:$BA$6, 0))/100)</f>
        <v>7.3032807433557112E-2</v>
      </c>
      <c r="K285" s="257">
        <f>IF($E285&lt;DATE(2018,7,1),"-",INDEX('Annual Inflation'!$AM$50:$BA$50, MATCH(YEAR(EOMONTH($E285,6)), 'Annual Inflation'!$AM$6:$BA$6, 0))/100)</f>
        <v>9.6914789201007601E-2</v>
      </c>
      <c r="L285" s="258">
        <f t="shared" si="25"/>
        <v>121.8</v>
      </c>
      <c r="M285" s="258">
        <f t="shared" si="26"/>
        <v>345.2</v>
      </c>
      <c r="N285" s="258">
        <f t="shared" si="24"/>
        <v>345.2</v>
      </c>
    </row>
    <row r="286" spans="5:14" ht="15">
      <c r="E286" s="248">
        <v>44805</v>
      </c>
      <c r="F286" s="323">
        <f t="shared" si="20"/>
        <v>44834</v>
      </c>
      <c r="G286" s="159">
        <f t="shared" si="21"/>
        <v>2023</v>
      </c>
      <c r="H286" s="500">
        <v>122.3</v>
      </c>
      <c r="I286" s="500">
        <v>347.6</v>
      </c>
      <c r="J286" s="257">
        <f>IF($E286&lt;DATE(2018,7,1),"-",INDEX('Annual Inflation'!$AM$53:$BA$53, MATCH(YEAR(EOMONTH($E286,6)), 'Annual Inflation'!$AM$6:$BA$6, 0))/100)</f>
        <v>7.3032807433557112E-2</v>
      </c>
      <c r="K286" s="257">
        <f>IF($E286&lt;DATE(2018,7,1),"-",INDEX('Annual Inflation'!$AM$50:$BA$50, MATCH(YEAR(EOMONTH($E286,6)), 'Annual Inflation'!$AM$6:$BA$6, 0))/100)</f>
        <v>9.6914789201007601E-2</v>
      </c>
      <c r="L286" s="258">
        <f t="shared" si="25"/>
        <v>122.3</v>
      </c>
      <c r="M286" s="258">
        <f t="shared" si="26"/>
        <v>347.6</v>
      </c>
      <c r="N286" s="258">
        <f t="shared" si="24"/>
        <v>347.6</v>
      </c>
    </row>
    <row r="287" spans="5:14" ht="15">
      <c r="E287" s="248">
        <v>44835</v>
      </c>
      <c r="F287" s="323">
        <f t="shared" si="20"/>
        <v>44865</v>
      </c>
      <c r="G287" s="159">
        <f t="shared" si="21"/>
        <v>2023</v>
      </c>
      <c r="H287" s="500">
        <v>124.3</v>
      </c>
      <c r="I287" s="500">
        <v>356.2</v>
      </c>
      <c r="J287" s="257">
        <f>IF($E287&lt;DATE(2018,7,1),"-",INDEX('Annual Inflation'!$AM$53:$BA$53, MATCH(YEAR(EOMONTH($E287,6)), 'Annual Inflation'!$AM$6:$BA$6, 0))/100)</f>
        <v>7.3032807433557112E-2</v>
      </c>
      <c r="K287" s="257">
        <f>IF($E287&lt;DATE(2018,7,1),"-",INDEX('Annual Inflation'!$AM$50:$BA$50, MATCH(YEAR(EOMONTH($E287,6)), 'Annual Inflation'!$AM$6:$BA$6, 0))/100)</f>
        <v>9.6914789201007601E-2</v>
      </c>
      <c r="L287" s="258">
        <f t="shared" si="25"/>
        <v>124.3</v>
      </c>
      <c r="M287" s="258">
        <f t="shared" si="26"/>
        <v>356.2</v>
      </c>
      <c r="N287" s="258">
        <f t="shared" si="24"/>
        <v>356.2</v>
      </c>
    </row>
    <row r="288" spans="5:14" ht="15">
      <c r="E288" s="248">
        <v>44866</v>
      </c>
      <c r="F288" s="323">
        <f t="shared" si="20"/>
        <v>44895</v>
      </c>
      <c r="G288" s="159">
        <f t="shared" si="21"/>
        <v>2023</v>
      </c>
      <c r="H288" s="500">
        <v>124.8</v>
      </c>
      <c r="I288" s="500">
        <v>358.3</v>
      </c>
      <c r="J288" s="257">
        <f>IF($E288&lt;DATE(2018,7,1),"-",INDEX('Annual Inflation'!$AM$53:$BA$53, MATCH(YEAR(EOMONTH($E288,6)), 'Annual Inflation'!$AM$6:$BA$6, 0))/100)</f>
        <v>7.3032807433557112E-2</v>
      </c>
      <c r="K288" s="257">
        <f>IF($E288&lt;DATE(2018,7,1),"-",INDEX('Annual Inflation'!$AM$50:$BA$50, MATCH(YEAR(EOMONTH($E288,6)), 'Annual Inflation'!$AM$6:$BA$6, 0))/100)</f>
        <v>9.6914789201007601E-2</v>
      </c>
      <c r="L288" s="258">
        <f t="shared" si="22"/>
        <v>124.8</v>
      </c>
      <c r="M288" s="258">
        <f t="shared" si="23"/>
        <v>358.3</v>
      </c>
      <c r="N288" s="258">
        <f t="shared" si="24"/>
        <v>358.3</v>
      </c>
    </row>
    <row r="289" spans="5:14" ht="15">
      <c r="E289" s="248">
        <v>44896</v>
      </c>
      <c r="F289" s="323">
        <f t="shared" si="20"/>
        <v>44926</v>
      </c>
      <c r="G289" s="159">
        <f t="shared" si="21"/>
        <v>2023</v>
      </c>
      <c r="H289" s="500">
        <v>125.3</v>
      </c>
      <c r="I289" s="500">
        <v>360.4</v>
      </c>
      <c r="J289" s="257">
        <f>IF($E289&lt;DATE(2018,7,1),"-",INDEX('Annual Inflation'!$AM$53:$BA$53, MATCH(YEAR(EOMONTH($E289,6)), 'Annual Inflation'!$AM$6:$BA$6, 0))/100)</f>
        <v>7.3032807433557112E-2</v>
      </c>
      <c r="K289" s="257">
        <f>IF($E289&lt;DATE(2018,7,1),"-",INDEX('Annual Inflation'!$AM$50:$BA$50, MATCH(YEAR(EOMONTH($E289,6)), 'Annual Inflation'!$AM$6:$BA$6, 0))/100)</f>
        <v>9.6914789201007601E-2</v>
      </c>
      <c r="L289" s="258">
        <f t="shared" si="22"/>
        <v>125.3</v>
      </c>
      <c r="M289" s="258">
        <f t="shared" si="23"/>
        <v>360.4</v>
      </c>
      <c r="N289" s="258">
        <f t="shared" si="24"/>
        <v>360.4</v>
      </c>
    </row>
    <row r="290" spans="5:14" ht="15">
      <c r="E290" s="248">
        <v>44927</v>
      </c>
      <c r="F290" s="323">
        <f t="shared" si="20"/>
        <v>44957</v>
      </c>
      <c r="G290" s="159">
        <f t="shared" si="21"/>
        <v>2023</v>
      </c>
      <c r="H290" s="500">
        <v>124.8</v>
      </c>
      <c r="I290" s="500">
        <v>360.3</v>
      </c>
      <c r="J290" s="257">
        <f>IF($E290&lt;DATE(2018,7,1),"-",INDEX('Annual Inflation'!$AM$53:$BA$53, MATCH(YEAR(EOMONTH($E290,6)), 'Annual Inflation'!$AM$6:$BA$6, 0))/100)</f>
        <v>7.3032807433557112E-2</v>
      </c>
      <c r="K290" s="257">
        <f>IF($E290&lt;DATE(2018,7,1),"-",INDEX('Annual Inflation'!$AM$50:$BA$50, MATCH(YEAR(EOMONTH($E290,6)), 'Annual Inflation'!$AM$6:$BA$6, 0))/100)</f>
        <v>9.6914789201007601E-2</v>
      </c>
      <c r="L290" s="258">
        <f t="shared" si="22"/>
        <v>124.8</v>
      </c>
      <c r="M290" s="258">
        <f t="shared" si="23"/>
        <v>360.3</v>
      </c>
      <c r="N290" s="258">
        <f t="shared" si="24"/>
        <v>360.3</v>
      </c>
    </row>
    <row r="291" spans="5:14" ht="15">
      <c r="E291" s="248">
        <v>44958</v>
      </c>
      <c r="F291" s="323">
        <f t="shared" si="20"/>
        <v>44985</v>
      </c>
      <c r="G291" s="159">
        <f t="shared" si="21"/>
        <v>2023</v>
      </c>
      <c r="H291" s="500">
        <v>126</v>
      </c>
      <c r="I291" s="500">
        <v>364.5</v>
      </c>
      <c r="J291" s="257">
        <f>IF($E291&lt;DATE(2018,7,1),"-",INDEX('Annual Inflation'!$AM$53:$BA$53, MATCH(YEAR(EOMONTH($E291,6)), 'Annual Inflation'!$AM$6:$BA$6, 0))/100)</f>
        <v>7.3032807433557112E-2</v>
      </c>
      <c r="K291" s="257">
        <f>IF($E291&lt;DATE(2018,7,1),"-",INDEX('Annual Inflation'!$AM$50:$BA$50, MATCH(YEAR(EOMONTH($E291,6)), 'Annual Inflation'!$AM$6:$BA$6, 0))/100)</f>
        <v>9.6914789201007601E-2</v>
      </c>
      <c r="L291" s="258">
        <f t="shared" si="22"/>
        <v>126</v>
      </c>
      <c r="M291" s="258">
        <f t="shared" si="23"/>
        <v>364.5</v>
      </c>
      <c r="N291" s="258">
        <f t="shared" si="24"/>
        <v>364.5</v>
      </c>
    </row>
    <row r="292" spans="5:14" ht="15">
      <c r="E292" s="248">
        <v>44986</v>
      </c>
      <c r="F292" s="323">
        <f t="shared" si="20"/>
        <v>45016</v>
      </c>
      <c r="G292" s="159">
        <f t="shared" si="21"/>
        <v>2023</v>
      </c>
      <c r="H292" s="500">
        <v>126.8</v>
      </c>
      <c r="I292" s="500">
        <v>367.2</v>
      </c>
      <c r="J292" s="257">
        <f>IF($E292&lt;DATE(2018,7,1),"-",INDEX('Annual Inflation'!$AM$53:$BA$53, MATCH(YEAR(EOMONTH($E292,6)), 'Annual Inflation'!$AM$6:$BA$6, 0))/100)</f>
        <v>7.3032807433557112E-2</v>
      </c>
      <c r="K292" s="257">
        <f>IF($E292&lt;DATE(2018,7,1),"-",INDEX('Annual Inflation'!$AM$50:$BA$50, MATCH(YEAR(EOMONTH($E292,6)), 'Annual Inflation'!$AM$6:$BA$6, 0))/100)</f>
        <v>9.6914789201007601E-2</v>
      </c>
      <c r="L292" s="258">
        <f t="shared" si="22"/>
        <v>126.8</v>
      </c>
      <c r="M292" s="258">
        <f t="shared" si="23"/>
        <v>367.2</v>
      </c>
      <c r="N292" s="258">
        <f t="shared" si="24"/>
        <v>367.2</v>
      </c>
    </row>
    <row r="293" spans="5:14" ht="15">
      <c r="E293" s="248">
        <v>45017</v>
      </c>
      <c r="F293" s="323">
        <f t="shared" si="20"/>
        <v>45046</v>
      </c>
      <c r="G293" s="159">
        <f t="shared" si="21"/>
        <v>2024</v>
      </c>
      <c r="H293" s="500">
        <v>128.30000000000001</v>
      </c>
      <c r="I293" s="500">
        <v>372.8</v>
      </c>
      <c r="J293" s="257">
        <f>IF($E293&lt;DATE(2018,7,1),"-",INDEX('Annual Inflation'!$AM$53:$BA$53, MATCH(YEAR(EOMONTH($E293,6)), 'Annual Inflation'!$AM$6:$BA$6, 0))/100)</f>
        <v>7.3032807433557112E-2</v>
      </c>
      <c r="K293" s="257">
        <f>IF($E293&lt;DATE(2018,7,1),"-",INDEX('Annual Inflation'!$AM$50:$BA$50, MATCH(YEAR(EOMONTH($E293,6)), 'Annual Inflation'!$AM$6:$BA$6, 0))/100)</f>
        <v>9.6914789201007601E-2</v>
      </c>
      <c r="L293" s="258">
        <f t="shared" si="22"/>
        <v>128.30000000000001</v>
      </c>
      <c r="M293" s="258">
        <f t="shared" si="23"/>
        <v>372.8</v>
      </c>
      <c r="N293" s="258">
        <f t="shared" si="24"/>
        <v>372.17192429022083</v>
      </c>
    </row>
    <row r="294" spans="5:14" ht="15">
      <c r="E294" s="248">
        <v>45047</v>
      </c>
      <c r="F294" s="323">
        <f t="shared" si="20"/>
        <v>45077</v>
      </c>
      <c r="G294" s="159">
        <f t="shared" si="21"/>
        <v>2024</v>
      </c>
      <c r="H294" s="500">
        <v>129.1</v>
      </c>
      <c r="I294" s="500">
        <v>375.3</v>
      </c>
      <c r="J294" s="257">
        <f>IF($E294&lt;DATE(2018,7,1),"-",INDEX('Annual Inflation'!$AM$53:$BA$53, MATCH(YEAR(EOMONTH($E294,6)), 'Annual Inflation'!$AM$6:$BA$6, 0))/100)</f>
        <v>7.3032807433557112E-2</v>
      </c>
      <c r="K294" s="257">
        <f>IF($E294&lt;DATE(2018,7,1),"-",INDEX('Annual Inflation'!$AM$50:$BA$50, MATCH(YEAR(EOMONTH($E294,6)), 'Annual Inflation'!$AM$6:$BA$6, 0))/100)</f>
        <v>9.6914789201007601E-2</v>
      </c>
      <c r="L294" s="258">
        <f t="shared" si="22"/>
        <v>129.1</v>
      </c>
      <c r="M294" s="258">
        <f t="shared" si="23"/>
        <v>375.3</v>
      </c>
      <c r="N294" s="258">
        <f t="shared" si="24"/>
        <v>374.49255982749423</v>
      </c>
    </row>
    <row r="295" spans="5:14" ht="15">
      <c r="E295" s="248">
        <v>45078</v>
      </c>
      <c r="F295" s="323">
        <f t="shared" si="20"/>
        <v>45107</v>
      </c>
      <c r="G295" s="159">
        <f t="shared" si="21"/>
        <v>2024</v>
      </c>
      <c r="H295" s="500">
        <v>129.4</v>
      </c>
      <c r="I295" s="500">
        <v>376.4</v>
      </c>
      <c r="J295" s="257">
        <f>IF($E295&lt;DATE(2018,7,1),"-",INDEX('Annual Inflation'!$AM$53:$BA$53, MATCH(YEAR(EOMONTH($E295,6)), 'Annual Inflation'!$AM$6:$BA$6, 0))/100)</f>
        <v>7.3032807433557112E-2</v>
      </c>
      <c r="K295" s="257">
        <f>IF($E295&lt;DATE(2018,7,1),"-",INDEX('Annual Inflation'!$AM$50:$BA$50, MATCH(YEAR(EOMONTH($E295,6)), 'Annual Inflation'!$AM$6:$BA$6, 0))/100)</f>
        <v>9.6914789201007601E-2</v>
      </c>
      <c r="L295" s="258">
        <f t="shared" si="22"/>
        <v>129.4</v>
      </c>
      <c r="M295" s="258">
        <f t="shared" si="23"/>
        <v>376.4</v>
      </c>
      <c r="N295" s="258">
        <f t="shared" si="24"/>
        <v>375.36279815397182</v>
      </c>
    </row>
    <row r="296" spans="5:14" ht="15">
      <c r="E296" s="248">
        <v>45108</v>
      </c>
      <c r="F296" s="323">
        <f t="shared" si="20"/>
        <v>45138</v>
      </c>
      <c r="G296" s="159">
        <f t="shared" si="21"/>
        <v>2024</v>
      </c>
      <c r="H296" s="500">
        <v>129</v>
      </c>
      <c r="I296" s="500">
        <v>374.2</v>
      </c>
      <c r="J296" s="257">
        <f>IF($E296&lt;DATE(2018,7,1),"-",INDEX('Annual Inflation'!$AM$53:$BA$53, MATCH(YEAR(EOMONTH($E296,6)), 'Annual Inflation'!$AM$6:$BA$6, 0))/100)</f>
        <v>2.5345237715914015E-2</v>
      </c>
      <c r="K296" s="257">
        <f>IF($E296&lt;DATE(2018,7,1),"-",INDEX('Annual Inflation'!$AM$50:$BA$50, MATCH(YEAR(EOMONTH($E296,6)), 'Annual Inflation'!$AM$6:$BA$6, 0))/100)</f>
        <v>3.6285833089104491E-2</v>
      </c>
      <c r="L296" s="258">
        <f t="shared" si="22"/>
        <v>129</v>
      </c>
      <c r="M296" s="258">
        <f t="shared" si="23"/>
        <v>374.2</v>
      </c>
      <c r="N296" s="258">
        <f t="shared" si="24"/>
        <v>374.20248038533509</v>
      </c>
    </row>
    <row r="297" spans="5:14" ht="15">
      <c r="E297" s="248">
        <v>45139</v>
      </c>
      <c r="F297" s="323">
        <f t="shared" si="20"/>
        <v>45169</v>
      </c>
      <c r="G297" s="159">
        <f t="shared" si="21"/>
        <v>2024</v>
      </c>
      <c r="H297" s="500">
        <v>129.4</v>
      </c>
      <c r="I297" s="500">
        <v>376.6</v>
      </c>
      <c r="J297" s="257">
        <f>IF($E297&lt;DATE(2018,7,1),"-",INDEX('Annual Inflation'!$AM$53:$BA$53, MATCH(YEAR(EOMONTH($E297,6)), 'Annual Inflation'!$AM$6:$BA$6, 0))/100)</f>
        <v>2.5345237715914015E-2</v>
      </c>
      <c r="K297" s="257">
        <f>IF($E297&lt;DATE(2018,7,1),"-",INDEX('Annual Inflation'!$AM$50:$BA$50, MATCH(YEAR(EOMONTH($E297,6)), 'Annual Inflation'!$AM$6:$BA$6, 0))/100)</f>
        <v>3.6285833089104491E-2</v>
      </c>
      <c r="L297" s="258">
        <f t="shared" si="22"/>
        <v>129.4</v>
      </c>
      <c r="M297" s="258">
        <f t="shared" si="23"/>
        <v>376.6</v>
      </c>
      <c r="N297" s="258">
        <f t="shared" si="24"/>
        <v>375.36279815397182</v>
      </c>
    </row>
    <row r="298" spans="5:14" ht="15">
      <c r="E298" s="248">
        <v>45170</v>
      </c>
      <c r="F298" s="323">
        <f t="shared" si="20"/>
        <v>45199</v>
      </c>
      <c r="G298" s="159">
        <f t="shared" si="21"/>
        <v>2024</v>
      </c>
      <c r="H298" s="500">
        <v>130.1</v>
      </c>
      <c r="I298" s="500">
        <v>378.4</v>
      </c>
      <c r="J298" s="257">
        <f>IF($E298&lt;DATE(2018,7,1),"-",INDEX('Annual Inflation'!$AM$53:$BA$53, MATCH(YEAR(EOMONTH($E298,6)), 'Annual Inflation'!$AM$6:$BA$6, 0))/100)</f>
        <v>2.5345237715914015E-2</v>
      </c>
      <c r="K298" s="257">
        <f>IF($E298&lt;DATE(2018,7,1),"-",INDEX('Annual Inflation'!$AM$50:$BA$50, MATCH(YEAR(EOMONTH($E298,6)), 'Annual Inflation'!$AM$6:$BA$6, 0))/100)</f>
        <v>3.6285833089104491E-2</v>
      </c>
      <c r="L298" s="258">
        <f t="shared" si="22"/>
        <v>130.1</v>
      </c>
      <c r="M298" s="258">
        <f t="shared" si="23"/>
        <v>378.4</v>
      </c>
      <c r="N298" s="258">
        <f t="shared" si="24"/>
        <v>377.39335424908597</v>
      </c>
    </row>
    <row r="299" spans="5:14" ht="15">
      <c r="E299" s="248">
        <v>45200</v>
      </c>
      <c r="F299" s="323">
        <f t="shared" si="20"/>
        <v>45230</v>
      </c>
      <c r="G299" s="159">
        <f t="shared" si="21"/>
        <v>2024</v>
      </c>
      <c r="H299" s="500">
        <v>130.19999999999999</v>
      </c>
      <c r="I299" s="500">
        <v>377.8</v>
      </c>
      <c r="J299" s="257">
        <f>IF($E299&lt;DATE(2018,7,1),"-",INDEX('Annual Inflation'!$AM$53:$BA$53, MATCH(YEAR(EOMONTH($E299,6)), 'Annual Inflation'!$AM$6:$BA$6, 0))/100)</f>
        <v>2.5345237715914015E-2</v>
      </c>
      <c r="K299" s="257">
        <f>IF($E299&lt;DATE(2018,7,1),"-",INDEX('Annual Inflation'!$AM$50:$BA$50, MATCH(YEAR(EOMONTH($E299,6)), 'Annual Inflation'!$AM$6:$BA$6, 0))/100)</f>
        <v>3.6285833089104491E-2</v>
      </c>
      <c r="L299" s="258">
        <f t="shared" si="22"/>
        <v>130.19999999999999</v>
      </c>
      <c r="M299" s="258">
        <f t="shared" si="23"/>
        <v>377.8</v>
      </c>
      <c r="N299" s="258">
        <f t="shared" si="24"/>
        <v>377.68343369124511</v>
      </c>
    </row>
    <row r="300" spans="5:14" ht="15">
      <c r="E300" s="248">
        <v>45231</v>
      </c>
      <c r="F300" s="323">
        <f t="shared" si="20"/>
        <v>45260</v>
      </c>
      <c r="G300" s="159">
        <f t="shared" si="21"/>
        <v>2024</v>
      </c>
      <c r="H300" s="500">
        <v>130</v>
      </c>
      <c r="I300" s="500">
        <v>377.3</v>
      </c>
      <c r="J300" s="257">
        <f>IF($E300&lt;DATE(2018,7,1),"-",INDEX('Annual Inflation'!$AM$53:$BA$53, MATCH(YEAR(EOMONTH($E300,6)), 'Annual Inflation'!$AM$6:$BA$6, 0))/100)</f>
        <v>2.5345237715914015E-2</v>
      </c>
      <c r="K300" s="257">
        <f>IF($E300&lt;DATE(2018,7,1),"-",INDEX('Annual Inflation'!$AM$50:$BA$50, MATCH(YEAR(EOMONTH($E300,6)), 'Annual Inflation'!$AM$6:$BA$6, 0))/100)</f>
        <v>3.6285833089104491E-2</v>
      </c>
      <c r="L300" s="258">
        <f t="shared" si="22"/>
        <v>130</v>
      </c>
      <c r="M300" s="258">
        <f t="shared" si="23"/>
        <v>377.3</v>
      </c>
      <c r="N300" s="258">
        <f t="shared" si="24"/>
        <v>377.10327480692678</v>
      </c>
    </row>
    <row r="301" spans="5:14" ht="15">
      <c r="E301" s="248">
        <v>45261</v>
      </c>
      <c r="F301" s="323">
        <f t="shared" si="20"/>
        <v>45291</v>
      </c>
      <c r="G301" s="159">
        <f t="shared" si="21"/>
        <v>2024</v>
      </c>
      <c r="H301" s="500">
        <v>130.5</v>
      </c>
      <c r="I301" s="500">
        <v>379</v>
      </c>
      <c r="J301" s="257">
        <f>IF($E301&lt;DATE(2018,7,1),"-",INDEX('Annual Inflation'!$AM$53:$BA$53, MATCH(YEAR(EOMONTH($E301,6)), 'Annual Inflation'!$AM$6:$BA$6, 0))/100)</f>
        <v>2.5345237715914015E-2</v>
      </c>
      <c r="K301" s="257">
        <f>IF($E301&lt;DATE(2018,7,1),"-",INDEX('Annual Inflation'!$AM$50:$BA$50, MATCH(YEAR(EOMONTH($E301,6)), 'Annual Inflation'!$AM$6:$BA$6, 0))/100)</f>
        <v>3.6285833089104491E-2</v>
      </c>
      <c r="L301" s="258">
        <f t="shared" si="22"/>
        <v>130.5</v>
      </c>
      <c r="M301" s="258">
        <f t="shared" si="23"/>
        <v>379</v>
      </c>
      <c r="N301" s="258">
        <f t="shared" si="24"/>
        <v>378.55367201772265</v>
      </c>
    </row>
    <row r="302" spans="5:14" ht="15">
      <c r="E302" s="248">
        <v>45292</v>
      </c>
      <c r="F302" s="323">
        <f t="shared" si="20"/>
        <v>45322</v>
      </c>
      <c r="G302" s="159">
        <f t="shared" si="21"/>
        <v>2024</v>
      </c>
      <c r="H302" s="500">
        <v>130</v>
      </c>
      <c r="I302" s="500">
        <v>378</v>
      </c>
      <c r="J302" s="257">
        <f>IF($E302&lt;DATE(2018,7,1),"-",INDEX('Annual Inflation'!$AM$53:$BA$53, MATCH(YEAR(EOMONTH($E302,6)), 'Annual Inflation'!$AM$6:$BA$6, 0))/100)</f>
        <v>2.5345237715914015E-2</v>
      </c>
      <c r="K302" s="257">
        <f>IF($E302&lt;DATE(2018,7,1),"-",INDEX('Annual Inflation'!$AM$50:$BA$50, MATCH(YEAR(EOMONTH($E302,6)), 'Annual Inflation'!$AM$6:$BA$6, 0))/100)</f>
        <v>3.6285833089104491E-2</v>
      </c>
      <c r="L302" s="258">
        <f t="shared" si="22"/>
        <v>130</v>
      </c>
      <c r="M302" s="258">
        <f t="shared" si="23"/>
        <v>378</v>
      </c>
      <c r="N302" s="258">
        <f t="shared" si="24"/>
        <v>377.10327480692678</v>
      </c>
    </row>
    <row r="303" spans="5:14" ht="15">
      <c r="E303" s="248">
        <v>45323</v>
      </c>
      <c r="F303" s="323">
        <f t="shared" si="20"/>
        <v>45351</v>
      </c>
      <c r="G303" s="159">
        <f t="shared" si="21"/>
        <v>2024</v>
      </c>
      <c r="H303" s="500">
        <v>130.80000000000001</v>
      </c>
      <c r="I303" s="500">
        <v>381</v>
      </c>
      <c r="J303" s="257">
        <f>IF($E303&lt;DATE(2018,7,1),"-",INDEX('Annual Inflation'!$AM$53:$BA$53, MATCH(YEAR(EOMONTH($E303,6)), 'Annual Inflation'!$AM$6:$BA$6, 0))/100)</f>
        <v>2.5345237715914015E-2</v>
      </c>
      <c r="K303" s="257">
        <f>IF($E303&lt;DATE(2018,7,1),"-",INDEX('Annual Inflation'!$AM$50:$BA$50, MATCH(YEAR(EOMONTH($E303,6)), 'Annual Inflation'!$AM$6:$BA$6, 0))/100)</f>
        <v>3.6285833089104491E-2</v>
      </c>
      <c r="L303" s="258">
        <f t="shared" si="22"/>
        <v>130.80000000000001</v>
      </c>
      <c r="M303" s="258">
        <f t="shared" si="23"/>
        <v>381</v>
      </c>
      <c r="N303" s="258">
        <f t="shared" si="24"/>
        <v>379.42391034420018</v>
      </c>
    </row>
    <row r="304" spans="5:14" ht="15">
      <c r="E304" s="248">
        <v>45352</v>
      </c>
      <c r="F304" s="323">
        <f t="shared" si="20"/>
        <v>45382</v>
      </c>
      <c r="G304" s="159">
        <f t="shared" si="21"/>
        <v>2024</v>
      </c>
      <c r="H304" s="500">
        <v>131.6</v>
      </c>
      <c r="I304" s="500">
        <v>383</v>
      </c>
      <c r="J304" s="257">
        <f>IF($E304&lt;DATE(2018,7,1),"-",INDEX('Annual Inflation'!$AM$53:$BA$53, MATCH(YEAR(EOMONTH($E304,6)), 'Annual Inflation'!$AM$6:$BA$6, 0))/100)</f>
        <v>2.5345237715914015E-2</v>
      </c>
      <c r="K304" s="257">
        <f>IF($E304&lt;DATE(2018,7,1),"-",INDEX('Annual Inflation'!$AM$50:$BA$50, MATCH(YEAR(EOMONTH($E304,6)), 'Annual Inflation'!$AM$6:$BA$6, 0))/100)</f>
        <v>3.6285833089104491E-2</v>
      </c>
      <c r="L304" s="258">
        <f t="shared" si="22"/>
        <v>131.6</v>
      </c>
      <c r="M304" s="258">
        <f t="shared" si="23"/>
        <v>383</v>
      </c>
      <c r="N304" s="258">
        <f t="shared" si="24"/>
        <v>381.74454588147353</v>
      </c>
    </row>
    <row r="305" spans="5:14" ht="15">
      <c r="E305" s="248">
        <v>45383</v>
      </c>
      <c r="F305" s="323">
        <f t="shared" si="20"/>
        <v>45412</v>
      </c>
      <c r="G305" s="159">
        <f t="shared" si="21"/>
        <v>2025</v>
      </c>
      <c r="H305" s="500">
        <v>132.19999999999999</v>
      </c>
      <c r="I305" s="500">
        <v>385</v>
      </c>
      <c r="J305" s="257">
        <f>IF($E305&lt;DATE(2018,7,1),"-",INDEX('Annual Inflation'!$AM$53:$BA$53, MATCH(YEAR(EOMONTH($E305,6)), 'Annual Inflation'!$AM$6:$BA$6, 0))/100)</f>
        <v>2.5345237715914015E-2</v>
      </c>
      <c r="K305" s="257">
        <f>IF($E305&lt;DATE(2018,7,1),"-",INDEX('Annual Inflation'!$AM$50:$BA$50, MATCH(YEAR(EOMONTH($E305,6)), 'Annual Inflation'!$AM$6:$BA$6, 0))/100)</f>
        <v>3.6285833089104491E-2</v>
      </c>
      <c r="L305" s="258">
        <f t="shared" si="22"/>
        <v>132.19999999999999</v>
      </c>
      <c r="M305" s="258">
        <f t="shared" si="23"/>
        <v>385</v>
      </c>
      <c r="N305" s="258">
        <f t="shared" si="24"/>
        <v>383.48502253442854</v>
      </c>
    </row>
    <row r="306" spans="5:14" ht="15">
      <c r="E306" s="248">
        <v>45413</v>
      </c>
      <c r="F306" s="323">
        <f t="shared" si="20"/>
        <v>45443</v>
      </c>
      <c r="G306" s="159">
        <f t="shared" si="21"/>
        <v>2025</v>
      </c>
      <c r="H306" s="500">
        <v>132.69999999999999</v>
      </c>
      <c r="I306" s="500">
        <v>386.4</v>
      </c>
      <c r="J306" s="257">
        <f>IF($E306&lt;DATE(2018,7,1),"-",INDEX('Annual Inflation'!$AM$53:$BA$53, MATCH(YEAR(EOMONTH($E306,6)), 'Annual Inflation'!$AM$6:$BA$6, 0))/100)</f>
        <v>2.5345237715914015E-2</v>
      </c>
      <c r="K306" s="257">
        <f>IF($E306&lt;DATE(2018,7,1),"-",INDEX('Annual Inflation'!$AM$50:$BA$50, MATCH(YEAR(EOMONTH($E306,6)), 'Annual Inflation'!$AM$6:$BA$6, 0))/100)</f>
        <v>3.6285833089104491E-2</v>
      </c>
      <c r="L306" s="258">
        <f t="shared" si="22"/>
        <v>132.69999999999999</v>
      </c>
      <c r="M306" s="258">
        <f t="shared" si="23"/>
        <v>386.4</v>
      </c>
      <c r="N306" s="258">
        <f t="shared" si="24"/>
        <v>384.93541974522441</v>
      </c>
    </row>
    <row r="307" spans="5:14" ht="15">
      <c r="E307" s="248">
        <v>45444</v>
      </c>
      <c r="F307" s="323">
        <f t="shared" si="20"/>
        <v>45473</v>
      </c>
      <c r="G307" s="159">
        <f t="shared" si="21"/>
        <v>2025</v>
      </c>
      <c r="H307" s="500">
        <v>133</v>
      </c>
      <c r="I307" s="500">
        <v>387.3</v>
      </c>
      <c r="J307" s="257">
        <f>IF($E307&lt;DATE(2018,7,1),"-",INDEX('Annual Inflation'!$AM$53:$BA$53, MATCH(YEAR(EOMONTH($E307,6)), 'Annual Inflation'!$AM$6:$BA$6, 0))/100)</f>
        <v>2.5345237715914015E-2</v>
      </c>
      <c r="K307" s="257">
        <f>IF($E307&lt;DATE(2018,7,1),"-",INDEX('Annual Inflation'!$AM$50:$BA$50, MATCH(YEAR(EOMONTH($E307,6)), 'Annual Inflation'!$AM$6:$BA$6, 0))/100)</f>
        <v>3.6285833089104491E-2</v>
      </c>
      <c r="L307" s="258">
        <f t="shared" si="22"/>
        <v>133</v>
      </c>
      <c r="M307" s="258">
        <f t="shared" si="23"/>
        <v>387.3</v>
      </c>
      <c r="N307" s="258">
        <f t="shared" si="24"/>
        <v>385.805658071702</v>
      </c>
    </row>
    <row r="308" spans="5:14" ht="15">
      <c r="E308" s="248">
        <v>45474</v>
      </c>
      <c r="F308" s="323">
        <f t="shared" si="20"/>
        <v>45504</v>
      </c>
      <c r="G308" s="159">
        <f t="shared" si="21"/>
        <v>2025</v>
      </c>
      <c r="H308" s="500"/>
      <c r="I308" s="500"/>
      <c r="J308" s="257">
        <f>IF($E308&lt;DATE(2018,7,1),"-",INDEX('Annual Inflation'!$AM$53:$BA$53, MATCH(YEAR(EOMONTH($E308,6)), 'Annual Inflation'!$AM$6:$BA$6, 0))/100)</f>
        <v>2.5756936498082306E-2</v>
      </c>
      <c r="K308" s="257">
        <f>IF($E308&lt;DATE(2018,7,1),"-",INDEX('Annual Inflation'!$AM$50:$BA$50, MATCH(YEAR(EOMONTH($E308,6)), 'Annual Inflation'!$AM$6:$BA$6, 0))/100)</f>
        <v>3.4828566998632349E-2</v>
      </c>
      <c r="L308" s="258">
        <f t="shared" si="22"/>
        <v>133.2821570689903</v>
      </c>
      <c r="M308" s="258">
        <f t="shared" si="23"/>
        <v>388.40653742549455</v>
      </c>
      <c r="N308" s="258">
        <f t="shared" si="24"/>
        <v>386.62413772344178</v>
      </c>
    </row>
    <row r="309" spans="5:14" ht="15">
      <c r="E309" s="248">
        <v>45505</v>
      </c>
      <c r="F309" s="323">
        <f t="shared" si="20"/>
        <v>45535</v>
      </c>
      <c r="G309" s="159">
        <f t="shared" si="21"/>
        <v>2025</v>
      </c>
      <c r="H309" s="500"/>
      <c r="I309" s="500"/>
      <c r="J309" s="257">
        <f>IF($E309&lt;DATE(2018,7,1),"-",INDEX('Annual Inflation'!$AM$53:$BA$53, MATCH(YEAR(EOMONTH($E309,6)), 'Annual Inflation'!$AM$6:$BA$6, 0))/100)</f>
        <v>2.5756936498082306E-2</v>
      </c>
      <c r="K309" s="257">
        <f>IF($E309&lt;DATE(2018,7,1),"-",INDEX('Annual Inflation'!$AM$50:$BA$50, MATCH(YEAR(EOMONTH($E309,6)), 'Annual Inflation'!$AM$6:$BA$6, 0))/100)</f>
        <v>3.4828566998632349E-2</v>
      </c>
      <c r="L309" s="258">
        <f t="shared" si="22"/>
        <v>133.56491272904512</v>
      </c>
      <c r="M309" s="258">
        <f t="shared" si="23"/>
        <v>389.5162362893418</v>
      </c>
      <c r="N309" s="258">
        <f t="shared" si="24"/>
        <v>387.44435376480232</v>
      </c>
    </row>
    <row r="310" spans="5:14" ht="15">
      <c r="E310" s="248">
        <v>45536</v>
      </c>
      <c r="F310" s="323">
        <f t="shared" si="20"/>
        <v>45565</v>
      </c>
      <c r="G310" s="159">
        <f t="shared" si="21"/>
        <v>2025</v>
      </c>
      <c r="H310" s="500"/>
      <c r="I310" s="500"/>
      <c r="J310" s="257">
        <f>IF($E310&lt;DATE(2018,7,1),"-",INDEX('Annual Inflation'!$AM$53:$BA$53, MATCH(YEAR(EOMONTH($E310,6)), 'Annual Inflation'!$AM$6:$BA$6, 0))/100)</f>
        <v>2.5756936498082306E-2</v>
      </c>
      <c r="K310" s="257">
        <f>IF($E310&lt;DATE(2018,7,1),"-",INDEX('Annual Inflation'!$AM$50:$BA$50, MATCH(YEAR(EOMONTH($E310,6)), 'Annual Inflation'!$AM$6:$BA$6, 0))/100)</f>
        <v>3.4828566998632349E-2</v>
      </c>
      <c r="L310" s="258">
        <f t="shared" si="22"/>
        <v>133.84826825006448</v>
      </c>
      <c r="M310" s="258">
        <f t="shared" si="23"/>
        <v>390.62910562394529</v>
      </c>
      <c r="N310" s="258">
        <f t="shared" si="24"/>
        <v>388.2663098795025</v>
      </c>
    </row>
    <row r="311" spans="5:14" ht="15">
      <c r="E311" s="248">
        <v>45566</v>
      </c>
      <c r="F311" s="323">
        <f t="shared" si="20"/>
        <v>45596</v>
      </c>
      <c r="G311" s="159">
        <f t="shared" si="21"/>
        <v>2025</v>
      </c>
      <c r="H311" s="500"/>
      <c r="I311" s="500"/>
      <c r="J311" s="257">
        <f>IF($E311&lt;DATE(2018,7,1),"-",INDEX('Annual Inflation'!$AM$53:$BA$53, MATCH(YEAR(EOMONTH($E311,6)), 'Annual Inflation'!$AM$6:$BA$6, 0))/100)</f>
        <v>2.5756936498082306E-2</v>
      </c>
      <c r="K311" s="257">
        <f>IF($E311&lt;DATE(2018,7,1),"-",INDEX('Annual Inflation'!$AM$50:$BA$50, MATCH(YEAR(EOMONTH($E311,6)), 'Annual Inflation'!$AM$6:$BA$6, 0))/100)</f>
        <v>3.4828566998632349E-2</v>
      </c>
      <c r="L311" s="258">
        <f t="shared" si="22"/>
        <v>134.13222490464241</v>
      </c>
      <c r="M311" s="258">
        <f t="shared" si="23"/>
        <v>391.74515448751447</v>
      </c>
      <c r="N311" s="258">
        <f t="shared" si="24"/>
        <v>389.09000975907605</v>
      </c>
    </row>
    <row r="312" spans="5:14" ht="15">
      <c r="E312" s="248">
        <v>45597</v>
      </c>
      <c r="F312" s="323">
        <f t="shared" si="20"/>
        <v>45626</v>
      </c>
      <c r="G312" s="159">
        <f t="shared" si="21"/>
        <v>2025</v>
      </c>
      <c r="H312" s="500"/>
      <c r="I312" s="500"/>
      <c r="J312" s="257">
        <f>IF($E312&lt;DATE(2018,7,1),"-",INDEX('Annual Inflation'!$AM$53:$BA$53, MATCH(YEAR(EOMONTH($E312,6)), 'Annual Inflation'!$AM$6:$BA$6, 0))/100)</f>
        <v>2.5756936498082306E-2</v>
      </c>
      <c r="K312" s="257">
        <f>IF($E312&lt;DATE(2018,7,1),"-",INDEX('Annual Inflation'!$AM$50:$BA$50, MATCH(YEAR(EOMONTH($E312,6)), 'Annual Inflation'!$AM$6:$BA$6, 0))/100)</f>
        <v>3.4828566998632349E-2</v>
      </c>
      <c r="L312" s="258">
        <f t="shared" si="22"/>
        <v>134.41678396807282</v>
      </c>
      <c r="M312" s="258">
        <f t="shared" si="23"/>
        <v>392.86439196413869</v>
      </c>
      <c r="N312" s="258">
        <f t="shared" si="24"/>
        <v>389.9154571028883</v>
      </c>
    </row>
    <row r="313" spans="5:14" ht="15">
      <c r="E313" s="248">
        <v>45627</v>
      </c>
      <c r="F313" s="323">
        <f t="shared" si="20"/>
        <v>45657</v>
      </c>
      <c r="G313" s="159">
        <f t="shared" si="21"/>
        <v>2025</v>
      </c>
      <c r="H313" s="500"/>
      <c r="I313" s="500"/>
      <c r="J313" s="257">
        <f>IF($E313&lt;DATE(2018,7,1),"-",INDEX('Annual Inflation'!$AM$53:$BA$53, MATCH(YEAR(EOMONTH($E313,6)), 'Annual Inflation'!$AM$6:$BA$6, 0))/100)</f>
        <v>2.5756936498082306E-2</v>
      </c>
      <c r="K313" s="257">
        <f>IF($E313&lt;DATE(2018,7,1),"-",INDEX('Annual Inflation'!$AM$50:$BA$50, MATCH(YEAR(EOMONTH($E313,6)), 'Annual Inflation'!$AM$6:$BA$6, 0))/100)</f>
        <v>3.4828566998632349E-2</v>
      </c>
      <c r="L313" s="258">
        <f t="shared" si="22"/>
        <v>134.70194671835503</v>
      </c>
      <c r="M313" s="258">
        <f t="shared" si="23"/>
        <v>393.98682716386105</v>
      </c>
      <c r="N313" s="258">
        <f t="shared" si="24"/>
        <v>390.7426556181527</v>
      </c>
    </row>
    <row r="314" spans="5:14" ht="15">
      <c r="E314" s="248">
        <v>45658</v>
      </c>
      <c r="F314" s="323">
        <f t="shared" si="20"/>
        <v>45688</v>
      </c>
      <c r="G314" s="159">
        <f t="shared" si="21"/>
        <v>2025</v>
      </c>
      <c r="H314" s="500"/>
      <c r="I314" s="500"/>
      <c r="J314" s="257">
        <f>IF($E314&lt;DATE(2018,7,1),"-",INDEX('Annual Inflation'!$AM$53:$BA$53, MATCH(YEAR(EOMONTH($E314,6)), 'Annual Inflation'!$AM$6:$BA$6, 0))/100)</f>
        <v>2.5756936498082306E-2</v>
      </c>
      <c r="K314" s="257">
        <f>IF($E314&lt;DATE(2018,7,1),"-",INDEX('Annual Inflation'!$AM$50:$BA$50, MATCH(YEAR(EOMONTH($E314,6)), 'Annual Inflation'!$AM$6:$BA$6, 0))/100)</f>
        <v>3.4828566998632349E-2</v>
      </c>
      <c r="L314" s="258">
        <f t="shared" si="22"/>
        <v>134.9877144361997</v>
      </c>
      <c r="M314" s="258">
        <f t="shared" si="23"/>
        <v>395.11246922275251</v>
      </c>
      <c r="N314" s="258">
        <f t="shared" si="24"/>
        <v>391.57160901994752</v>
      </c>
    </row>
    <row r="315" spans="5:14" ht="15">
      <c r="E315" s="248">
        <v>45689</v>
      </c>
      <c r="F315" s="323">
        <f t="shared" si="20"/>
        <v>45716</v>
      </c>
      <c r="G315" s="159">
        <f t="shared" si="21"/>
        <v>2025</v>
      </c>
      <c r="H315" s="500"/>
      <c r="I315" s="500"/>
      <c r="J315" s="257">
        <f>IF($E315&lt;DATE(2018,7,1),"-",INDEX('Annual Inflation'!$AM$53:$BA$53, MATCH(YEAR(EOMONTH($E315,6)), 'Annual Inflation'!$AM$6:$BA$6, 0))/100)</f>
        <v>2.5756936498082306E-2</v>
      </c>
      <c r="K315" s="257">
        <f>IF($E315&lt;DATE(2018,7,1),"-",INDEX('Annual Inflation'!$AM$50:$BA$50, MATCH(YEAR(EOMONTH($E315,6)), 'Annual Inflation'!$AM$6:$BA$6, 0))/100)</f>
        <v>3.4828566998632349E-2</v>
      </c>
      <c r="L315" s="258">
        <f t="shared" si="22"/>
        <v>135.27408840503443</v>
      </c>
      <c r="M315" s="258">
        <f t="shared" si="23"/>
        <v>396.24132730298624</v>
      </c>
      <c r="N315" s="258">
        <f t="shared" si="24"/>
        <v>392.40232103123236</v>
      </c>
    </row>
    <row r="316" spans="5:14" ht="15">
      <c r="E316" s="248">
        <v>45717</v>
      </c>
      <c r="F316" s="323">
        <f t="shared" si="20"/>
        <v>45747</v>
      </c>
      <c r="G316" s="159">
        <f t="shared" si="21"/>
        <v>2025</v>
      </c>
      <c r="H316" s="500"/>
      <c r="I316" s="500"/>
      <c r="J316" s="257">
        <f>IF($E316&lt;DATE(2018,7,1),"-",INDEX('Annual Inflation'!$AM$53:$BA$53, MATCH(YEAR(EOMONTH($E316,6)), 'Annual Inflation'!$AM$6:$BA$6, 0))/100)</f>
        <v>2.5756936498082306E-2</v>
      </c>
      <c r="K316" s="257">
        <f>IF($E316&lt;DATE(2018,7,1),"-",INDEX('Annual Inflation'!$AM$50:$BA$50, MATCH(YEAR(EOMONTH($E316,6)), 'Annual Inflation'!$AM$6:$BA$6, 0))/100)</f>
        <v>3.4828566998632349E-2</v>
      </c>
      <c r="L316" s="258">
        <f t="shared" si="22"/>
        <v>135.56106991100964</v>
      </c>
      <c r="M316" s="258">
        <f t="shared" si="23"/>
        <v>397.37341059291236</v>
      </c>
      <c r="N316" s="258">
        <f t="shared" si="24"/>
        <v>393.23479538286517</v>
      </c>
    </row>
    <row r="317" spans="5:14" ht="15">
      <c r="E317" s="248">
        <v>45748</v>
      </c>
      <c r="F317" s="323">
        <f t="shared" si="20"/>
        <v>45777</v>
      </c>
      <c r="G317" s="159">
        <f t="shared" si="21"/>
        <v>2026</v>
      </c>
      <c r="H317" s="500"/>
      <c r="I317" s="500"/>
      <c r="J317" s="257">
        <f>IF($E317&lt;DATE(2018,7,1),"-",INDEX('Annual Inflation'!$AM$53:$BA$53, MATCH(YEAR(EOMONTH($E317,6)), 'Annual Inflation'!$AM$6:$BA$6, 0))/100)</f>
        <v>2.5756936498082306E-2</v>
      </c>
      <c r="K317" s="257">
        <f>IF($E317&lt;DATE(2018,7,1),"-",INDEX('Annual Inflation'!$AM$50:$BA$50, MATCH(YEAR(EOMONTH($E317,6)), 'Annual Inflation'!$AM$6:$BA$6, 0))/100)</f>
        <v>3.4828566998632349E-2</v>
      </c>
      <c r="L317" s="258">
        <f t="shared" si="22"/>
        <v>135.84866024300425</v>
      </c>
      <c r="M317" s="258">
        <f t="shared" si="23"/>
        <v>398.50872830713251</v>
      </c>
      <c r="N317" s="258">
        <f t="shared" si="24"/>
        <v>394.06903581361883</v>
      </c>
    </row>
    <row r="318" spans="5:14" ht="15">
      <c r="E318" s="248">
        <v>45778</v>
      </c>
      <c r="F318" s="323">
        <f t="shared" si="20"/>
        <v>45808</v>
      </c>
      <c r="G318" s="159">
        <f t="shared" si="21"/>
        <v>2026</v>
      </c>
      <c r="H318" s="500"/>
      <c r="I318" s="500"/>
      <c r="J318" s="257">
        <f>IF($E318&lt;DATE(2018,7,1),"-",INDEX('Annual Inflation'!$AM$53:$BA$53, MATCH(YEAR(EOMONTH($E318,6)), 'Annual Inflation'!$AM$6:$BA$6, 0))/100)</f>
        <v>2.5756936498082306E-2</v>
      </c>
      <c r="K318" s="257">
        <f>IF($E318&lt;DATE(2018,7,1),"-",INDEX('Annual Inflation'!$AM$50:$BA$50, MATCH(YEAR(EOMONTH($E318,6)), 'Annual Inflation'!$AM$6:$BA$6, 0))/100)</f>
        <v>3.4828566998632349E-2</v>
      </c>
      <c r="L318" s="258">
        <f t="shared" si="22"/>
        <v>136.1368606926315</v>
      </c>
      <c r="M318" s="258">
        <f t="shared" si="23"/>
        <v>399.64728968657499</v>
      </c>
      <c r="N318" s="258">
        <f t="shared" si="24"/>
        <v>394.90504607019784</v>
      </c>
    </row>
    <row r="319" spans="5:14" ht="15">
      <c r="E319" s="248">
        <v>45809</v>
      </c>
      <c r="F319" s="323">
        <f t="shared" si="20"/>
        <v>45838</v>
      </c>
      <c r="G319" s="159">
        <f t="shared" si="21"/>
        <v>2026</v>
      </c>
      <c r="H319" s="500"/>
      <c r="I319" s="500"/>
      <c r="J319" s="257">
        <f>IF($E319&lt;DATE(2018,7,1),"-",INDEX('Annual Inflation'!$AM$53:$BA$53, MATCH(YEAR(EOMONTH($E319,6)), 'Annual Inflation'!$AM$6:$BA$6, 0))/100)</f>
        <v>2.5756936498082306E-2</v>
      </c>
      <c r="K319" s="257">
        <f>IF($E319&lt;DATE(2018,7,1),"-",INDEX('Annual Inflation'!$AM$50:$BA$50, MATCH(YEAR(EOMONTH($E319,6)), 'Annual Inflation'!$AM$6:$BA$6, 0))/100)</f>
        <v>3.4828566998632349E-2</v>
      </c>
      <c r="L319" s="258">
        <f t="shared" si="22"/>
        <v>136.42567255424484</v>
      </c>
      <c r="M319" s="258">
        <f t="shared" si="23"/>
        <v>400.78910399856994</v>
      </c>
      <c r="N319" s="258">
        <f t="shared" si="24"/>
        <v>395.74282990725538</v>
      </c>
    </row>
    <row r="320" spans="5:14" ht="15">
      <c r="E320" s="248">
        <v>45839</v>
      </c>
      <c r="F320" s="323">
        <f t="shared" si="20"/>
        <v>45869</v>
      </c>
      <c r="G320" s="159">
        <f t="shared" si="21"/>
        <v>2026</v>
      </c>
      <c r="H320" s="500"/>
      <c r="I320" s="500"/>
      <c r="J320" s="257">
        <f>IF($E320&lt;DATE(2018,7,1),"-",INDEX('Annual Inflation'!$AM$53:$BA$53, MATCH(YEAR(EOMONTH($E320,6)), 'Annual Inflation'!$AM$6:$BA$6, 0))/100)</f>
        <v>2.2608746324726203E-2</v>
      </c>
      <c r="K320" s="257">
        <f>IF($E320&lt;DATE(2018,7,1),"-",INDEX('Annual Inflation'!$AM$50:$BA$50, MATCH(YEAR(EOMONTH($E320,6)), 'Annual Inflation'!$AM$6:$BA$6, 0))/100)</f>
        <v>3.2635408950927314E-2</v>
      </c>
      <c r="L320" s="258">
        <f t="shared" si="22"/>
        <v>136.68008137659143</v>
      </c>
      <c r="M320" s="258">
        <f t="shared" si="23"/>
        <v>401.86312507934122</v>
      </c>
      <c r="N320" s="258">
        <f t="shared" si="24"/>
        <v>396.48081759992209</v>
      </c>
    </row>
    <row r="321" spans="5:14" ht="15">
      <c r="E321" s="248">
        <v>45870</v>
      </c>
      <c r="F321" s="323">
        <f t="shared" si="20"/>
        <v>45900</v>
      </c>
      <c r="G321" s="159">
        <f t="shared" si="21"/>
        <v>2026</v>
      </c>
      <c r="H321" s="500"/>
      <c r="I321" s="500"/>
      <c r="J321" s="257">
        <f>IF($E321&lt;DATE(2018,7,1),"-",INDEX('Annual Inflation'!$AM$53:$BA$53, MATCH(YEAR(EOMONTH($E321,6)), 'Annual Inflation'!$AM$6:$BA$6, 0))/100)</f>
        <v>2.2608746324726203E-2</v>
      </c>
      <c r="K321" s="257">
        <f>IF($E321&lt;DATE(2018,7,1),"-",INDEX('Annual Inflation'!$AM$50:$BA$50, MATCH(YEAR(EOMONTH($E321,6)), 'Annual Inflation'!$AM$6:$BA$6, 0))/100)</f>
        <v>3.2635408950927314E-2</v>
      </c>
      <c r="L321" s="258">
        <f t="shared" si="22"/>
        <v>136.93496462466507</v>
      </c>
      <c r="M321" s="258">
        <f t="shared" si="23"/>
        <v>402.94002428546679</v>
      </c>
      <c r="N321" s="258">
        <f t="shared" si="24"/>
        <v>397.22018150409127</v>
      </c>
    </row>
    <row r="322" spans="5:14" ht="15">
      <c r="E322" s="248">
        <v>45901</v>
      </c>
      <c r="F322" s="323">
        <f t="shared" si="20"/>
        <v>45930</v>
      </c>
      <c r="G322" s="159">
        <f t="shared" si="21"/>
        <v>2026</v>
      </c>
      <c r="H322" s="500"/>
      <c r="I322" s="500"/>
      <c r="J322" s="257">
        <f>IF($E322&lt;DATE(2018,7,1),"-",INDEX('Annual Inflation'!$AM$53:$BA$53, MATCH(YEAR(EOMONTH($E322,6)), 'Annual Inflation'!$AM$6:$BA$6, 0))/100)</f>
        <v>2.2608746324726203E-2</v>
      </c>
      <c r="K322" s="257">
        <f>IF($E322&lt;DATE(2018,7,1),"-",INDEX('Annual Inflation'!$AM$50:$BA$50, MATCH(YEAR(EOMONTH($E322,6)), 'Annual Inflation'!$AM$6:$BA$6, 0))/100)</f>
        <v>3.2635408950927314E-2</v>
      </c>
      <c r="L322" s="258">
        <f t="shared" si="22"/>
        <v>137.19032318318258</v>
      </c>
      <c r="M322" s="258">
        <f t="shared" si="23"/>
        <v>404.0198093296496</v>
      </c>
      <c r="N322" s="258">
        <f t="shared" si="24"/>
        <v>397.96092418614455</v>
      </c>
    </row>
    <row r="323" spans="5:14" ht="15">
      <c r="E323" s="248">
        <v>45931</v>
      </c>
      <c r="F323" s="323">
        <f t="shared" si="20"/>
        <v>45961</v>
      </c>
      <c r="G323" s="159">
        <f t="shared" si="21"/>
        <v>2026</v>
      </c>
      <c r="H323" s="500"/>
      <c r="I323" s="500"/>
      <c r="J323" s="257">
        <f>IF($E323&lt;DATE(2018,7,1),"-",INDEX('Annual Inflation'!$AM$53:$BA$53, MATCH(YEAR(EOMONTH($E323,6)), 'Annual Inflation'!$AM$6:$BA$6, 0))/100)</f>
        <v>2.2608746324726203E-2</v>
      </c>
      <c r="K323" s="257">
        <f>IF($E323&lt;DATE(2018,7,1),"-",INDEX('Annual Inflation'!$AM$50:$BA$50, MATCH(YEAR(EOMONTH($E323,6)), 'Annual Inflation'!$AM$6:$BA$6, 0))/100)</f>
        <v>3.2635408950927314E-2</v>
      </c>
      <c r="L323" s="258">
        <f t="shared" si="22"/>
        <v>137.44615793851065</v>
      </c>
      <c r="M323" s="258">
        <f t="shared" si="23"/>
        <v>405.1024879452608</v>
      </c>
      <c r="N323" s="258">
        <f t="shared" si="24"/>
        <v>398.70304821724949</v>
      </c>
    </row>
    <row r="324" spans="5:14" ht="15">
      <c r="E324" s="248">
        <v>45962</v>
      </c>
      <c r="F324" s="323">
        <f t="shared" si="20"/>
        <v>45991</v>
      </c>
      <c r="G324" s="159">
        <f t="shared" si="21"/>
        <v>2026</v>
      </c>
      <c r="H324" s="500"/>
      <c r="I324" s="500"/>
      <c r="J324" s="257">
        <f>IF($E324&lt;DATE(2018,7,1),"-",INDEX('Annual Inflation'!$AM$53:$BA$53, MATCH(YEAR(EOMONTH($E324,6)), 'Annual Inflation'!$AM$6:$BA$6, 0))/100)</f>
        <v>2.2608746324726203E-2</v>
      </c>
      <c r="K324" s="257">
        <f>IF($E324&lt;DATE(2018,7,1),"-",INDEX('Annual Inflation'!$AM$50:$BA$50, MATCH(YEAR(EOMONTH($E324,6)), 'Annual Inflation'!$AM$6:$BA$6, 0))/100)</f>
        <v>3.2635408950927314E-2</v>
      </c>
      <c r="L324" s="258">
        <f t="shared" si="22"/>
        <v>137.70246977866887</v>
      </c>
      <c r="M324" s="258">
        <f t="shared" si="23"/>
        <v>406.18806788639529</v>
      </c>
      <c r="N324" s="258">
        <f t="shared" si="24"/>
        <v>399.44655617336832</v>
      </c>
    </row>
    <row r="325" spans="5:14" ht="15">
      <c r="E325" s="248">
        <v>45992</v>
      </c>
      <c r="F325" s="323">
        <f t="shared" si="20"/>
        <v>46022</v>
      </c>
      <c r="G325" s="159">
        <f t="shared" si="21"/>
        <v>2026</v>
      </c>
      <c r="H325" s="500"/>
      <c r="I325" s="500"/>
      <c r="J325" s="257">
        <f>IF($E325&lt;DATE(2018,7,1),"-",INDEX('Annual Inflation'!$AM$53:$BA$53, MATCH(YEAR(EOMONTH($E325,6)), 'Annual Inflation'!$AM$6:$BA$6, 0))/100)</f>
        <v>2.2608746324726203E-2</v>
      </c>
      <c r="K325" s="257">
        <f>IF($E325&lt;DATE(2018,7,1),"-",INDEX('Annual Inflation'!$AM$50:$BA$50, MATCH(YEAR(EOMONTH($E325,6)), 'Annual Inflation'!$AM$6:$BA$6, 0))/100)</f>
        <v>3.2635408950927314E-2</v>
      </c>
      <c r="L325" s="258">
        <f t="shared" si="22"/>
        <v>137.9592595933328</v>
      </c>
      <c r="M325" s="258">
        <f t="shared" si="23"/>
        <v>407.27655692792695</v>
      </c>
      <c r="N325" s="258">
        <f t="shared" si="24"/>
        <v>400.19145063526707</v>
      </c>
    </row>
    <row r="326" spans="5:14" ht="15">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2.2608746324726203E-2</v>
      </c>
      <c r="K326" s="257">
        <f>IF($E326&lt;DATE(2018,7,1),"-",INDEX('Annual Inflation'!$AM$50:$BA$50, MATCH(YEAR(EOMONTH($E326,6)), 'Annual Inflation'!$AM$6:$BA$6, 0))/100)</f>
        <v>3.2635408950927314E-2</v>
      </c>
      <c r="L326" s="258">
        <f t="shared" ref="L326:L352" si="29">IF(ISBLANK(H326),L325*((1+J326)^(1/12)),H326)</f>
        <v>138.21652827383716</v>
      </c>
      <c r="M326" s="258">
        <f t="shared" ref="M326:M352" si="30">IF(ISBLANK(I326),M325*((1+K326)^(1/12)),I326)</f>
        <v>408.36796286556466</v>
      </c>
      <c r="N326" s="258">
        <f t="shared" ref="N326:N352" si="31">IF($E326 &lt; DATE(2023,4,1),  M326,  IF($E326 = DATE(2023,4,1), N325 * ((0.5*L326/L325) + (0.5*M326/M325)), N325*(L326/L325)))</f>
        <v>400.93773418852436</v>
      </c>
    </row>
    <row r="327" spans="5:14" ht="15">
      <c r="E327" s="248">
        <v>46054</v>
      </c>
      <c r="F327" s="323">
        <f t="shared" si="27"/>
        <v>46081</v>
      </c>
      <c r="G327" s="159">
        <f t="shared" si="28"/>
        <v>2026</v>
      </c>
      <c r="H327" s="500"/>
      <c r="I327" s="500"/>
      <c r="J327" s="257">
        <f>IF($E327&lt;DATE(2018,7,1),"-",INDEX('Annual Inflation'!$AM$53:$BA$53, MATCH(YEAR(EOMONTH($E327,6)), 'Annual Inflation'!$AM$6:$BA$6, 0))/100)</f>
        <v>2.2608746324726203E-2</v>
      </c>
      <c r="K327" s="257">
        <f>IF($E327&lt;DATE(2018,7,1),"-",INDEX('Annual Inflation'!$AM$50:$BA$50, MATCH(YEAR(EOMONTH($E327,6)), 'Annual Inflation'!$AM$6:$BA$6, 0))/100)</f>
        <v>3.2635408950927314E-2</v>
      </c>
      <c r="L327" s="258">
        <f t="shared" si="29"/>
        <v>138.47427671317874</v>
      </c>
      <c r="M327" s="258">
        <f t="shared" si="30"/>
        <v>409.4622935159079</v>
      </c>
      <c r="N327" s="258">
        <f t="shared" si="31"/>
        <v>401.68540942354036</v>
      </c>
    </row>
    <row r="328" spans="5:14" ht="15">
      <c r="E328" s="248">
        <v>46082</v>
      </c>
      <c r="F328" s="323">
        <f t="shared" si="27"/>
        <v>46112</v>
      </c>
      <c r="G328" s="159">
        <f t="shared" si="28"/>
        <v>2026</v>
      </c>
      <c r="H328" s="500"/>
      <c r="I328" s="500"/>
      <c r="J328" s="257">
        <f>IF($E328&lt;DATE(2018,7,1),"-",INDEX('Annual Inflation'!$AM$53:$BA$53, MATCH(YEAR(EOMONTH($E328,6)), 'Annual Inflation'!$AM$6:$BA$6, 0))/100)</f>
        <v>2.2608746324726203E-2</v>
      </c>
      <c r="K328" s="257">
        <f>IF($E328&lt;DATE(2018,7,1),"-",INDEX('Annual Inflation'!$AM$50:$BA$50, MATCH(YEAR(EOMONTH($E328,6)), 'Annual Inflation'!$AM$6:$BA$6, 0))/100)</f>
        <v>3.2635408950927314E-2</v>
      </c>
      <c r="L328" s="258">
        <f t="shared" si="29"/>
        <v>138.73250580601967</v>
      </c>
      <c r="M328" s="258">
        <f t="shared" si="30"/>
        <v>410.55955671650281</v>
      </c>
      <c r="N328" s="258">
        <f t="shared" si="31"/>
        <v>402.434478935546</v>
      </c>
    </row>
    <row r="329" spans="5:14" ht="15">
      <c r="E329" s="248">
        <v>46113</v>
      </c>
      <c r="F329" s="323">
        <f t="shared" si="27"/>
        <v>46142</v>
      </c>
      <c r="G329" s="159">
        <f t="shared" si="28"/>
        <v>2027</v>
      </c>
      <c r="H329" s="500"/>
      <c r="I329" s="500"/>
      <c r="J329" s="257">
        <f>IF($E329&lt;DATE(2018,7,1),"-",INDEX('Annual Inflation'!$AM$53:$BA$53, MATCH(YEAR(EOMONTH($E329,6)), 'Annual Inflation'!$AM$6:$BA$6, 0))/100)</f>
        <v>2.2608746324726203E-2</v>
      </c>
      <c r="K329" s="257">
        <f>IF($E329&lt;DATE(2018,7,1),"-",INDEX('Annual Inflation'!$AM$50:$BA$50, MATCH(YEAR(EOMONTH($E329,6)), 'Annual Inflation'!$AM$6:$BA$6, 0))/100)</f>
        <v>3.2635408950927314E-2</v>
      </c>
      <c r="L329" s="258">
        <f t="shared" si="29"/>
        <v>138.99121644869044</v>
      </c>
      <c r="M329" s="258">
        <f t="shared" si="30"/>
        <v>411.65976032589839</v>
      </c>
      <c r="N329" s="258">
        <f t="shared" si="31"/>
        <v>403.18494532461182</v>
      </c>
    </row>
    <row r="330" spans="5:14" ht="15">
      <c r="E330" s="248">
        <v>46143</v>
      </c>
      <c r="F330" s="323">
        <f t="shared" si="27"/>
        <v>46173</v>
      </c>
      <c r="G330" s="159">
        <f t="shared" si="28"/>
        <v>2027</v>
      </c>
      <c r="H330" s="500"/>
      <c r="I330" s="500"/>
      <c r="J330" s="257">
        <f>IF($E330&lt;DATE(2018,7,1),"-",INDEX('Annual Inflation'!$AM$53:$BA$53, MATCH(YEAR(EOMONTH($E330,6)), 'Annual Inflation'!$AM$6:$BA$6, 0))/100)</f>
        <v>2.2608746324726203E-2</v>
      </c>
      <c r="K330" s="257">
        <f>IF($E330&lt;DATE(2018,7,1),"-",INDEX('Annual Inflation'!$AM$50:$BA$50, MATCH(YEAR(EOMONTH($E330,6)), 'Annual Inflation'!$AM$6:$BA$6, 0))/100)</f>
        <v>3.2635408950927314E-2</v>
      </c>
      <c r="L330" s="258">
        <f t="shared" si="29"/>
        <v>139.25040953919304</v>
      </c>
      <c r="M330" s="258">
        <f t="shared" si="30"/>
        <v>412.76291222370259</v>
      </c>
      <c r="N330" s="258">
        <f t="shared" si="31"/>
        <v>403.9368111956569</v>
      </c>
    </row>
    <row r="331" spans="5:14" ht="15">
      <c r="E331" s="248">
        <v>46174</v>
      </c>
      <c r="F331" s="323">
        <f t="shared" si="27"/>
        <v>46203</v>
      </c>
      <c r="G331" s="159">
        <f t="shared" si="28"/>
        <v>2027</v>
      </c>
      <c r="H331" s="500"/>
      <c r="I331" s="500"/>
      <c r="J331" s="257">
        <f>IF($E331&lt;DATE(2018,7,1),"-",INDEX('Annual Inflation'!$AM$53:$BA$53, MATCH(YEAR(EOMONTH($E331,6)), 'Annual Inflation'!$AM$6:$BA$6, 0))/100)</f>
        <v>2.2608746324726203E-2</v>
      </c>
      <c r="K331" s="257">
        <f>IF($E331&lt;DATE(2018,7,1),"-",INDEX('Annual Inflation'!$AM$50:$BA$50, MATCH(YEAR(EOMONTH($E331,6)), 'Annual Inflation'!$AM$6:$BA$6, 0))/100)</f>
        <v>3.2635408950927314E-2</v>
      </c>
      <c r="L331" s="258">
        <f t="shared" si="29"/>
        <v>139.51008597720408</v>
      </c>
      <c r="M331" s="258">
        <f t="shared" si="30"/>
        <v>413.86902031063897</v>
      </c>
      <c r="N331" s="258">
        <f t="shared" si="31"/>
        <v>404.69007915845816</v>
      </c>
    </row>
    <row r="332" spans="5:14" ht="15">
      <c r="E332" s="248">
        <v>46204</v>
      </c>
      <c r="F332" s="323">
        <f t="shared" si="27"/>
        <v>46234</v>
      </c>
      <c r="G332" s="159">
        <f t="shared" si="28"/>
        <v>2027</v>
      </c>
      <c r="H332" s="500"/>
      <c r="I332" s="500"/>
      <c r="J332" s="257">
        <f>IF($E332&lt;DATE(2018,7,1),"-",INDEX('Annual Inflation'!$AM$53:$BA$53, MATCH(YEAR(EOMONTH($E332,6)), 'Annual Inflation'!$AM$6:$BA$6, 0))/100)</f>
        <v>2.1160529756593105E-2</v>
      </c>
      <c r="K332" s="257">
        <f>IF($E332&lt;DATE(2018,7,1),"-",INDEX('Annual Inflation'!$AM$50:$BA$50, MATCH(YEAR(EOMONTH($E332,6)), 'Annual Inflation'!$AM$6:$BA$6, 0))/100)</f>
        <v>3.0884869830960726E-2</v>
      </c>
      <c r="L332" s="258">
        <f t="shared" si="29"/>
        <v>139.75374075096812</v>
      </c>
      <c r="M332" s="258">
        <f t="shared" si="30"/>
        <v>414.91942381717212</v>
      </c>
      <c r="N332" s="258">
        <f t="shared" si="31"/>
        <v>405.39687156698704</v>
      </c>
    </row>
    <row r="333" spans="5:14" ht="15">
      <c r="E333" s="248">
        <v>46235</v>
      </c>
      <c r="F333" s="323">
        <f t="shared" si="27"/>
        <v>46265</v>
      </c>
      <c r="G333" s="159">
        <f t="shared" si="28"/>
        <v>2027</v>
      </c>
      <c r="H333" s="500"/>
      <c r="I333" s="500"/>
      <c r="J333" s="257">
        <f>IF($E333&lt;DATE(2018,7,1),"-",INDEX('Annual Inflation'!$AM$53:$BA$53, MATCH(YEAR(EOMONTH($E333,6)), 'Annual Inflation'!$AM$6:$BA$6, 0))/100)</f>
        <v>2.1160529756593105E-2</v>
      </c>
      <c r="K333" s="257">
        <f>IF($E333&lt;DATE(2018,7,1),"-",INDEX('Annual Inflation'!$AM$50:$BA$50, MATCH(YEAR(EOMONTH($E333,6)), 'Annual Inflation'!$AM$6:$BA$6, 0))/100)</f>
        <v>3.0884869830960726E-2</v>
      </c>
      <c r="L333" s="258">
        <f t="shared" si="29"/>
        <v>139.99782106850816</v>
      </c>
      <c r="M333" s="258">
        <f t="shared" si="30"/>
        <v>415.97249325778682</v>
      </c>
      <c r="N333" s="258">
        <f t="shared" si="31"/>
        <v>406.10489839052752</v>
      </c>
    </row>
    <row r="334" spans="5:14" ht="15">
      <c r="E334" s="248">
        <v>46266</v>
      </c>
      <c r="F334" s="323">
        <f t="shared" si="27"/>
        <v>46295</v>
      </c>
      <c r="G334" s="159">
        <f t="shared" si="28"/>
        <v>2027</v>
      </c>
      <c r="H334" s="500"/>
      <c r="I334" s="500"/>
      <c r="J334" s="257">
        <f>IF($E334&lt;DATE(2018,7,1),"-",INDEX('Annual Inflation'!$AM$53:$BA$53, MATCH(YEAR(EOMONTH($E334,6)), 'Annual Inflation'!$AM$6:$BA$6, 0))/100)</f>
        <v>2.1160529756593105E-2</v>
      </c>
      <c r="K334" s="257">
        <f>IF($E334&lt;DATE(2018,7,1),"-",INDEX('Annual Inflation'!$AM$50:$BA$50, MATCH(YEAR(EOMONTH($E334,6)), 'Annual Inflation'!$AM$6:$BA$6, 0))/100)</f>
        <v>3.0884869830960726E-2</v>
      </c>
      <c r="L334" s="258">
        <f t="shared" si="29"/>
        <v>140.24232767303766</v>
      </c>
      <c r="M334" s="258">
        <f t="shared" si="30"/>
        <v>417.02823539864909</v>
      </c>
      <c r="N334" s="258">
        <f t="shared" si="31"/>
        <v>406.81416178498904</v>
      </c>
    </row>
    <row r="335" spans="5:14" ht="15">
      <c r="E335" s="248">
        <v>46296</v>
      </c>
      <c r="F335" s="323">
        <f t="shared" si="27"/>
        <v>46326</v>
      </c>
      <c r="G335" s="159">
        <f t="shared" si="28"/>
        <v>2027</v>
      </c>
      <c r="H335" s="500"/>
      <c r="I335" s="500"/>
      <c r="J335" s="257">
        <f>IF($E335&lt;DATE(2018,7,1),"-",INDEX('Annual Inflation'!$AM$53:$BA$53, MATCH(YEAR(EOMONTH($E335,6)), 'Annual Inflation'!$AM$6:$BA$6, 0))/100)</f>
        <v>2.1160529756593105E-2</v>
      </c>
      <c r="K335" s="257">
        <f>IF($E335&lt;DATE(2018,7,1),"-",INDEX('Annual Inflation'!$AM$50:$BA$50, MATCH(YEAR(EOMONTH($E335,6)), 'Annual Inflation'!$AM$6:$BA$6, 0))/100)</f>
        <v>3.0884869830960726E-2</v>
      </c>
      <c r="L335" s="258">
        <f t="shared" si="29"/>
        <v>140.48726130906809</v>
      </c>
      <c r="M335" s="258">
        <f t="shared" si="30"/>
        <v>418.08665702309753</v>
      </c>
      <c r="N335" s="258">
        <f t="shared" si="31"/>
        <v>407.52466391004634</v>
      </c>
    </row>
    <row r="336" spans="5:14" ht="15">
      <c r="E336" s="248">
        <v>46327</v>
      </c>
      <c r="F336" s="323">
        <f t="shared" si="27"/>
        <v>46356</v>
      </c>
      <c r="G336" s="159">
        <f t="shared" si="28"/>
        <v>2027</v>
      </c>
      <c r="H336" s="500"/>
      <c r="I336" s="500"/>
      <c r="J336" s="257">
        <f>IF($E336&lt;DATE(2018,7,1),"-",INDEX('Annual Inflation'!$AM$53:$BA$53, MATCH(YEAR(EOMONTH($E336,6)), 'Annual Inflation'!$AM$6:$BA$6, 0))/100)</f>
        <v>2.1160529756593105E-2</v>
      </c>
      <c r="K336" s="257">
        <f>IF($E336&lt;DATE(2018,7,1),"-",INDEX('Annual Inflation'!$AM$50:$BA$50, MATCH(YEAR(EOMONTH($E336,6)), 'Annual Inflation'!$AM$6:$BA$6, 0))/100)</f>
        <v>3.0884869830960726E-2</v>
      </c>
      <c r="L336" s="258">
        <f t="shared" si="29"/>
        <v>140.73262272241124</v>
      </c>
      <c r="M336" s="258">
        <f t="shared" si="30"/>
        <v>419.14776493168699</v>
      </c>
      <c r="N336" s="258">
        <f t="shared" si="31"/>
        <v>408.23640692914597</v>
      </c>
    </row>
    <row r="337" spans="5:14" ht="15">
      <c r="E337" s="248">
        <v>46357</v>
      </c>
      <c r="F337" s="323">
        <f t="shared" si="27"/>
        <v>46387</v>
      </c>
      <c r="G337" s="159">
        <f t="shared" si="28"/>
        <v>2027</v>
      </c>
      <c r="H337" s="500"/>
      <c r="I337" s="500"/>
      <c r="J337" s="257">
        <f>IF($E337&lt;DATE(2018,7,1),"-",INDEX('Annual Inflation'!$AM$53:$BA$53, MATCH(YEAR(EOMONTH($E337,6)), 'Annual Inflation'!$AM$6:$BA$6, 0))/100)</f>
        <v>2.1160529756593105E-2</v>
      </c>
      <c r="K337" s="257">
        <f>IF($E337&lt;DATE(2018,7,1),"-",INDEX('Annual Inflation'!$AM$50:$BA$50, MATCH(YEAR(EOMONTH($E337,6)), 'Annual Inflation'!$AM$6:$BA$6, 0))/100)</f>
        <v>3.0884869830960726E-2</v>
      </c>
      <c r="L337" s="258">
        <f t="shared" si="29"/>
        <v>140.97841266018142</v>
      </c>
      <c r="M337" s="258">
        <f t="shared" si="30"/>
        <v>420.21156594223214</v>
      </c>
      <c r="N337" s="258">
        <f t="shared" si="31"/>
        <v>408.94939300951307</v>
      </c>
    </row>
    <row r="338" spans="5:14" ht="15">
      <c r="E338" s="248">
        <v>46388</v>
      </c>
      <c r="F338" s="323">
        <f t="shared" si="27"/>
        <v>46418</v>
      </c>
      <c r="G338" s="159">
        <f t="shared" si="28"/>
        <v>2027</v>
      </c>
      <c r="H338" s="500"/>
      <c r="I338" s="500"/>
      <c r="J338" s="257">
        <f>IF($E338&lt;DATE(2018,7,1),"-",INDEX('Annual Inflation'!$AM$53:$BA$53, MATCH(YEAR(EOMONTH($E338,6)), 'Annual Inflation'!$AM$6:$BA$6, 0))/100)</f>
        <v>2.1160529756593105E-2</v>
      </c>
      <c r="K338" s="257">
        <f>IF($E338&lt;DATE(2018,7,1),"-",INDEX('Annual Inflation'!$AM$50:$BA$50, MATCH(YEAR(EOMONTH($E338,6)), 'Annual Inflation'!$AM$6:$BA$6, 0))/100)</f>
        <v>3.0884869830960726E-2</v>
      </c>
      <c r="L338" s="258">
        <f t="shared" si="29"/>
        <v>141.22463187079779</v>
      </c>
      <c r="M338" s="258">
        <f t="shared" si="30"/>
        <v>421.27806688985129</v>
      </c>
      <c r="N338" s="258">
        <f t="shared" si="31"/>
        <v>409.66362432215777</v>
      </c>
    </row>
    <row r="339" spans="5:14" ht="15">
      <c r="E339" s="248">
        <v>46419</v>
      </c>
      <c r="F339" s="323">
        <f t="shared" si="27"/>
        <v>46446</v>
      </c>
      <c r="G339" s="159">
        <f t="shared" si="28"/>
        <v>2027</v>
      </c>
      <c r="H339" s="500"/>
      <c r="I339" s="500"/>
      <c r="J339" s="257">
        <f>IF($E339&lt;DATE(2018,7,1),"-",INDEX('Annual Inflation'!$AM$53:$BA$53, MATCH(YEAR(EOMONTH($E339,6)), 'Annual Inflation'!$AM$6:$BA$6, 0))/100)</f>
        <v>2.1160529756593105E-2</v>
      </c>
      <c r="K339" s="257">
        <f>IF($E339&lt;DATE(2018,7,1),"-",INDEX('Annual Inflation'!$AM$50:$BA$50, MATCH(YEAR(EOMONTH($E339,6)), 'Annual Inflation'!$AM$6:$BA$6, 0))/100)</f>
        <v>3.0884869830960726E-2</v>
      </c>
      <c r="L339" s="258">
        <f t="shared" si="29"/>
        <v>141.47128110398666</v>
      </c>
      <c r="M339" s="258">
        <f t="shared" si="30"/>
        <v>422.34727462701045</v>
      </c>
      <c r="N339" s="258">
        <f t="shared" si="31"/>
        <v>410.37910304188188</v>
      </c>
    </row>
    <row r="340" spans="5:14" ht="15">
      <c r="E340" s="248">
        <v>46447</v>
      </c>
      <c r="F340" s="323">
        <f t="shared" si="27"/>
        <v>46477</v>
      </c>
      <c r="G340" s="159">
        <f t="shared" si="28"/>
        <v>2027</v>
      </c>
      <c r="H340" s="500"/>
      <c r="I340" s="500"/>
      <c r="J340" s="257">
        <f>IF($E340&lt;DATE(2018,7,1),"-",INDEX('Annual Inflation'!$AM$53:$BA$53, MATCH(YEAR(EOMONTH($E340,6)), 'Annual Inflation'!$AM$6:$BA$6, 0))/100)</f>
        <v>2.1160529756593105E-2</v>
      </c>
      <c r="K340" s="257">
        <f>IF($E340&lt;DATE(2018,7,1),"-",INDEX('Annual Inflation'!$AM$50:$BA$50, MATCH(YEAR(EOMONTH($E340,6)), 'Annual Inflation'!$AM$6:$BA$6, 0))/100)</f>
        <v>3.0884869830960726E-2</v>
      </c>
      <c r="L340" s="258">
        <f t="shared" si="29"/>
        <v>141.71836111078366</v>
      </c>
      <c r="M340" s="258">
        <f t="shared" si="30"/>
        <v>423.41919602356717</v>
      </c>
      <c r="N340" s="258">
        <f t="shared" si="31"/>
        <v>411.09583134728553</v>
      </c>
    </row>
    <row r="341" spans="5:14" ht="15">
      <c r="E341" s="248">
        <v>46478</v>
      </c>
      <c r="F341" s="323">
        <f t="shared" si="27"/>
        <v>46507</v>
      </c>
      <c r="G341" s="159">
        <f t="shared" si="28"/>
        <v>2028</v>
      </c>
      <c r="H341" s="500"/>
      <c r="I341" s="500"/>
      <c r="J341" s="257">
        <f>IF($E341&lt;DATE(2018,7,1),"-",INDEX('Annual Inflation'!$AM$53:$BA$53, MATCH(YEAR(EOMONTH($E341,6)), 'Annual Inflation'!$AM$6:$BA$6, 0))/100)</f>
        <v>2.1160529756593105E-2</v>
      </c>
      <c r="K341" s="257">
        <f>IF($E341&lt;DATE(2018,7,1),"-",INDEX('Annual Inflation'!$AM$50:$BA$50, MATCH(YEAR(EOMONTH($E341,6)), 'Annual Inflation'!$AM$6:$BA$6, 0))/100)</f>
        <v>3.0884869830960726E-2</v>
      </c>
      <c r="L341" s="258">
        <f t="shared" si="29"/>
        <v>141.96587264353622</v>
      </c>
      <c r="M341" s="258">
        <f t="shared" si="30"/>
        <v>424.49383796681474</v>
      </c>
      <c r="N341" s="258">
        <f t="shared" si="31"/>
        <v>411.81381142077373</v>
      </c>
    </row>
    <row r="342" spans="5:14" ht="15">
      <c r="E342" s="248">
        <v>46508</v>
      </c>
      <c r="F342" s="323">
        <f t="shared" si="27"/>
        <v>46538</v>
      </c>
      <c r="G342" s="159">
        <f t="shared" si="28"/>
        <v>2028</v>
      </c>
      <c r="H342" s="500"/>
      <c r="I342" s="500"/>
      <c r="J342" s="257">
        <f>IF($E342&lt;DATE(2018,7,1),"-",INDEX('Annual Inflation'!$AM$53:$BA$53, MATCH(YEAR(EOMONTH($E342,6)), 'Annual Inflation'!$AM$6:$BA$6, 0))/100)</f>
        <v>2.1160529756593105E-2</v>
      </c>
      <c r="K342" s="257">
        <f>IF($E342&lt;DATE(2018,7,1),"-",INDEX('Annual Inflation'!$AM$50:$BA$50, MATCH(YEAR(EOMONTH($E342,6)), 'Annual Inflation'!$AM$6:$BA$6, 0))/100)</f>
        <v>3.0884869830960726E-2</v>
      </c>
      <c r="L342" s="258">
        <f t="shared" si="29"/>
        <v>142.21381645590563</v>
      </c>
      <c r="M342" s="258">
        <f t="shared" si="30"/>
        <v>425.5712073615266</v>
      </c>
      <c r="N342" s="258">
        <f t="shared" si="31"/>
        <v>412.53304544856314</v>
      </c>
    </row>
    <row r="343" spans="5:14" ht="15">
      <c r="E343" s="248">
        <v>46539</v>
      </c>
      <c r="F343" s="323">
        <f t="shared" si="27"/>
        <v>46568</v>
      </c>
      <c r="G343" s="159">
        <f t="shared" si="28"/>
        <v>2028</v>
      </c>
      <c r="H343" s="500"/>
      <c r="I343" s="500"/>
      <c r="J343" s="257">
        <f>IF($E343&lt;DATE(2018,7,1),"-",INDEX('Annual Inflation'!$AM$53:$BA$53, MATCH(YEAR(EOMONTH($E343,6)), 'Annual Inflation'!$AM$6:$BA$6, 0))/100)</f>
        <v>2.1160529756593105E-2</v>
      </c>
      <c r="K343" s="257">
        <f>IF($E343&lt;DATE(2018,7,1),"-",INDEX('Annual Inflation'!$AM$50:$BA$50, MATCH(YEAR(EOMONTH($E343,6)), 'Annual Inflation'!$AM$6:$BA$6, 0))/100)</f>
        <v>3.0884869830960726E-2</v>
      </c>
      <c r="L343" s="258">
        <f t="shared" si="29"/>
        <v>142.46219330286957</v>
      </c>
      <c r="M343" s="258">
        <f t="shared" si="30"/>
        <v>426.65131113000041</v>
      </c>
      <c r="N343" s="258">
        <f t="shared" si="31"/>
        <v>413.25353562068864</v>
      </c>
    </row>
    <row r="344" spans="5:14" ht="15">
      <c r="E344" s="248">
        <v>46569</v>
      </c>
      <c r="F344" s="323">
        <f t="shared" si="27"/>
        <v>46599</v>
      </c>
      <c r="G344" s="159">
        <f t="shared" si="28"/>
        <v>2028</v>
      </c>
      <c r="H344" s="500"/>
      <c r="I344" s="500"/>
      <c r="J344" s="257">
        <f>IF($E344&lt;DATE(2018,7,1),"-",INDEX('Annual Inflation'!$AM$53:$BA$53, MATCH(YEAR(EOMONTH($E344,6)), 'Annual Inflation'!$AM$6:$BA$6, 0))/100)</f>
        <v>2.0747861451908323E-2</v>
      </c>
      <c r="K344" s="257">
        <f>IF($E344&lt;DATE(2018,7,1),"-",INDEX('Annual Inflation'!$AM$50:$BA$50, MATCH(YEAR(EOMONTH($E344,6)), 'Annual Inflation'!$AM$6:$BA$6, 0))/100)</f>
        <v>2.9368104260031114E-2</v>
      </c>
      <c r="L344" s="258">
        <f t="shared" si="29"/>
        <v>142.70619705538746</v>
      </c>
      <c r="M344" s="258">
        <f t="shared" si="30"/>
        <v>427.68167618770343</v>
      </c>
      <c r="N344" s="258">
        <f t="shared" si="31"/>
        <v>413.96134034483998</v>
      </c>
    </row>
    <row r="345" spans="5:14" ht="15">
      <c r="E345" s="248">
        <v>46600</v>
      </c>
      <c r="F345" s="323">
        <f t="shared" si="27"/>
        <v>46630</v>
      </c>
      <c r="G345" s="159">
        <f t="shared" si="28"/>
        <v>2028</v>
      </c>
      <c r="H345" s="500"/>
      <c r="I345" s="500"/>
      <c r="J345" s="257">
        <f>IF($E345&lt;DATE(2018,7,1),"-",INDEX('Annual Inflation'!$AM$53:$BA$53, MATCH(YEAR(EOMONTH($E345,6)), 'Annual Inflation'!$AM$6:$BA$6, 0))/100)</f>
        <v>2.0747861451908323E-2</v>
      </c>
      <c r="K345" s="257">
        <f>IF($E345&lt;DATE(2018,7,1),"-",INDEX('Annual Inflation'!$AM$50:$BA$50, MATCH(YEAR(EOMONTH($E345,6)), 'Annual Inflation'!$AM$6:$BA$6, 0))/100)</f>
        <v>2.9368104260031114E-2</v>
      </c>
      <c r="L345" s="258">
        <f t="shared" si="29"/>
        <v>142.95061872812587</v>
      </c>
      <c r="M345" s="258">
        <f t="shared" si="30"/>
        <v>428.71452958219209</v>
      </c>
      <c r="N345" s="258">
        <f t="shared" si="31"/>
        <v>414.67035736963572</v>
      </c>
    </row>
    <row r="346" spans="5:14" ht="15">
      <c r="E346" s="248">
        <v>46631</v>
      </c>
      <c r="F346" s="323">
        <f t="shared" si="27"/>
        <v>46660</v>
      </c>
      <c r="G346" s="159">
        <f t="shared" si="28"/>
        <v>2028</v>
      </c>
      <c r="H346" s="500"/>
      <c r="I346" s="500"/>
      <c r="J346" s="257">
        <f>IF($E346&lt;DATE(2018,7,1),"-",INDEX('Annual Inflation'!$AM$53:$BA$53, MATCH(YEAR(EOMONTH($E346,6)), 'Annual Inflation'!$AM$6:$BA$6, 0))/100)</f>
        <v>2.0747861451908323E-2</v>
      </c>
      <c r="K346" s="257">
        <f>IF($E346&lt;DATE(2018,7,1),"-",INDEX('Annual Inflation'!$AM$50:$BA$50, MATCH(YEAR(EOMONTH($E346,6)), 'Annual Inflation'!$AM$6:$BA$6, 0))/100)</f>
        <v>2.9368104260031114E-2</v>
      </c>
      <c r="L346" s="258">
        <f t="shared" si="29"/>
        <v>143.19545903688248</v>
      </c>
      <c r="M346" s="258">
        <f t="shared" si="30"/>
        <v>429.74987732281227</v>
      </c>
      <c r="N346" s="258">
        <f t="shared" si="31"/>
        <v>415.38058877145767</v>
      </c>
    </row>
    <row r="347" spans="5:14" ht="15">
      <c r="E347" s="248">
        <v>46661</v>
      </c>
      <c r="F347" s="323">
        <f t="shared" si="27"/>
        <v>46691</v>
      </c>
      <c r="G347" s="159">
        <f t="shared" si="28"/>
        <v>2028</v>
      </c>
      <c r="H347" s="500"/>
      <c r="I347" s="500"/>
      <c r="J347" s="257">
        <f>IF($E347&lt;DATE(2018,7,1),"-",INDEX('Annual Inflation'!$AM$53:$BA$53, MATCH(YEAR(EOMONTH($E347,6)), 'Annual Inflation'!$AM$6:$BA$6, 0))/100)</f>
        <v>2.0747861451908323E-2</v>
      </c>
      <c r="K347" s="257">
        <f>IF($E347&lt;DATE(2018,7,1),"-",INDEX('Annual Inflation'!$AM$50:$BA$50, MATCH(YEAR(EOMONTH($E347,6)), 'Annual Inflation'!$AM$6:$BA$6, 0))/100)</f>
        <v>2.9368104260031114E-2</v>
      </c>
      <c r="L347" s="258">
        <f t="shared" si="29"/>
        <v>143.44071869868088</v>
      </c>
      <c r="M347" s="258">
        <f t="shared" si="30"/>
        <v>430.78772543342234</v>
      </c>
      <c r="N347" s="258">
        <f t="shared" si="31"/>
        <v>416.09203663024397</v>
      </c>
    </row>
    <row r="348" spans="5:14" ht="15">
      <c r="E348" s="248">
        <v>46692</v>
      </c>
      <c r="F348" s="323">
        <f t="shared" si="27"/>
        <v>46721</v>
      </c>
      <c r="G348" s="159">
        <f t="shared" si="28"/>
        <v>2028</v>
      </c>
      <c r="H348" s="500"/>
      <c r="I348" s="500"/>
      <c r="J348" s="257">
        <f>IF($E348&lt;DATE(2018,7,1),"-",INDEX('Annual Inflation'!$AM$53:$BA$53, MATCH(YEAR(EOMONTH($E348,6)), 'Annual Inflation'!$AM$6:$BA$6, 0))/100)</f>
        <v>2.0747861451908323E-2</v>
      </c>
      <c r="K348" s="257">
        <f>IF($E348&lt;DATE(2018,7,1),"-",INDEX('Annual Inflation'!$AM$50:$BA$50, MATCH(YEAR(EOMONTH($E348,6)), 'Annual Inflation'!$AM$6:$BA$6, 0))/100)</f>
        <v>2.9368104260031114E-2</v>
      </c>
      <c r="L348" s="258">
        <f t="shared" si="29"/>
        <v>143.68639843177283</v>
      </c>
      <c r="M348" s="258">
        <f t="shared" si="30"/>
        <v>431.82807995242842</v>
      </c>
      <c r="N348" s="258">
        <f t="shared" si="31"/>
        <v>416.80470302949522</v>
      </c>
    </row>
    <row r="349" spans="5:14" ht="15">
      <c r="E349" s="248">
        <v>46722</v>
      </c>
      <c r="F349" s="323">
        <f t="shared" si="27"/>
        <v>46752</v>
      </c>
      <c r="G349" s="159">
        <f t="shared" si="28"/>
        <v>2028</v>
      </c>
      <c r="H349" s="500"/>
      <c r="I349" s="500"/>
      <c r="J349" s="257">
        <f>IF($E349&lt;DATE(2018,7,1),"-",INDEX('Annual Inflation'!$AM$53:$BA$53, MATCH(YEAR(EOMONTH($E349,6)), 'Annual Inflation'!$AM$6:$BA$6, 0))/100)</f>
        <v>2.0747861451908323E-2</v>
      </c>
      <c r="K349" s="257">
        <f>IF($E349&lt;DATE(2018,7,1),"-",INDEX('Annual Inflation'!$AM$50:$BA$50, MATCH(YEAR(EOMONTH($E349,6)), 'Annual Inflation'!$AM$6:$BA$6, 0))/100)</f>
        <v>2.9368104260031114E-2</v>
      </c>
      <c r="L349" s="258">
        <f t="shared" si="29"/>
        <v>143.93249895564023</v>
      </c>
      <c r="M349" s="258">
        <f t="shared" si="30"/>
        <v>432.87094693281932</v>
      </c>
      <c r="N349" s="258">
        <f t="shared" si="31"/>
        <v>417.51859005628052</v>
      </c>
    </row>
    <row r="350" spans="5:14" ht="15">
      <c r="E350" s="248">
        <v>46753</v>
      </c>
      <c r="F350" s="323">
        <f t="shared" si="27"/>
        <v>46783</v>
      </c>
      <c r="G350" s="159">
        <f t="shared" si="28"/>
        <v>2028</v>
      </c>
      <c r="H350" s="500"/>
      <c r="I350" s="500"/>
      <c r="J350" s="257">
        <f>IF($E350&lt;DATE(2018,7,1),"-",INDEX('Annual Inflation'!$AM$53:$BA$53, MATCH(YEAR(EOMONTH($E350,6)), 'Annual Inflation'!$AM$6:$BA$6, 0))/100)</f>
        <v>2.0747861451908323E-2</v>
      </c>
      <c r="K350" s="257">
        <f>IF($E350&lt;DATE(2018,7,1),"-",INDEX('Annual Inflation'!$AM$50:$BA$50, MATCH(YEAR(EOMONTH($E350,6)), 'Annual Inflation'!$AM$6:$BA$6, 0))/100)</f>
        <v>2.9368104260031114E-2</v>
      </c>
      <c r="L350" s="258">
        <f t="shared" si="29"/>
        <v>144.17902099099729</v>
      </c>
      <c r="M350" s="258">
        <f t="shared" si="30"/>
        <v>433.91633244220191</v>
      </c>
      <c r="N350" s="258">
        <f t="shared" si="31"/>
        <v>418.23369980124369</v>
      </c>
    </row>
    <row r="351" spans="5:14" ht="15">
      <c r="E351" s="248">
        <v>46784</v>
      </c>
      <c r="F351" s="323">
        <f t="shared" si="27"/>
        <v>46812</v>
      </c>
      <c r="G351" s="159">
        <f t="shared" si="28"/>
        <v>2028</v>
      </c>
      <c r="H351" s="500"/>
      <c r="I351" s="500"/>
      <c r="J351" s="257">
        <f>IF($E351&lt;DATE(2018,7,1),"-",INDEX('Annual Inflation'!$AM$53:$BA$53, MATCH(YEAR(EOMONTH($E351,6)), 'Annual Inflation'!$AM$6:$BA$6, 0))/100)</f>
        <v>2.0747861451908323E-2</v>
      </c>
      <c r="K351" s="257">
        <f>IF($E351&lt;DATE(2018,7,1),"-",INDEX('Annual Inflation'!$AM$50:$BA$50, MATCH(YEAR(EOMONTH($E351,6)), 'Annual Inflation'!$AM$6:$BA$6, 0))/100)</f>
        <v>2.9368104260031114E-2</v>
      </c>
      <c r="L351" s="258">
        <f t="shared" si="29"/>
        <v>144.42596525979263</v>
      </c>
      <c r="M351" s="258">
        <f t="shared" si="30"/>
        <v>434.96424256283638</v>
      </c>
      <c r="N351" s="258">
        <f t="shared" si="31"/>
        <v>418.95003435860929</v>
      </c>
    </row>
    <row r="352" spans="5:14" ht="15">
      <c r="E352" s="248">
        <v>46813</v>
      </c>
      <c r="F352" s="323">
        <f t="shared" si="27"/>
        <v>46843</v>
      </c>
      <c r="G352" s="159">
        <f t="shared" si="28"/>
        <v>2028</v>
      </c>
      <c r="H352" s="500"/>
      <c r="I352" s="500"/>
      <c r="J352" s="257">
        <f>IF($E352&lt;DATE(2018,7,1),"-",INDEX('Annual Inflation'!$AM$53:$BA$53, MATCH(YEAR(EOMONTH($E352,6)), 'Annual Inflation'!$AM$6:$BA$6, 0))/100)</f>
        <v>2.0747861451908323E-2</v>
      </c>
      <c r="K352" s="257">
        <f>IF($E352&lt;DATE(2018,7,1),"-",INDEX('Annual Inflation'!$AM$50:$BA$50, MATCH(YEAR(EOMONTH($E352,6)), 'Annual Inflation'!$AM$6:$BA$6, 0))/100)</f>
        <v>2.9368104260031114E-2</v>
      </c>
      <c r="L352" s="258">
        <f t="shared" si="29"/>
        <v>144.67333248521143</v>
      </c>
      <c r="M352" s="258">
        <f t="shared" si="30"/>
        <v>436.01468339167155</v>
      </c>
      <c r="N352" s="258">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5" zeroHeight="1" outlineLevelCol="1"/>
  <cols>
    <col min="1" max="4" width="1.5" style="82" customWidth="1"/>
    <col min="5" max="5" width="65" style="82" customWidth="1"/>
    <col min="6" max="6" width="3" style="82" customWidth="1"/>
    <col min="7" max="7" width="12" style="82" customWidth="1"/>
    <col min="8" max="8" width="2.375" style="82" customWidth="1"/>
    <col min="9" max="9" width="11" style="82" customWidth="1"/>
    <col min="10" max="10" width="1.5" style="82" customWidth="1"/>
    <col min="11" max="35" width="9.625" style="82" hidden="1" customWidth="1" outlineLevel="1"/>
    <col min="36" max="36" width="9.625" style="82" customWidth="1" collapsed="1"/>
    <col min="37" max="48" width="9.625" style="82" customWidth="1"/>
    <col min="49" max="49" width="3" style="82" customWidth="1"/>
    <col min="50" max="54" width="0" style="82" hidden="1" customWidth="1"/>
    <col min="55" max="16384" width="9" style="82" hidden="1"/>
  </cols>
  <sheetData>
    <row r="1" spans="1:51" ht="19.5">
      <c r="A1" s="195" t="s">
        <v>1301</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265"/>
      <c r="AP1" s="265"/>
      <c r="AQ1" s="267"/>
      <c r="AR1" s="171"/>
      <c r="AS1" s="171"/>
      <c r="AT1" s="181"/>
      <c r="AU1" s="181"/>
      <c r="AV1" s="181"/>
      <c r="AW1" s="181"/>
    </row>
    <row r="2" spans="1:51">
      <c r="A2" s="181"/>
      <c r="B2" s="157" t="str">
        <f>UserInterface!E30</f>
        <v>NPgN</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1302</v>
      </c>
      <c r="AY2" s="273"/>
    </row>
    <row r="3" spans="1:51">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1" t="str">
        <f>Checks!I6</f>
        <v>OK</v>
      </c>
      <c r="AN3" s="181"/>
      <c r="AO3" s="181"/>
      <c r="AP3" s="181"/>
      <c r="AQ3" s="17"/>
      <c r="AR3" s="181"/>
      <c r="AS3" s="181"/>
      <c r="AT3" s="181"/>
      <c r="AU3" s="181"/>
      <c r="AV3" s="181"/>
      <c r="AW3" s="181"/>
      <c r="AX3" s="281" t="s">
        <v>1303</v>
      </c>
      <c r="AY3" s="274"/>
    </row>
    <row r="4" spans="1:51">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1304</v>
      </c>
      <c r="I6" s="277" t="str">
        <f>IF(I7&gt;0,I7&amp;" ERRORS","OK")</f>
        <v>OK</v>
      </c>
      <c r="AQ6" s="270"/>
    </row>
    <row r="7" spans="1:51">
      <c r="E7" s="82" t="s">
        <v>1305</v>
      </c>
      <c r="I7" s="184">
        <f>COUNTIF($I$10:$I$18,FALSE)</f>
        <v>0</v>
      </c>
      <c r="AQ7" s="270"/>
    </row>
    <row r="8" spans="1:51">
      <c r="AQ8" s="270"/>
    </row>
    <row r="9" spans="1:51">
      <c r="AQ9" s="270"/>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127</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852</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1307</v>
      </c>
      <c r="I14" s="277" t="b">
        <f>ABS(SUM(AJ14:AV14) - 0) &lt; 0.001</f>
        <v>1</v>
      </c>
      <c r="AJ14" s="2"/>
      <c r="AK14" s="2"/>
      <c r="AL14" s="2"/>
      <c r="AM14" s="2"/>
      <c r="AN14" s="2"/>
      <c r="AO14" s="2"/>
      <c r="AP14" s="2"/>
      <c r="AQ14" s="549"/>
      <c r="AR14" s="2"/>
      <c r="AS14" s="2"/>
      <c r="AT14" s="2"/>
      <c r="AU14" s="2"/>
      <c r="AV14" s="2">
        <f>InputSummary!AP380</f>
        <v>0</v>
      </c>
    </row>
    <row r="15" spans="1:51">
      <c r="AJ15" s="2"/>
      <c r="AK15" s="2"/>
      <c r="AL15" s="2"/>
      <c r="AM15" s="2"/>
      <c r="AN15" s="2"/>
      <c r="AO15" s="2"/>
      <c r="AP15" s="2"/>
      <c r="AQ15" s="549"/>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962</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33" priority="25">
      <formula>$I$7=0</formula>
    </cfRule>
    <cfRule type="expression" dxfId="32" priority="26">
      <formula>$I$7&gt;0</formula>
    </cfRule>
  </conditionalFormatting>
  <conditionalFormatting sqref="I12:I14">
    <cfRule type="cellIs" dxfId="31" priority="21" operator="equal">
      <formula>TRUE</formula>
    </cfRule>
    <cfRule type="cellIs" dxfId="30" priority="22" operator="equal">
      <formula>FALSE</formula>
    </cfRule>
  </conditionalFormatting>
  <conditionalFormatting sqref="I18">
    <cfRule type="cellIs" dxfId="29" priority="13" operator="equal">
      <formula>TRUE</formula>
    </cfRule>
    <cfRule type="cellIs" dxfId="28" priority="14" operator="equal">
      <formula>FALSE</formula>
    </cfRule>
  </conditionalFormatting>
  <conditionalFormatting sqref="AM3">
    <cfRule type="expression" dxfId="27" priority="29">
      <formula>$I$7=0</formula>
    </cfRule>
    <cfRule type="expression" dxfId="26"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3457575</xdr:colOff>
                    <xdr:row>0</xdr:row>
                    <xdr:rowOff>47625</xdr:rowOff>
                  </from>
                  <to>
                    <xdr:col>4</xdr:col>
                    <xdr:colOff>4391025</xdr:colOff>
                    <xdr:row>0</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54" width="9" hidden="1" customWidth="1"/>
    <col min="55"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142875</xdr:colOff>
                    <xdr:row>0</xdr:row>
                    <xdr:rowOff>28575</xdr:rowOff>
                  </from>
                  <to>
                    <xdr:col>7</xdr:col>
                    <xdr:colOff>152400</xdr:colOff>
                    <xdr:row>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2"/>
  <sheetViews>
    <sheetView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31</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NPgN</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16.82</v>
      </c>
      <c r="AS15" s="528">
        <v>18.329999999999998</v>
      </c>
      <c r="AT15" s="528">
        <v>11.69</v>
      </c>
      <c r="AU15" s="528">
        <v>13.81</v>
      </c>
      <c r="AV15" s="528">
        <v>12.08</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32.630000000000003</v>
      </c>
      <c r="AS16" s="528">
        <v>34.89</v>
      </c>
      <c r="AT16" s="528">
        <v>36.58</v>
      </c>
      <c r="AU16" s="528">
        <v>39.92</v>
      </c>
      <c r="AV16" s="528">
        <v>40.36</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18.66</v>
      </c>
      <c r="AS17" s="528">
        <v>20.69</v>
      </c>
      <c r="AT17" s="528">
        <v>19.399999999999999</v>
      </c>
      <c r="AU17" s="528">
        <v>21.5</v>
      </c>
      <c r="AV17" s="528">
        <v>21.18</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23.68</v>
      </c>
      <c r="AS18" s="528">
        <v>23.9</v>
      </c>
      <c r="AT18" s="528">
        <v>23.91</v>
      </c>
      <c r="AU18" s="528">
        <v>24.67</v>
      </c>
      <c r="AV18" s="528">
        <v>24.25</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3.87</v>
      </c>
      <c r="AS19" s="528">
        <v>3.59</v>
      </c>
      <c r="AT19" s="528">
        <v>3.58</v>
      </c>
      <c r="AU19" s="528">
        <v>3.87</v>
      </c>
      <c r="AV19" s="528">
        <v>3.59</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6.38</v>
      </c>
      <c r="AS20" s="528">
        <v>6.43</v>
      </c>
      <c r="AT20" s="528">
        <v>6.32</v>
      </c>
      <c r="AU20" s="528">
        <v>6.46</v>
      </c>
      <c r="AV20" s="528">
        <v>6.34</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74.099999999999994</v>
      </c>
      <c r="AS21" s="528">
        <v>74.42</v>
      </c>
      <c r="AT21" s="528">
        <v>72.94</v>
      </c>
      <c r="AU21" s="528">
        <v>74.12</v>
      </c>
      <c r="AV21" s="528">
        <v>72.540000000000006</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
        <v>1309</v>
      </c>
      <c r="F24" s="82"/>
      <c r="G24" s="82" t="s">
        <v>105</v>
      </c>
      <c r="H24" s="82" t="s">
        <v>1310</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-9.8407442315106533</v>
      </c>
      <c r="AS24" s="207" cm="1">
        <f t="array" ref="AS24">(SUM(AS15:AS21)+SUMPRODUCT((AS$26:AS$71)*($AL$76:$AL$121="RPEs Apply")*($AM$76:$AM$121=1))) * (AS$223-1)</f>
        <v>-7.9082499344215504</v>
      </c>
      <c r="AT24" s="207" cm="1">
        <f t="array" ref="AT24">(SUM(AT15:AT21)+SUMPRODUCT((AT$26:AT$71)*($AL$76:$AL$121="RPEs Apply")*($AM$76:$AM$121=1))) * (AT$223-1)</f>
        <v>-5.423205935516016</v>
      </c>
      <c r="AU24" s="207" cm="1">
        <f t="array" ref="AU24">(SUM(AU15:AU21)+SUMPRODUCT((AU$26:AU$71)*($AL$76:$AL$121="RPEs Apply")*($AM$76:$AM$121=1))) * (AU$223-1)</f>
        <v>-4.0203529767977537</v>
      </c>
      <c r="AV24" s="207" cm="1">
        <f t="array" ref="AV24">(SUM(AV15:AV21)+SUMPRODUCT((AV$26:AV$71)*($AL$76:$AL$121="RPEs Apply")*($AM$76:$AM$121=1))) * (AV$223-1)</f>
        <v>-2.2888945836210275</v>
      </c>
      <c r="AW24" s="184"/>
      <c r="AX24" s="258"/>
    </row>
    <row r="25" spans="1:50" ht="15">
      <c r="A25" s="82"/>
      <c r="B25" s="82"/>
      <c r="C25" s="82"/>
      <c r="D25" s="82"/>
      <c r="E25" s="82" t="s">
        <v>1311</v>
      </c>
      <c r="F25" s="82"/>
      <c r="G25" s="82" t="s">
        <v>105</v>
      </c>
      <c r="H25" s="82" t="s">
        <v>1310</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-0.29393937238201606</v>
      </c>
      <c r="AS25" s="207" cm="1">
        <f t="array" ref="AS25">SUMPRODUCT((AS$26:AS$71)*($AL$76:$AL$121="RPEs Apply")*($AM$76:$AM$121=2)) * (AS$223-1)</f>
        <v>-0.35712358977667091</v>
      </c>
      <c r="AT25" s="207" cm="1">
        <f t="array" ref="AT25">SUMPRODUCT((AT$26:AT$71)*($AL$76:$AL$121="RPEs Apply")*($AM$76:$AM$121=2)) * (AT$223-1)</f>
        <v>-0.51570916591322491</v>
      </c>
      <c r="AU25" s="207" cm="1">
        <f t="array" ref="AU25">SUMPRODUCT((AU$26:AU$71)*($AL$76:$AL$121="RPEs Apply")*($AM$76:$AM$121=2)) * (AU$223-1)</f>
        <v>-0.28792265074664686</v>
      </c>
      <c r="AV25" s="207" cm="1">
        <f t="array" ref="AV25">SUMPRODUCT((AV$26:AV$71)*($AL$76:$AL$121="RPEs Apply")*($AM$76:$AM$121=2)) * (AV$223-1)</f>
        <v>-0.18788928174333749</v>
      </c>
      <c r="AW25" s="184"/>
      <c r="AX25" s="258"/>
    </row>
    <row r="26" spans="1:50" ht="15">
      <c r="A26" s="82"/>
      <c r="B26" s="82"/>
      <c r="C26" s="82"/>
      <c r="D26" s="82"/>
      <c r="E26" s="82" t="s">
        <v>1312</v>
      </c>
      <c r="F26" s="82"/>
      <c r="G26" s="82" t="s">
        <v>105</v>
      </c>
      <c r="H26" s="82" t="s">
        <v>1313</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0</v>
      </c>
      <c r="AS26" s="476">
        <v>0</v>
      </c>
      <c r="AT26" s="476">
        <v>0</v>
      </c>
      <c r="AU26" s="476">
        <v>0</v>
      </c>
      <c r="AV26" s="476">
        <v>0</v>
      </c>
      <c r="AW26" s="184"/>
      <c r="AX26" s="258"/>
    </row>
    <row r="27" spans="1:50" ht="15">
      <c r="A27" s="82"/>
      <c r="B27" s="82"/>
      <c r="C27" s="82"/>
      <c r="D27" s="82"/>
      <c r="E27" s="82" t="s">
        <v>1314</v>
      </c>
      <c r="F27" s="82"/>
      <c r="G27" s="82" t="s">
        <v>105</v>
      </c>
      <c r="H27" s="82" t="s">
        <v>1315</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v>
      </c>
      <c r="AU27" s="476">
        <v>0</v>
      </c>
      <c r="AV27" s="476">
        <v>0</v>
      </c>
      <c r="AW27" s="184"/>
      <c r="AX27" s="258"/>
    </row>
    <row r="28" spans="1:50" ht="15">
      <c r="A28" s="82"/>
      <c r="B28" s="82"/>
      <c r="C28" s="82"/>
      <c r="D28" s="82"/>
      <c r="E28" s="82" t="s">
        <v>1316</v>
      </c>
      <c r="F28" s="82"/>
      <c r="G28" s="82" t="s">
        <v>105</v>
      </c>
      <c r="H28" s="82" t="s">
        <v>1317</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5">
      <c r="A29" s="82"/>
      <c r="B29" s="82"/>
      <c r="C29" s="82"/>
      <c r="D29" s="82"/>
      <c r="E29" s="82" t="s">
        <v>1318</v>
      </c>
      <c r="F29" s="82"/>
      <c r="G29" s="82" t="s">
        <v>105</v>
      </c>
      <c r="H29" s="82" t="s">
        <v>1319</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5">
      <c r="A30" s="82"/>
      <c r="B30" s="82"/>
      <c r="C30" s="82"/>
      <c r="D30" s="82"/>
      <c r="E30" s="82" t="s">
        <v>1320</v>
      </c>
      <c r="F30" s="82"/>
      <c r="G30" s="82" t="s">
        <v>105</v>
      </c>
      <c r="H30" s="82" t="s">
        <v>1321</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5">
      <c r="A31" s="82"/>
      <c r="B31" s="82"/>
      <c r="C31" s="82"/>
      <c r="D31" s="82"/>
      <c r="E31" s="82" t="s">
        <v>1322</v>
      </c>
      <c r="F31" s="82"/>
      <c r="G31" s="82" t="s">
        <v>105</v>
      </c>
      <c r="H31" s="82" t="s">
        <v>1323</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0</v>
      </c>
      <c r="AU31" s="476">
        <v>0</v>
      </c>
      <c r="AV31" s="476">
        <v>0</v>
      </c>
      <c r="AW31" s="184"/>
      <c r="AX31" s="258"/>
    </row>
    <row r="32" spans="1:50" ht="15">
      <c r="A32" s="82"/>
      <c r="B32" s="82"/>
      <c r="C32" s="82"/>
      <c r="D32" s="82"/>
      <c r="E32" s="82" t="s">
        <v>1324</v>
      </c>
      <c r="F32" s="82"/>
      <c r="G32" s="82" t="s">
        <v>105</v>
      </c>
      <c r="H32" s="82" t="s">
        <v>1325</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5">
      <c r="A33" s="82"/>
      <c r="B33" s="82"/>
      <c r="C33" s="82"/>
      <c r="D33" s="82"/>
      <c r="E33" s="82" t="s">
        <v>1326</v>
      </c>
      <c r="F33" s="82"/>
      <c r="G33" s="82" t="s">
        <v>105</v>
      </c>
      <c r="H33" s="82" t="s">
        <v>1327</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27.89</v>
      </c>
      <c r="AS33" s="476">
        <v>28.57</v>
      </c>
      <c r="AT33" s="476">
        <v>27.4</v>
      </c>
      <c r="AU33" s="476">
        <v>28.81</v>
      </c>
      <c r="AV33" s="476">
        <v>30.92</v>
      </c>
      <c r="AW33" s="184"/>
      <c r="AX33" s="258"/>
    </row>
    <row r="34" spans="1:50" ht="15">
      <c r="A34" s="82"/>
      <c r="B34" s="82"/>
      <c r="C34" s="82"/>
      <c r="D34" s="82"/>
      <c r="E34" s="82" t="s">
        <v>1328</v>
      </c>
      <c r="F34" s="82"/>
      <c r="G34" s="82" t="s">
        <v>105</v>
      </c>
      <c r="H34" s="82" t="s">
        <v>1329</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1.2121595297734984</v>
      </c>
      <c r="AS34" s="476">
        <v>2.7911507905607693</v>
      </c>
      <c r="AT34" s="476">
        <v>7.0462792863212274</v>
      </c>
      <c r="AU34" s="476">
        <v>11.217891812057836</v>
      </c>
      <c r="AV34" s="476">
        <v>13.182518581286661</v>
      </c>
      <c r="AW34" s="184"/>
      <c r="AX34" s="258"/>
    </row>
    <row r="35" spans="1:50" ht="15">
      <c r="A35" s="82"/>
      <c r="B35" s="82"/>
      <c r="C35" s="82"/>
      <c r="D35" s="82"/>
      <c r="E35" s="82" t="s">
        <v>1330</v>
      </c>
      <c r="F35" s="82"/>
      <c r="G35" s="82" t="s">
        <v>105</v>
      </c>
      <c r="H35" s="82" t="s">
        <v>1331</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3.9415714762141003</v>
      </c>
      <c r="AS35" s="476">
        <v>2.3284926302841589</v>
      </c>
      <c r="AT35" s="476">
        <v>4.0081559556872808</v>
      </c>
      <c r="AU35" s="476">
        <v>4.097142802125477</v>
      </c>
      <c r="AV35" s="476">
        <v>4.2146371356889807</v>
      </c>
      <c r="AW35" s="184"/>
      <c r="AX35" s="258"/>
    </row>
    <row r="36" spans="1:50" ht="15">
      <c r="A36" s="82"/>
      <c r="B36" s="82"/>
      <c r="C36" s="82"/>
      <c r="D36" s="82"/>
      <c r="E36" s="82" t="s">
        <v>1332</v>
      </c>
      <c r="F36" s="82"/>
      <c r="G36" s="82" t="s">
        <v>105</v>
      </c>
      <c r="H36" s="82" t="s">
        <v>1333</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0</v>
      </c>
      <c r="AU36" s="476">
        <v>0</v>
      </c>
      <c r="AV36" s="476">
        <v>0</v>
      </c>
      <c r="AW36" s="184"/>
    </row>
    <row r="37" spans="1:50" ht="15">
      <c r="A37" s="82"/>
      <c r="B37" s="82"/>
      <c r="C37" s="82"/>
      <c r="D37" s="82"/>
      <c r="E37" s="82" t="s">
        <v>1334</v>
      </c>
      <c r="F37" s="82"/>
      <c r="G37" s="82" t="s">
        <v>105</v>
      </c>
      <c r="H37" s="82" t="s">
        <v>1335</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v>
      </c>
      <c r="AS37" s="476">
        <v>0</v>
      </c>
      <c r="AT37" s="476">
        <v>0</v>
      </c>
      <c r="AU37" s="476">
        <v>0</v>
      </c>
      <c r="AV37" s="476">
        <v>0</v>
      </c>
      <c r="AW37" s="184"/>
    </row>
    <row r="38" spans="1:50" ht="15">
      <c r="A38" s="82"/>
      <c r="B38" s="82"/>
      <c r="C38" s="82"/>
      <c r="D38" s="82"/>
      <c r="E38" s="82" t="s">
        <v>1336</v>
      </c>
      <c r="F38" s="82"/>
      <c r="G38" s="82" t="s">
        <v>105</v>
      </c>
      <c r="H38" s="82" t="s">
        <v>1337</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1.0870200000000001</v>
      </c>
      <c r="AS38" s="476">
        <v>4.7184720000000002</v>
      </c>
      <c r="AT38" s="476">
        <v>8.406288</v>
      </c>
      <c r="AU38" s="476">
        <v>0</v>
      </c>
      <c r="AV38" s="476">
        <v>0</v>
      </c>
      <c r="AW38" s="184"/>
    </row>
    <row r="39" spans="1:50" ht="15">
      <c r="A39" s="82"/>
      <c r="B39" s="82"/>
      <c r="C39" s="82"/>
      <c r="D39" s="82"/>
      <c r="E39" s="82" t="s">
        <v>1338</v>
      </c>
      <c r="F39" s="82"/>
      <c r="G39" s="82" t="s">
        <v>105</v>
      </c>
      <c r="H39" s="82" t="s">
        <v>1339</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0.12277012864963041</v>
      </c>
      <c r="AS39" s="476">
        <v>0.80272635385754232</v>
      </c>
      <c r="AT39" s="476">
        <v>1.5015011724976099</v>
      </c>
      <c r="AU39" s="476">
        <v>1.5015011724976091</v>
      </c>
      <c r="AV39" s="476">
        <v>1.5015011724976084</v>
      </c>
      <c r="AW39" s="184"/>
    </row>
    <row r="40" spans="1:50" ht="15">
      <c r="A40" s="82"/>
      <c r="B40" s="82"/>
      <c r="C40" s="82"/>
      <c r="D40" s="82"/>
      <c r="E40" s="82" t="s">
        <v>1340</v>
      </c>
      <c r="F40" s="82"/>
      <c r="G40" s="82" t="s">
        <v>105</v>
      </c>
      <c r="H40" s="82" t="s">
        <v>1341</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3.0251288143409791</v>
      </c>
      <c r="AS40" s="476">
        <v>5.2147940662465242</v>
      </c>
      <c r="AT40" s="476">
        <v>2.4856981026147724</v>
      </c>
      <c r="AU40" s="476">
        <v>0.4544371077188587</v>
      </c>
      <c r="AV40" s="476">
        <v>0.4544371077188587</v>
      </c>
      <c r="AW40" s="184"/>
    </row>
    <row r="41" spans="1:50" ht="15">
      <c r="A41" s="82"/>
      <c r="B41" s="82"/>
      <c r="C41" s="82"/>
      <c r="D41" s="82"/>
      <c r="E41" s="82" t="s">
        <v>1342</v>
      </c>
      <c r="F41" s="82"/>
      <c r="G41" s="82" t="s">
        <v>105</v>
      </c>
      <c r="H41" s="82" t="s">
        <v>1343</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1.3567828843754117</v>
      </c>
      <c r="AS41" s="476">
        <v>5.8228996376647384</v>
      </c>
      <c r="AT41" s="476">
        <v>3.6844292058871524</v>
      </c>
      <c r="AU41" s="476">
        <v>1.2534731346989161</v>
      </c>
      <c r="AV41" s="476">
        <v>1.0120070437258475</v>
      </c>
      <c r="AW41" s="184"/>
    </row>
    <row r="42" spans="1:50" ht="15">
      <c r="A42" s="82"/>
      <c r="B42" s="82"/>
      <c r="C42" s="82"/>
      <c r="D42" s="82"/>
      <c r="E42" s="82" t="s">
        <v>1344</v>
      </c>
      <c r="F42" s="82"/>
      <c r="G42" s="82" t="s">
        <v>105</v>
      </c>
      <c r="H42" s="82" t="s">
        <v>1345</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0.90483933642877112</v>
      </c>
      <c r="AS42" s="476">
        <v>0.7079540459447361</v>
      </c>
      <c r="AT42" s="476">
        <v>1.1078784008342608</v>
      </c>
      <c r="AU42" s="476">
        <v>0.46619896351755913</v>
      </c>
      <c r="AV42" s="476">
        <v>0.45329524220591244</v>
      </c>
      <c r="AW42" s="184"/>
    </row>
    <row r="43" spans="1:50" ht="15">
      <c r="A43" s="82"/>
      <c r="B43" s="82"/>
      <c r="C43" s="82"/>
      <c r="D43" s="82"/>
      <c r="E43" s="82" t="s">
        <v>1346</v>
      </c>
      <c r="F43" s="82"/>
      <c r="G43" s="82" t="s">
        <v>105</v>
      </c>
      <c r="H43" s="82" t="s">
        <v>1347</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c r="AS43" s="476"/>
      <c r="AT43" s="476"/>
      <c r="AU43" s="476"/>
      <c r="AV43" s="476"/>
      <c r="AW43" s="184"/>
    </row>
    <row r="44" spans="1:50" ht="15">
      <c r="A44" s="82"/>
      <c r="B44" s="82"/>
      <c r="C44" s="82"/>
      <c r="D44" s="82"/>
      <c r="E44" s="82" t="s">
        <v>113</v>
      </c>
      <c r="F44" s="82"/>
      <c r="G44" s="82" t="s">
        <v>105</v>
      </c>
      <c r="H44" s="82" t="s">
        <v>1348</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c r="AS44" s="476"/>
      <c r="AT44" s="476"/>
      <c r="AU44" s="476"/>
      <c r="AV44" s="476"/>
      <c r="AW44" s="184"/>
    </row>
    <row r="45" spans="1:50" ht="15">
      <c r="A45" s="82"/>
      <c r="B45" s="82"/>
      <c r="C45" s="82"/>
      <c r="D45" s="82"/>
      <c r="E45" s="82" t="s">
        <v>1349</v>
      </c>
      <c r="F45" s="82"/>
      <c r="G45" s="82" t="s">
        <v>105</v>
      </c>
      <c r="H45" s="82" t="s">
        <v>1350</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c r="AS45" s="476"/>
      <c r="AT45" s="476"/>
      <c r="AU45" s="476"/>
      <c r="AV45" s="476"/>
      <c r="AW45" s="184"/>
    </row>
    <row r="46" spans="1:50" ht="15">
      <c r="A46" s="82"/>
      <c r="B46" s="82"/>
      <c r="C46" s="82"/>
      <c r="D46" s="82"/>
      <c r="E46" s="82" t="s">
        <v>1351</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c r="AS46" s="476"/>
      <c r="AT46" s="476"/>
      <c r="AU46" s="476"/>
      <c r="AV46" s="476"/>
      <c r="AW46" s="184"/>
    </row>
    <row r="47" spans="1:50" ht="15">
      <c r="A47" s="82"/>
      <c r="B47" s="82"/>
      <c r="C47" s="82"/>
      <c r="D47" s="82"/>
      <c r="E47" s="82" t="s">
        <v>1352</v>
      </c>
      <c r="F47" s="82"/>
      <c r="G47" s="82" t="s">
        <v>105</v>
      </c>
      <c r="H47" s="82" t="s">
        <v>1353</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c r="AS47" s="476"/>
      <c r="AT47" s="476"/>
      <c r="AU47" s="476"/>
      <c r="AV47" s="476"/>
      <c r="AW47" s="184"/>
    </row>
    <row r="48" spans="1:50" ht="15">
      <c r="A48" s="82"/>
      <c r="B48" s="82"/>
      <c r="C48" s="82"/>
      <c r="D48" s="82"/>
      <c r="E48" s="82" t="s">
        <v>1354</v>
      </c>
      <c r="F48" s="82"/>
      <c r="G48" s="82" t="s">
        <v>105</v>
      </c>
      <c r="H48" s="82" t="s">
        <v>1355</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c r="AS48" s="476"/>
      <c r="AT48" s="476"/>
      <c r="AU48" s="476"/>
      <c r="AV48" s="476"/>
      <c r="AW48" s="184"/>
    </row>
    <row r="49" spans="1:49" ht="15">
      <c r="A49" s="82"/>
      <c r="B49" s="82"/>
      <c r="C49" s="82"/>
      <c r="D49" s="82"/>
      <c r="E49" s="82" t="s">
        <v>1356</v>
      </c>
      <c r="F49" s="82"/>
      <c r="G49" s="82" t="s">
        <v>105</v>
      </c>
      <c r="H49" s="82" t="s">
        <v>1357</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c r="AS49" s="476"/>
      <c r="AT49" s="476"/>
      <c r="AU49" s="476"/>
      <c r="AV49" s="476"/>
      <c r="AW49" s="184"/>
    </row>
    <row r="50" spans="1:49" ht="15">
      <c r="A50" s="82"/>
      <c r="B50" s="82"/>
      <c r="C50" s="82"/>
      <c r="D50" s="82"/>
      <c r="E50" s="82" t="s">
        <v>1358</v>
      </c>
      <c r="F50" s="82"/>
      <c r="G50" s="82" t="s">
        <v>105</v>
      </c>
      <c r="H50" s="82" t="s">
        <v>1359</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2.9058668770545453E-2</v>
      </c>
      <c r="AS50" s="476">
        <v>6.495915034856907E-2</v>
      </c>
      <c r="AT50" s="476">
        <v>0.25866072696029513</v>
      </c>
      <c r="AU50" s="476">
        <v>0.25866072696029513</v>
      </c>
      <c r="AV50" s="476">
        <v>0.25866072696029507</v>
      </c>
      <c r="AW50" s="184"/>
    </row>
    <row r="51" spans="1:49" ht="15">
      <c r="A51" s="82"/>
      <c r="B51" s="82"/>
      <c r="C51" s="82"/>
      <c r="D51" s="82"/>
      <c r="E51" s="82" t="s">
        <v>1360</v>
      </c>
      <c r="F51" s="82"/>
      <c r="G51" s="82" t="s">
        <v>105</v>
      </c>
      <c r="H51" s="82" t="s">
        <v>1361</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5">
      <c r="A52" s="82"/>
      <c r="B52" s="82"/>
      <c r="C52" s="82"/>
      <c r="D52" s="82"/>
      <c r="E52" s="82" t="s">
        <v>1362</v>
      </c>
      <c r="F52" s="82"/>
      <c r="G52" s="82" t="s">
        <v>105</v>
      </c>
      <c r="H52" s="82" t="s">
        <v>1363</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1.8778697315326225</v>
      </c>
      <c r="AS52" s="476">
        <v>1.8233308489477031</v>
      </c>
      <c r="AT52" s="476">
        <v>0.34358248289552884</v>
      </c>
      <c r="AU52" s="476">
        <v>0.23412548790587023</v>
      </c>
      <c r="AV52" s="476">
        <v>0.2202465608941582</v>
      </c>
      <c r="AW52" s="184"/>
    </row>
    <row r="53" spans="1:49" ht="15">
      <c r="A53" s="82"/>
      <c r="B53" s="82"/>
      <c r="C53" s="82"/>
      <c r="D53" s="82"/>
      <c r="E53" s="82" t="s">
        <v>1364</v>
      </c>
      <c r="F53" s="82"/>
      <c r="G53" s="82" t="s">
        <v>105</v>
      </c>
      <c r="H53" s="82" t="s">
        <v>1365</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2.0422929042753846</v>
      </c>
      <c r="AS53" s="476">
        <v>1.8554094570414685</v>
      </c>
      <c r="AT53" s="476">
        <v>0.1259120033531298</v>
      </c>
      <c r="AU53" s="476">
        <v>2.5934640811908771E-2</v>
      </c>
      <c r="AV53" s="476">
        <v>9.2349636922068434E-2</v>
      </c>
      <c r="AW53" s="184"/>
    </row>
    <row r="54" spans="1:49" ht="15">
      <c r="A54" s="82"/>
      <c r="B54" s="82"/>
      <c r="C54" s="82"/>
      <c r="D54" s="82"/>
      <c r="E54" s="82" t="s">
        <v>1366</v>
      </c>
      <c r="F54" s="82"/>
      <c r="G54" s="82" t="s">
        <v>105</v>
      </c>
      <c r="H54" s="82" t="s">
        <v>1367</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0.5566029486466606</v>
      </c>
      <c r="AS54" s="476">
        <v>0.5529214894512523</v>
      </c>
      <c r="AT54" s="476">
        <v>1.1938790061369189</v>
      </c>
      <c r="AU54" s="476">
        <v>1.6540237383317977</v>
      </c>
      <c r="AV54" s="476">
        <v>1.8788928174333694</v>
      </c>
      <c r="AW54" s="184"/>
    </row>
    <row r="55" spans="1:49" ht="15">
      <c r="A55" s="82"/>
      <c r="B55" s="82"/>
      <c r="C55" s="82"/>
      <c r="D55" s="82"/>
      <c r="E55" s="182" t="s">
        <v>1368</v>
      </c>
      <c r="F55" s="82"/>
      <c r="G55" s="82" t="s">
        <v>105</v>
      </c>
      <c r="H55" s="82" t="s">
        <v>1369</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c r="AS55" s="476"/>
      <c r="AT55" s="476"/>
      <c r="AU55" s="476"/>
      <c r="AV55" s="476"/>
      <c r="AW55" s="184"/>
    </row>
    <row r="56" spans="1:49" ht="15">
      <c r="A56" s="82"/>
      <c r="B56" s="82"/>
      <c r="C56" s="82"/>
      <c r="D56" s="82"/>
      <c r="E56" s="182" t="s">
        <v>1370</v>
      </c>
      <c r="F56" s="82"/>
      <c r="G56" s="82" t="s">
        <v>105</v>
      </c>
      <c r="H56" s="82" t="s">
        <v>1371</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c r="AS56" s="476"/>
      <c r="AT56" s="476"/>
      <c r="AU56" s="476"/>
      <c r="AV56" s="476"/>
      <c r="AW56" s="184"/>
    </row>
    <row r="57" spans="1:49" ht="15">
      <c r="A57" s="82"/>
      <c r="B57" s="82"/>
      <c r="C57" s="82"/>
      <c r="D57" s="82"/>
      <c r="E57" s="182" t="s">
        <v>1372</v>
      </c>
      <c r="F57" s="82"/>
      <c r="G57" s="82" t="s">
        <v>105</v>
      </c>
      <c r="H57" s="82" t="s">
        <v>1373</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c r="AS57" s="476"/>
      <c r="AT57" s="476"/>
      <c r="AU57" s="476"/>
      <c r="AV57" s="476"/>
      <c r="AW57" s="184"/>
    </row>
    <row r="58" spans="1:49" ht="15">
      <c r="A58" s="82"/>
      <c r="B58" s="82"/>
      <c r="C58" s="82"/>
      <c r="D58" s="82"/>
      <c r="E58" s="182" t="s">
        <v>1374</v>
      </c>
      <c r="F58" s="82"/>
      <c r="G58" s="82" t="s">
        <v>105</v>
      </c>
      <c r="H58" s="82" t="s">
        <v>1375</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7.3691932467225369E-3</v>
      </c>
      <c r="AS58" s="476">
        <v>0.11527752235129568</v>
      </c>
      <c r="AT58" s="476">
        <v>1.2534244697641355</v>
      </c>
      <c r="AU58" s="476">
        <v>12.246446609108023</v>
      </c>
      <c r="AV58" s="476">
        <v>12.243548653127828</v>
      </c>
      <c r="AW58" s="184"/>
    </row>
    <row r="59" spans="1:49" ht="15">
      <c r="A59" s="82"/>
      <c r="B59" s="82"/>
      <c r="C59" s="82"/>
      <c r="D59" s="82"/>
      <c r="E59" s="182" t="s">
        <v>1376</v>
      </c>
      <c r="F59" s="82"/>
      <c r="G59" s="82" t="s">
        <v>105</v>
      </c>
      <c r="H59" s="82" t="s">
        <v>1377</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0</v>
      </c>
      <c r="AS59" s="476">
        <v>0</v>
      </c>
      <c r="AT59" s="476">
        <v>0</v>
      </c>
      <c r="AU59" s="476">
        <v>0</v>
      </c>
      <c r="AV59" s="476">
        <v>0</v>
      </c>
      <c r="AW59" s="184"/>
    </row>
    <row r="60" spans="1:49" ht="15">
      <c r="A60" s="82"/>
      <c r="B60" s="82"/>
      <c r="C60" s="82"/>
      <c r="D60" s="82"/>
      <c r="E60" s="182" t="s">
        <v>1378</v>
      </c>
      <c r="F60" s="82"/>
      <c r="G60" s="82" t="s">
        <v>105</v>
      </c>
      <c r="H60" s="82" t="s">
        <v>1379</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5">
      <c r="A61" s="82"/>
      <c r="B61" s="82"/>
      <c r="C61" s="82"/>
      <c r="D61" s="82"/>
      <c r="E61" s="182" t="s">
        <v>1380</v>
      </c>
      <c r="F61" s="82"/>
      <c r="G61" s="82" t="s">
        <v>105</v>
      </c>
      <c r="H61" s="82" t="s">
        <v>1381</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6.1885114975789772</v>
      </c>
      <c r="AS61" s="476">
        <v>6.5252669062832664</v>
      </c>
      <c r="AT61" s="476">
        <v>4.2227437710912117</v>
      </c>
      <c r="AU61" s="476">
        <v>1.2910132079303269</v>
      </c>
      <c r="AV61" s="476">
        <v>0</v>
      </c>
      <c r="AW61" s="184"/>
    </row>
    <row r="62" spans="1:49" ht="15">
      <c r="A62" s="82"/>
      <c r="B62" s="82"/>
      <c r="C62" s="82"/>
      <c r="D62" s="82"/>
      <c r="E62" s="182" t="s">
        <v>1382</v>
      </c>
      <c r="F62" s="82"/>
      <c r="G62" s="82" t="s">
        <v>105</v>
      </c>
      <c r="H62" s="82" t="s">
        <v>1383</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5">
      <c r="A63" s="82"/>
      <c r="B63" s="82"/>
      <c r="C63" s="82"/>
      <c r="D63" s="82"/>
      <c r="E63" s="182" t="s">
        <v>1384</v>
      </c>
      <c r="F63" s="82"/>
      <c r="G63" s="82" t="s">
        <v>105</v>
      </c>
      <c r="H63" s="82" t="s">
        <v>1385</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v>0</v>
      </c>
      <c r="AS63" s="476">
        <v>0</v>
      </c>
      <c r="AT63" s="476">
        <v>0</v>
      </c>
      <c r="AU63" s="476">
        <v>0</v>
      </c>
      <c r="AV63" s="476">
        <v>0</v>
      </c>
      <c r="AW63" s="184"/>
    </row>
    <row r="64" spans="1:49" ht="15">
      <c r="A64" s="82"/>
      <c r="B64" s="82"/>
      <c r="C64" s="82"/>
      <c r="D64" s="82"/>
      <c r="E64" s="182">
        <v>0</v>
      </c>
      <c r="F64" s="82"/>
      <c r="G64" s="82" t="s">
        <v>105</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c r="AS64" s="476"/>
      <c r="AT64" s="476"/>
      <c r="AU64" s="476"/>
      <c r="AV64" s="476"/>
      <c r="AW64" s="184"/>
    </row>
    <row r="65" spans="1:49" ht="15">
      <c r="A65" s="82"/>
      <c r="B65" s="82"/>
      <c r="C65" s="82"/>
      <c r="D65" s="82"/>
      <c r="E65" s="182">
        <v>0</v>
      </c>
      <c r="F65" s="82"/>
      <c r="G65" s="82" t="s">
        <v>105</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c r="AS65" s="476"/>
      <c r="AT65" s="476"/>
      <c r="AU65" s="476"/>
      <c r="AV65" s="476"/>
      <c r="AW65" s="184"/>
    </row>
    <row r="66" spans="1:49" ht="15">
      <c r="A66" s="82"/>
      <c r="B66" s="82"/>
      <c r="C66" s="82"/>
      <c r="D66" s="82"/>
      <c r="E66" s="182">
        <v>0</v>
      </c>
      <c r="F66" s="82"/>
      <c r="G66" s="82" t="s">
        <v>105</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c r="AS66" s="476"/>
      <c r="AT66" s="476"/>
      <c r="AU66" s="476"/>
      <c r="AV66" s="476"/>
      <c r="AW66" s="184"/>
    </row>
    <row r="67" spans="1:49" ht="15">
      <c r="A67" s="82"/>
      <c r="B67" s="82"/>
      <c r="C67" s="82"/>
      <c r="D67" s="82"/>
      <c r="E67" s="182">
        <v>0</v>
      </c>
      <c r="F67" s="82"/>
      <c r="G67" s="82" t="s">
        <v>105</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c r="AS67" s="476"/>
      <c r="AT67" s="476"/>
      <c r="AU67" s="476"/>
      <c r="AV67" s="476"/>
      <c r="AW67" s="184"/>
    </row>
    <row r="68" spans="1:49" ht="15">
      <c r="A68" s="82"/>
      <c r="B68" s="82"/>
      <c r="C68" s="82"/>
      <c r="D68" s="82"/>
      <c r="E68" s="182">
        <v>0</v>
      </c>
      <c r="F68" s="82"/>
      <c r="G68" s="82" t="s">
        <v>105</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c r="AS68" s="476"/>
      <c r="AT68" s="476"/>
      <c r="AU68" s="476"/>
      <c r="AV68" s="476"/>
      <c r="AW68" s="184"/>
    </row>
    <row r="69" spans="1:49" ht="15">
      <c r="A69" s="82"/>
      <c r="B69" s="82"/>
      <c r="C69" s="82"/>
      <c r="D69" s="82"/>
      <c r="E69" s="182">
        <v>0</v>
      </c>
      <c r="F69" s="82"/>
      <c r="G69" s="82" t="s">
        <v>105</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c r="AS69" s="476"/>
      <c r="AT69" s="476"/>
      <c r="AU69" s="476"/>
      <c r="AV69" s="476"/>
      <c r="AW69" s="184"/>
    </row>
    <row r="70" spans="1:49" ht="15">
      <c r="A70" s="82"/>
      <c r="B70" s="82"/>
      <c r="C70" s="82"/>
      <c r="D70" s="82"/>
      <c r="E70" s="182">
        <v>0</v>
      </c>
      <c r="F70" s="82"/>
      <c r="G70" s="82" t="s">
        <v>105</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c r="AS70" s="476"/>
      <c r="AT70" s="476"/>
      <c r="AU70" s="476"/>
      <c r="AV70" s="476"/>
      <c r="AW70" s="184"/>
    </row>
    <row r="71" spans="1:49" ht="15">
      <c r="A71" s="82"/>
      <c r="B71" s="82"/>
      <c r="C71" s="82"/>
      <c r="D71" s="82"/>
      <c r="E71" s="182">
        <v>0</v>
      </c>
      <c r="F71" s="82"/>
      <c r="G71" s="82" t="s">
        <v>105</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c r="AS71" s="476"/>
      <c r="AT71" s="476"/>
      <c r="AU71" s="476"/>
      <c r="AV71" s="476"/>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c r="AO73" s="495" t="s">
        <v>119</v>
      </c>
      <c r="AP73" s="495" t="s">
        <v>120</v>
      </c>
      <c r="AQ73" s="496" t="s">
        <v>121</v>
      </c>
      <c r="AR73" s="497" t="s">
        <v>122</v>
      </c>
      <c r="AS73" s="495" t="s">
        <v>123</v>
      </c>
      <c r="AT73" s="495" t="s">
        <v>124</v>
      </c>
      <c r="AU73" s="495" t="s">
        <v>125</v>
      </c>
      <c r="AV73" s="495" t="s">
        <v>21</v>
      </c>
      <c r="AW73" s="184"/>
    </row>
    <row r="74" spans="1:49" ht="15">
      <c r="A74" s="82"/>
      <c r="B74" s="82"/>
      <c r="C74" s="82"/>
      <c r="D74" s="82"/>
      <c r="E74" s="82" t="s">
        <v>1309</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1300</v>
      </c>
      <c r="AK74" s="321"/>
      <c r="AL74" s="417">
        <v>0</v>
      </c>
      <c r="AM74" s="528">
        <v>1</v>
      </c>
      <c r="AN74" s="321"/>
      <c r="AO74" s="263" cm="1">
        <f t="array" ref="AO74">(SUMPRODUCT((AO$76:AO$121)*(($AR$26:$AR$71)+($AS$26:$AS$71)+($AT$26:$AT$71)+($AU$26:$AU$71)+($AV$26:$AV$71))*($AL$76:$AL$121="RPEs Apply")*($AM$76:$AM$121=1))+SUM($AR$15:$AV$15))/(SUMPRODUCT((($AR$26:$AR$71)+($AS$26:$AS$71)+($AT$26:$AT$71)+($AU$26:$AU$71)+($AV$26:$AV$71))*($AM$76:$AM$121=1)*($AL$76:$AL$121="RPEs Apply"))+SUM($AR$15:$AV$21))</f>
        <v>6.8793391047029556E-2</v>
      </c>
      <c r="AP74" s="263" cm="1">
        <f t="array" ref="AP74">(SUMPRODUCT((AP$76:AP$121)*(($AR$26:$AR$71)+($AS$26:$AS$71)+($AT$26:$AT$71)+($AU$26:$AU$71)+($AV$26:$AV$71))*($AL$76:$AL$121="RPEs Apply")*($AM$76:$AM$121=1))+SUM($AR$16:$AV$16))/(SUMPRODUCT((($AR$26:$AR$71)+($AS$26:$AS$71)+($AT$26:$AT$71)+($AU$26:$AU$71)+($AV$26:$AV$71))*($AM$76:$AM$121=1)*($AL$76:$AL$121="RPEs Apply"))+SUM($AR$15:$AV$21))</f>
        <v>0.31021818316642769</v>
      </c>
      <c r="AQ74" s="494" cm="1">
        <f t="array" ref="AQ74">(SUMPRODUCT((AQ$76:AQ$121)*(($AR$26:$AR$71)+($AS$26:$AS$71)+($AT$26:$AT$71)+($AU$26:$AU$71)+($AV$26:$AV$71))*($AL$76:$AL$121="RPEs Apply")*($AM$76:$AM$121=1))+SUM($AR$17:$AV$17))/(SUMPRODUCT((($AR$26:$AR$71)+($AS$26:$AS$71)+($AT$26:$AT$71)+($AU$26:$AU$71)+($AV$26:$AV$71))*($AM$76:$AM$121=1)*($AL$76:$AL$121="RPEs Apply"))+SUM($AR$15:$AV$21))</f>
        <v>0.10694472750907517</v>
      </c>
      <c r="AR74" s="263" cm="1">
        <f t="array" ref="AR74">(SUMPRODUCT((AR$76:AR$121)*(($AR$26:$AR$71)+($AS$26:$AS$71)+($AT$26:$AT$71)+($AU$26:$AU$71)+($AV$26:$AV$71))*($AL$76:$AL$121="RPEs Apply")*($AM$76:$AM$121=1))+SUM($AR$18:$AV$18))/(SUMPRODUCT((($AR$26:$AR$71)+($AS$26:$AS$71)+($AT$26:$AT$71)+($AU$26:$AU$71)+($AV$26:$AV$71))*($AM$76:$AM$121=1)*($AL$76:$AL$121="RPEs Apply"))+SUM($AR$15:$AV$21))</f>
        <v>0.11389264699536407</v>
      </c>
      <c r="AS74" s="263" cm="1">
        <f t="array" ref="AS74">(SUMPRODUCT((AS$76:AS$121)*(($AR$26:$AR$71)+($AS$26:$AS$71)+($AT$26:$AT$71)+($AU$26:$AU$71)+($AV$26:$AV$71))*($AL$76:$AL$121="RPEs Apply")*($AM$76:$AM$121=1))+SUM($AR$19:$AV$19))/(SUMPRODUCT((($AR$26:$AR$71)+($AS$26:$AS$71)+($AT$26:$AT$71)+($AU$26:$AU$71)+($AV$26:$AV$71))*($AM$76:$AM$121=1)*($AL$76:$AL$121="RPEs Apply"))+SUM($AR$15:$AV$21))</f>
        <v>1.7498662647738854E-2</v>
      </c>
      <c r="AT74" s="263" cm="1">
        <f t="array" ref="AT74">(SUMPRODUCT((AT$76:AT$121)*(($AR$26:$AR$71)+($AS$26:$AS$71)+($AT$26:$AT$71)+($AU$26:$AU$71)+($AV$26:$AV$71))*($AL$76:$AL$121="RPEs Apply")*($AM$76:$AM$121=1))+SUM($AR$20:$AV$20))/(SUMPRODUCT((($AR$26:$AR$71)+($AS$26:$AS$71)+($AT$26:$AT$71)+($AU$26:$AU$71)+($AV$26:$AV$71))*($AM$76:$AM$121=1)*($AL$76:$AL$121="RPEs Apply"))+SUM($AR$15:$AV$21))</f>
        <v>3.0201745856340625E-2</v>
      </c>
      <c r="AU74" s="263" cm="1">
        <f t="array" ref="AU74">(SUMPRODUCT((AU$76:AU$121)*(($AR$26:$AR$71)+($AS$26:$AS$71)+($AT$26:$AT$71)+($AU$26:$AU$71)+($AV$26:$AV$71))*($AL$76:$AL$121="RPEs Apply")*($AM$76:$AM$121=1))+SUM($AR$21:$AV$21))/(SUMPRODUCT((($AR$26:$AR$71)+($AS$26:$AS$71)+($AT$26:$AT$71)+($AU$26:$AU$71)+($AV$26:$AV$71))*($AM$76:$AM$121=1)*($AL$76:$AL$121="RPEs Apply"))+SUM($AR$15:$AV$21))</f>
        <v>0.35245064277802385</v>
      </c>
      <c r="AV74" s="263">
        <f>SUM(AO74:AU74)</f>
        <v>0.99999999999999978</v>
      </c>
      <c r="AW74" s="184"/>
    </row>
    <row r="75" spans="1:49" ht="15">
      <c r="A75" s="82"/>
      <c r="B75" s="82"/>
      <c r="C75" s="82"/>
      <c r="D75" s="82"/>
      <c r="E75" s="82" t="s">
        <v>1311</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1300</v>
      </c>
      <c r="AK75" s="321"/>
      <c r="AL75" s="417">
        <v>0</v>
      </c>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0.79177422185912216</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0.20822577814087787</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1</v>
      </c>
      <c r="AW75" s="184"/>
    </row>
    <row r="76" spans="1:49" ht="15">
      <c r="A76" s="82"/>
      <c r="B76" s="82"/>
      <c r="C76" s="82"/>
      <c r="D76" s="82"/>
      <c r="E76" s="82" t="s">
        <v>1312</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1386</v>
      </c>
      <c r="AK76" s="321"/>
      <c r="AL76" s="417" t="s">
        <v>1387</v>
      </c>
      <c r="AM76" s="528">
        <v>2</v>
      </c>
      <c r="AN76" s="321"/>
      <c r="AO76" s="410">
        <v>0</v>
      </c>
      <c r="AP76" s="410">
        <v>1</v>
      </c>
      <c r="AQ76" s="456">
        <v>0</v>
      </c>
      <c r="AR76" s="410">
        <v>0</v>
      </c>
      <c r="AS76" s="410">
        <v>0</v>
      </c>
      <c r="AT76" s="410">
        <v>0</v>
      </c>
      <c r="AU76" s="410">
        <v>0</v>
      </c>
      <c r="AV76" s="263">
        <f t="shared" si="0"/>
        <v>1</v>
      </c>
      <c r="AW76" s="184"/>
    </row>
    <row r="77" spans="1:49" ht="15">
      <c r="A77" s="82"/>
      <c r="B77" s="82"/>
      <c r="C77" s="82"/>
      <c r="D77" s="82"/>
      <c r="E77" s="82" t="s">
        <v>1314</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1386</v>
      </c>
      <c r="AK77" s="321"/>
      <c r="AL77" s="417" t="s">
        <v>1387</v>
      </c>
      <c r="AM77" s="528">
        <v>2</v>
      </c>
      <c r="AN77" s="321"/>
      <c r="AO77" s="410">
        <v>0</v>
      </c>
      <c r="AP77" s="410">
        <v>0</v>
      </c>
      <c r="AQ77" s="456">
        <v>0</v>
      </c>
      <c r="AR77" s="410">
        <v>0</v>
      </c>
      <c r="AS77" s="410">
        <v>0</v>
      </c>
      <c r="AT77" s="410">
        <v>0</v>
      </c>
      <c r="AU77" s="410">
        <v>1</v>
      </c>
      <c r="AV77" s="263">
        <f t="shared" si="0"/>
        <v>1</v>
      </c>
      <c r="AW77" s="184"/>
    </row>
    <row r="78" spans="1:49" ht="15">
      <c r="A78" s="82"/>
      <c r="B78" s="82"/>
      <c r="C78" s="82"/>
      <c r="D78" s="82"/>
      <c r="E78" s="82" t="s">
        <v>1316</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1386</v>
      </c>
      <c r="AK78" s="321"/>
      <c r="AL78" s="417" t="s">
        <v>1387</v>
      </c>
      <c r="AM78" s="528">
        <v>2</v>
      </c>
      <c r="AN78" s="321"/>
      <c r="AO78" s="410">
        <v>0</v>
      </c>
      <c r="AP78" s="410">
        <v>1</v>
      </c>
      <c r="AQ78" s="456">
        <v>0</v>
      </c>
      <c r="AR78" s="410">
        <v>0</v>
      </c>
      <c r="AS78" s="410">
        <v>0</v>
      </c>
      <c r="AT78" s="410">
        <v>0</v>
      </c>
      <c r="AU78" s="410">
        <v>0</v>
      </c>
      <c r="AV78" s="263">
        <f t="shared" si="0"/>
        <v>1</v>
      </c>
      <c r="AW78" s="184"/>
    </row>
    <row r="79" spans="1:49" ht="15">
      <c r="A79" s="82"/>
      <c r="B79" s="82"/>
      <c r="C79" s="82"/>
      <c r="D79" s="82"/>
      <c r="E79" s="82" t="s">
        <v>1318</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1386</v>
      </c>
      <c r="AK79" s="321"/>
      <c r="AL79" s="417" t="s">
        <v>1387</v>
      </c>
      <c r="AM79" s="528">
        <v>2</v>
      </c>
      <c r="AN79" s="321"/>
      <c r="AO79" s="410">
        <v>1</v>
      </c>
      <c r="AP79" s="410">
        <v>0</v>
      </c>
      <c r="AQ79" s="456">
        <v>0</v>
      </c>
      <c r="AR79" s="410">
        <v>0</v>
      </c>
      <c r="AS79" s="410">
        <v>0</v>
      </c>
      <c r="AT79" s="410">
        <v>0</v>
      </c>
      <c r="AU79" s="410">
        <v>0</v>
      </c>
      <c r="AV79" s="263">
        <f t="shared" si="0"/>
        <v>1</v>
      </c>
      <c r="AW79" s="184"/>
    </row>
    <row r="80" spans="1:49" ht="15">
      <c r="A80" s="82"/>
      <c r="B80" s="82"/>
      <c r="C80" s="82"/>
      <c r="D80" s="82"/>
      <c r="E80" s="82" t="s">
        <v>1320</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1386</v>
      </c>
      <c r="AK80" s="321"/>
      <c r="AL80" s="417" t="s">
        <v>1387</v>
      </c>
      <c r="AM80" s="528">
        <v>2</v>
      </c>
      <c r="AN80" s="321"/>
      <c r="AO80" s="410">
        <v>0</v>
      </c>
      <c r="AP80" s="410">
        <v>0</v>
      </c>
      <c r="AQ80" s="456">
        <v>1</v>
      </c>
      <c r="AR80" s="410">
        <v>0</v>
      </c>
      <c r="AS80" s="410">
        <v>0</v>
      </c>
      <c r="AT80" s="410">
        <v>0</v>
      </c>
      <c r="AU80" s="410">
        <v>0</v>
      </c>
      <c r="AV80" s="263">
        <f t="shared" si="0"/>
        <v>1</v>
      </c>
      <c r="AW80" s="184"/>
    </row>
    <row r="81" spans="1:49" ht="15">
      <c r="A81" s="82"/>
      <c r="B81" s="82"/>
      <c r="C81" s="82"/>
      <c r="D81" s="82"/>
      <c r="E81" s="82" t="s">
        <v>1322</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1386</v>
      </c>
      <c r="AK81" s="321"/>
      <c r="AL81" s="417" t="s">
        <v>1387</v>
      </c>
      <c r="AM81" s="528">
        <v>2</v>
      </c>
      <c r="AN81" s="321"/>
      <c r="AO81" s="410">
        <v>0</v>
      </c>
      <c r="AP81" s="410">
        <v>1</v>
      </c>
      <c r="AQ81" s="456">
        <v>0</v>
      </c>
      <c r="AR81" s="410">
        <v>0</v>
      </c>
      <c r="AS81" s="410">
        <v>0</v>
      </c>
      <c r="AT81" s="410">
        <v>0</v>
      </c>
      <c r="AU81" s="410">
        <v>0</v>
      </c>
      <c r="AV81" s="263">
        <f t="shared" si="0"/>
        <v>1</v>
      </c>
      <c r="AW81" s="184"/>
    </row>
    <row r="82" spans="1:49" ht="15">
      <c r="A82" s="82"/>
      <c r="B82" s="82"/>
      <c r="C82" s="82"/>
      <c r="D82" s="82"/>
      <c r="E82" s="82" t="s">
        <v>1324</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1386</v>
      </c>
      <c r="AK82" s="321"/>
      <c r="AL82" s="417" t="s">
        <v>1387</v>
      </c>
      <c r="AM82" s="528">
        <v>2</v>
      </c>
      <c r="AN82" s="321"/>
      <c r="AO82" s="410">
        <v>0</v>
      </c>
      <c r="AP82" s="410">
        <v>1</v>
      </c>
      <c r="AQ82" s="456">
        <v>0</v>
      </c>
      <c r="AR82" s="410">
        <v>0</v>
      </c>
      <c r="AS82" s="410">
        <v>0</v>
      </c>
      <c r="AT82" s="410">
        <v>0</v>
      </c>
      <c r="AU82" s="410">
        <v>0</v>
      </c>
      <c r="AV82" s="263">
        <f t="shared" si="0"/>
        <v>1</v>
      </c>
      <c r="AW82" s="184"/>
    </row>
    <row r="83" spans="1:49" ht="15">
      <c r="A83" s="82"/>
      <c r="B83" s="82"/>
      <c r="C83" s="82"/>
      <c r="D83" s="82"/>
      <c r="E83" s="82" t="s">
        <v>1326</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1388</v>
      </c>
      <c r="AK83" s="321"/>
      <c r="AL83" s="417" t="s">
        <v>1389</v>
      </c>
      <c r="AM83" s="528">
        <v>1</v>
      </c>
      <c r="AN83" s="321"/>
      <c r="AO83" s="410">
        <v>0</v>
      </c>
      <c r="AP83" s="410">
        <v>1</v>
      </c>
      <c r="AQ83" s="456">
        <v>0</v>
      </c>
      <c r="AR83" s="410">
        <v>0</v>
      </c>
      <c r="AS83" s="410">
        <v>0</v>
      </c>
      <c r="AT83" s="410">
        <v>0</v>
      </c>
      <c r="AU83" s="410">
        <v>0</v>
      </c>
      <c r="AV83" s="263">
        <f t="shared" si="0"/>
        <v>1</v>
      </c>
      <c r="AW83" s="184"/>
    </row>
    <row r="84" spans="1:49" ht="15">
      <c r="A84" s="82"/>
      <c r="B84" s="82"/>
      <c r="C84" s="82"/>
      <c r="D84" s="82"/>
      <c r="E84" s="82" t="s">
        <v>1328</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1390</v>
      </c>
      <c r="AK84" s="321"/>
      <c r="AL84" s="417" t="s">
        <v>1389</v>
      </c>
      <c r="AM84" s="528">
        <v>2</v>
      </c>
      <c r="AN84" s="321"/>
      <c r="AO84" s="410">
        <v>1</v>
      </c>
      <c r="AP84" s="410">
        <v>0</v>
      </c>
      <c r="AQ84" s="456">
        <v>0</v>
      </c>
      <c r="AR84" s="410">
        <v>0</v>
      </c>
      <c r="AS84" s="410">
        <v>0</v>
      </c>
      <c r="AT84" s="410">
        <v>0</v>
      </c>
      <c r="AU84" s="410">
        <v>0</v>
      </c>
      <c r="AV84" s="263">
        <f t="shared" si="0"/>
        <v>1</v>
      </c>
      <c r="AW84" s="184"/>
    </row>
    <row r="85" spans="1:49" ht="15">
      <c r="A85" s="82"/>
      <c r="B85" s="82"/>
      <c r="C85" s="82"/>
      <c r="D85" s="82"/>
      <c r="E85" s="82" t="s">
        <v>1330</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1390</v>
      </c>
      <c r="AK85" s="321"/>
      <c r="AL85" s="417" t="s">
        <v>1389</v>
      </c>
      <c r="AM85" s="528">
        <v>2</v>
      </c>
      <c r="AN85" s="321"/>
      <c r="AO85" s="410">
        <v>1</v>
      </c>
      <c r="AP85" s="410">
        <v>0</v>
      </c>
      <c r="AQ85" s="456">
        <v>0</v>
      </c>
      <c r="AR85" s="410">
        <v>0</v>
      </c>
      <c r="AS85" s="410">
        <v>0</v>
      </c>
      <c r="AT85" s="410">
        <v>0</v>
      </c>
      <c r="AU85" s="410">
        <v>0</v>
      </c>
      <c r="AV85" s="263">
        <f t="shared" si="0"/>
        <v>1</v>
      </c>
      <c r="AW85" s="184"/>
    </row>
    <row r="86" spans="1:49" ht="15">
      <c r="A86" s="82"/>
      <c r="B86" s="82"/>
      <c r="C86" s="82"/>
      <c r="D86" s="82"/>
      <c r="E86" s="82" t="s">
        <v>1332</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1386</v>
      </c>
      <c r="AK86" s="321"/>
      <c r="AL86" s="417" t="s">
        <v>1387</v>
      </c>
      <c r="AM86" s="528">
        <v>2</v>
      </c>
      <c r="AN86" s="321"/>
      <c r="AO86" s="410">
        <v>1</v>
      </c>
      <c r="AP86" s="410">
        <v>0</v>
      </c>
      <c r="AQ86" s="456">
        <v>0</v>
      </c>
      <c r="AR86" s="410">
        <v>0</v>
      </c>
      <c r="AS86" s="410">
        <v>0</v>
      </c>
      <c r="AT86" s="410">
        <v>0</v>
      </c>
      <c r="AU86" s="410">
        <v>0</v>
      </c>
      <c r="AV86" s="263">
        <f t="shared" si="0"/>
        <v>1</v>
      </c>
      <c r="AW86" s="184"/>
    </row>
    <row r="87" spans="1:49" ht="15">
      <c r="A87" s="82"/>
      <c r="B87" s="82"/>
      <c r="C87" s="82"/>
      <c r="D87" s="82"/>
      <c r="E87" s="82" t="s">
        <v>1334</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1386</v>
      </c>
      <c r="AK87" s="321"/>
      <c r="AL87" s="417" t="s">
        <v>1387</v>
      </c>
      <c r="AM87" s="528">
        <v>2</v>
      </c>
      <c r="AN87" s="321"/>
      <c r="AO87" s="410">
        <v>0</v>
      </c>
      <c r="AP87" s="410">
        <v>0</v>
      </c>
      <c r="AQ87" s="456">
        <v>0.5</v>
      </c>
      <c r="AR87" s="410">
        <v>0</v>
      </c>
      <c r="AS87" s="410">
        <v>0</v>
      </c>
      <c r="AT87" s="410">
        <v>0</v>
      </c>
      <c r="AU87" s="410">
        <v>0.5</v>
      </c>
      <c r="AV87" s="263">
        <f t="shared" si="0"/>
        <v>1</v>
      </c>
      <c r="AW87" s="184"/>
    </row>
    <row r="88" spans="1:49" ht="15">
      <c r="A88" s="82"/>
      <c r="B88" s="82"/>
      <c r="C88" s="82"/>
      <c r="D88" s="82"/>
      <c r="E88" s="82" t="s">
        <v>1336</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1390</v>
      </c>
      <c r="AK88" s="321"/>
      <c r="AL88" s="417" t="s">
        <v>1389</v>
      </c>
      <c r="AM88" s="528">
        <v>2</v>
      </c>
      <c r="AN88" s="321"/>
      <c r="AO88" s="410">
        <v>0</v>
      </c>
      <c r="AP88" s="410">
        <v>1</v>
      </c>
      <c r="AQ88" s="456">
        <v>0</v>
      </c>
      <c r="AR88" s="410">
        <v>0</v>
      </c>
      <c r="AS88" s="410">
        <v>0</v>
      </c>
      <c r="AT88" s="410">
        <v>0</v>
      </c>
      <c r="AU88" s="410">
        <v>0</v>
      </c>
      <c r="AV88" s="263">
        <f t="shared" si="0"/>
        <v>1</v>
      </c>
      <c r="AW88" s="184"/>
    </row>
    <row r="89" spans="1:49" ht="15">
      <c r="A89" s="82"/>
      <c r="B89" s="82"/>
      <c r="C89" s="82"/>
      <c r="D89" s="82"/>
      <c r="E89" s="82" t="s">
        <v>1338</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1391</v>
      </c>
      <c r="AK89" s="321"/>
      <c r="AL89" s="417" t="s">
        <v>1387</v>
      </c>
      <c r="AM89" s="528">
        <v>1</v>
      </c>
      <c r="AN89" s="321"/>
      <c r="AO89" s="410">
        <v>0</v>
      </c>
      <c r="AP89" s="410">
        <v>0</v>
      </c>
      <c r="AQ89" s="456">
        <v>1</v>
      </c>
      <c r="AR89" s="410">
        <v>0</v>
      </c>
      <c r="AS89" s="410">
        <v>0</v>
      </c>
      <c r="AT89" s="410">
        <v>0</v>
      </c>
      <c r="AU89" s="410">
        <v>0</v>
      </c>
      <c r="AV89" s="263">
        <f t="shared" si="0"/>
        <v>1</v>
      </c>
      <c r="AW89" s="184"/>
    </row>
    <row r="90" spans="1:49" ht="15">
      <c r="A90" s="82"/>
      <c r="B90" s="82"/>
      <c r="C90" s="82"/>
      <c r="D90" s="82"/>
      <c r="E90" s="82" t="s">
        <v>1340</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1388</v>
      </c>
      <c r="AK90" s="321"/>
      <c r="AL90" s="417" t="s">
        <v>1389</v>
      </c>
      <c r="AM90" s="528">
        <v>1</v>
      </c>
      <c r="AN90" s="321"/>
      <c r="AO90" s="410">
        <v>0</v>
      </c>
      <c r="AP90" s="410">
        <v>0</v>
      </c>
      <c r="AQ90" s="456">
        <v>1</v>
      </c>
      <c r="AR90" s="410">
        <v>0</v>
      </c>
      <c r="AS90" s="410">
        <v>0</v>
      </c>
      <c r="AT90" s="410">
        <v>0</v>
      </c>
      <c r="AU90" s="410">
        <v>0</v>
      </c>
      <c r="AV90" s="263">
        <f t="shared" si="0"/>
        <v>1</v>
      </c>
      <c r="AW90" s="184"/>
    </row>
    <row r="91" spans="1:49" ht="15">
      <c r="A91" s="82"/>
      <c r="B91" s="82"/>
      <c r="C91" s="82"/>
      <c r="D91" s="82"/>
      <c r="E91" s="82" t="s">
        <v>1342</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1386</v>
      </c>
      <c r="AK91" s="321"/>
      <c r="AL91" s="417" t="s">
        <v>1387</v>
      </c>
      <c r="AM91" s="528">
        <v>2</v>
      </c>
      <c r="AN91" s="321"/>
      <c r="AO91" s="410">
        <v>0</v>
      </c>
      <c r="AP91" s="410">
        <v>0</v>
      </c>
      <c r="AQ91" s="456">
        <v>1</v>
      </c>
      <c r="AR91" s="410">
        <v>0</v>
      </c>
      <c r="AS91" s="410">
        <v>0</v>
      </c>
      <c r="AT91" s="410">
        <v>0</v>
      </c>
      <c r="AU91" s="410">
        <v>0</v>
      </c>
      <c r="AV91" s="263">
        <f t="shared" si="0"/>
        <v>1</v>
      </c>
      <c r="AW91" s="184"/>
    </row>
    <row r="92" spans="1:49" ht="15">
      <c r="A92" s="82"/>
      <c r="B92" s="82"/>
      <c r="C92" s="82"/>
      <c r="D92" s="82"/>
      <c r="E92" s="82" t="s">
        <v>1344</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1386</v>
      </c>
      <c r="AK92" s="321"/>
      <c r="AL92" s="417" t="s">
        <v>1387</v>
      </c>
      <c r="AM92" s="528">
        <v>2</v>
      </c>
      <c r="AN92" s="321"/>
      <c r="AO92" s="410">
        <v>0</v>
      </c>
      <c r="AP92" s="410">
        <v>0</v>
      </c>
      <c r="AQ92" s="456">
        <v>0</v>
      </c>
      <c r="AR92" s="410">
        <v>0</v>
      </c>
      <c r="AS92" s="410">
        <v>0</v>
      </c>
      <c r="AT92" s="410">
        <v>0</v>
      </c>
      <c r="AU92" s="410">
        <v>1</v>
      </c>
      <c r="AV92" s="263">
        <f t="shared" si="0"/>
        <v>1</v>
      </c>
      <c r="AW92" s="184"/>
    </row>
    <row r="93" spans="1:49" ht="15">
      <c r="A93" s="82"/>
      <c r="B93" s="82"/>
      <c r="C93" s="82"/>
      <c r="D93" s="82"/>
      <c r="E93" s="82" t="s">
        <v>1346</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1388</v>
      </c>
      <c r="AK93" s="321"/>
      <c r="AL93" s="417" t="s">
        <v>1389</v>
      </c>
      <c r="AM93" s="528">
        <v>1</v>
      </c>
      <c r="AN93" s="321"/>
      <c r="AO93" s="410">
        <v>1</v>
      </c>
      <c r="AP93" s="410">
        <v>0</v>
      </c>
      <c r="AQ93" s="456">
        <v>0</v>
      </c>
      <c r="AR93" s="410">
        <v>0</v>
      </c>
      <c r="AS93" s="410">
        <v>0</v>
      </c>
      <c r="AT93" s="410">
        <v>0</v>
      </c>
      <c r="AU93" s="410">
        <v>0</v>
      </c>
      <c r="AV93" s="263">
        <f t="shared" si="0"/>
        <v>1</v>
      </c>
      <c r="AW93" s="184"/>
    </row>
    <row r="94" spans="1:49" ht="15">
      <c r="A94" s="82"/>
      <c r="B94" s="82"/>
      <c r="C94" s="82"/>
      <c r="D94" s="82"/>
      <c r="E94" s="82" t="s">
        <v>113</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1300</v>
      </c>
      <c r="AK94" s="321"/>
      <c r="AL94" s="417" t="s">
        <v>1387</v>
      </c>
      <c r="AM94" s="528">
        <v>2</v>
      </c>
      <c r="AN94" s="321"/>
      <c r="AO94" s="410">
        <v>0</v>
      </c>
      <c r="AP94" s="410">
        <v>0</v>
      </c>
      <c r="AQ94" s="456">
        <v>0.9</v>
      </c>
      <c r="AR94" s="410">
        <v>0</v>
      </c>
      <c r="AS94" s="410">
        <v>0</v>
      </c>
      <c r="AT94" s="410">
        <v>0</v>
      </c>
      <c r="AU94" s="410">
        <v>0.1</v>
      </c>
      <c r="AV94" s="263">
        <f t="shared" si="0"/>
        <v>1</v>
      </c>
      <c r="AW94" s="184"/>
    </row>
    <row r="95" spans="1:49" ht="15">
      <c r="A95" s="82"/>
      <c r="B95" s="82"/>
      <c r="C95" s="82"/>
      <c r="D95" s="82"/>
      <c r="E95" s="82" t="s">
        <v>1349</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1386</v>
      </c>
      <c r="AK95" s="321"/>
      <c r="AL95" s="417" t="s">
        <v>1387</v>
      </c>
      <c r="AM95" s="528">
        <v>2</v>
      </c>
      <c r="AN95" s="321"/>
      <c r="AO95" s="410">
        <v>0</v>
      </c>
      <c r="AP95" s="410">
        <v>0</v>
      </c>
      <c r="AQ95" s="456">
        <v>1</v>
      </c>
      <c r="AR95" s="410">
        <v>0</v>
      </c>
      <c r="AS95" s="410">
        <v>0</v>
      </c>
      <c r="AT95" s="410">
        <v>0</v>
      </c>
      <c r="AU95" s="410">
        <v>0</v>
      </c>
      <c r="AV95" s="263">
        <f t="shared" si="0"/>
        <v>1</v>
      </c>
      <c r="AW95" s="184"/>
    </row>
    <row r="96" spans="1:49" ht="15">
      <c r="A96" s="82"/>
      <c r="B96" s="82"/>
      <c r="C96" s="82"/>
      <c r="D96" s="82"/>
      <c r="E96" s="82" t="s">
        <v>1351</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1386</v>
      </c>
      <c r="AK96" s="321"/>
      <c r="AL96" s="417" t="s">
        <v>1387</v>
      </c>
      <c r="AM96" s="528">
        <v>2</v>
      </c>
      <c r="AN96" s="321"/>
      <c r="AO96" s="410">
        <v>0</v>
      </c>
      <c r="AP96" s="410">
        <v>0</v>
      </c>
      <c r="AQ96" s="456">
        <v>0</v>
      </c>
      <c r="AR96" s="410">
        <v>0</v>
      </c>
      <c r="AS96" s="410">
        <v>0</v>
      </c>
      <c r="AT96" s="410">
        <v>0</v>
      </c>
      <c r="AU96" s="410">
        <v>1</v>
      </c>
      <c r="AV96" s="263">
        <f t="shared" si="0"/>
        <v>1</v>
      </c>
      <c r="AW96" s="184"/>
    </row>
    <row r="97" spans="1:49" ht="15">
      <c r="A97" s="82"/>
      <c r="B97" s="82"/>
      <c r="C97" s="82"/>
      <c r="D97" s="82"/>
      <c r="E97" s="82" t="s">
        <v>1352</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1386</v>
      </c>
      <c r="AK97" s="321"/>
      <c r="AL97" s="417" t="s">
        <v>1387</v>
      </c>
      <c r="AM97" s="528">
        <v>2</v>
      </c>
      <c r="AN97" s="321"/>
      <c r="AO97" s="410">
        <v>0</v>
      </c>
      <c r="AP97" s="410">
        <v>1</v>
      </c>
      <c r="AQ97" s="456">
        <v>0</v>
      </c>
      <c r="AR97" s="410">
        <v>0</v>
      </c>
      <c r="AS97" s="410">
        <v>0</v>
      </c>
      <c r="AT97" s="410">
        <v>0</v>
      </c>
      <c r="AU97" s="410">
        <v>0</v>
      </c>
      <c r="AV97" s="263">
        <f t="shared" si="0"/>
        <v>1</v>
      </c>
      <c r="AW97" s="184"/>
    </row>
    <row r="98" spans="1:49" ht="15">
      <c r="A98" s="82"/>
      <c r="B98" s="82"/>
      <c r="C98" s="82"/>
      <c r="D98" s="82"/>
      <c r="E98" s="82" t="s">
        <v>1354</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1386</v>
      </c>
      <c r="AK98" s="321"/>
      <c r="AL98" s="417" t="s">
        <v>1387</v>
      </c>
      <c r="AM98" s="528">
        <v>2</v>
      </c>
      <c r="AN98" s="321"/>
      <c r="AO98" s="410">
        <v>0</v>
      </c>
      <c r="AP98" s="410">
        <v>1</v>
      </c>
      <c r="AQ98" s="456">
        <v>0</v>
      </c>
      <c r="AR98" s="410">
        <v>0</v>
      </c>
      <c r="AS98" s="410">
        <v>0</v>
      </c>
      <c r="AT98" s="410">
        <v>0</v>
      </c>
      <c r="AU98" s="410">
        <v>0</v>
      </c>
      <c r="AV98" s="263">
        <f t="shared" si="0"/>
        <v>1</v>
      </c>
      <c r="AW98" s="184"/>
    </row>
    <row r="99" spans="1:49" ht="15">
      <c r="A99" s="82"/>
      <c r="B99" s="82"/>
      <c r="C99" s="82"/>
      <c r="D99" s="82"/>
      <c r="E99" s="82" t="s">
        <v>1356</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1388</v>
      </c>
      <c r="AK99" s="321"/>
      <c r="AL99" s="417" t="s">
        <v>1389</v>
      </c>
      <c r="AM99" s="528">
        <v>1</v>
      </c>
      <c r="AN99" s="321"/>
      <c r="AO99" s="410">
        <v>1</v>
      </c>
      <c r="AP99" s="410">
        <v>0</v>
      </c>
      <c r="AQ99" s="456">
        <v>0</v>
      </c>
      <c r="AR99" s="410">
        <v>0</v>
      </c>
      <c r="AS99" s="410">
        <v>0</v>
      </c>
      <c r="AT99" s="410">
        <v>0</v>
      </c>
      <c r="AU99" s="410">
        <v>0</v>
      </c>
      <c r="AV99" s="263">
        <f t="shared" si="0"/>
        <v>1</v>
      </c>
      <c r="AW99" s="184"/>
    </row>
    <row r="100" spans="1:49" ht="15">
      <c r="A100" s="82"/>
      <c r="B100" s="82"/>
      <c r="C100" s="82"/>
      <c r="D100" s="82"/>
      <c r="E100" s="82" t="s">
        <v>1358</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1391</v>
      </c>
      <c r="AK100" s="321"/>
      <c r="AL100" s="417" t="s">
        <v>1387</v>
      </c>
      <c r="AM100" s="528">
        <v>1</v>
      </c>
      <c r="AN100" s="321"/>
      <c r="AO100" s="410">
        <v>0</v>
      </c>
      <c r="AP100" s="410">
        <v>0</v>
      </c>
      <c r="AQ100" s="456">
        <v>1</v>
      </c>
      <c r="AR100" s="410">
        <v>0</v>
      </c>
      <c r="AS100" s="410">
        <v>0</v>
      </c>
      <c r="AT100" s="410">
        <v>0</v>
      </c>
      <c r="AU100" s="410">
        <v>0</v>
      </c>
      <c r="AV100" s="263">
        <f t="shared" si="0"/>
        <v>1</v>
      </c>
      <c r="AW100" s="184"/>
    </row>
    <row r="101" spans="1:49" ht="15">
      <c r="A101" s="82"/>
      <c r="B101" s="82"/>
      <c r="C101" s="82"/>
      <c r="D101" s="82"/>
      <c r="E101" s="82" t="s">
        <v>1360</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1391</v>
      </c>
      <c r="AK101" s="321"/>
      <c r="AL101" s="417" t="s">
        <v>1387</v>
      </c>
      <c r="AM101" s="528">
        <v>1</v>
      </c>
      <c r="AN101" s="321"/>
      <c r="AO101" s="410">
        <v>0</v>
      </c>
      <c r="AP101" s="410">
        <v>0</v>
      </c>
      <c r="AQ101" s="456">
        <v>0</v>
      </c>
      <c r="AR101" s="410">
        <v>0</v>
      </c>
      <c r="AS101" s="410">
        <v>0</v>
      </c>
      <c r="AT101" s="410">
        <v>0</v>
      </c>
      <c r="AU101" s="410">
        <v>1</v>
      </c>
      <c r="AV101" s="263">
        <f t="shared" si="0"/>
        <v>1</v>
      </c>
      <c r="AW101" s="184"/>
    </row>
    <row r="102" spans="1:49" ht="15">
      <c r="A102" s="82"/>
      <c r="B102" s="82"/>
      <c r="C102" s="82"/>
      <c r="D102" s="82"/>
      <c r="E102" s="82" t="s">
        <v>1362</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1388</v>
      </c>
      <c r="AK102" s="321"/>
      <c r="AL102" s="417" t="s">
        <v>1389</v>
      </c>
      <c r="AM102" s="528">
        <v>1</v>
      </c>
      <c r="AN102" s="321"/>
      <c r="AO102" s="410">
        <v>0</v>
      </c>
      <c r="AP102" s="410">
        <v>0</v>
      </c>
      <c r="AQ102" s="456">
        <v>0</v>
      </c>
      <c r="AR102" s="410">
        <v>0</v>
      </c>
      <c r="AS102" s="410">
        <v>0</v>
      </c>
      <c r="AT102" s="410">
        <v>0</v>
      </c>
      <c r="AU102" s="410">
        <v>1</v>
      </c>
      <c r="AV102" s="263">
        <f t="shared" si="0"/>
        <v>1</v>
      </c>
      <c r="AW102" s="184"/>
    </row>
    <row r="103" spans="1:49" ht="15">
      <c r="A103" s="82"/>
      <c r="B103" s="82"/>
      <c r="C103" s="82"/>
      <c r="D103" s="82"/>
      <c r="E103" s="82" t="s">
        <v>1364</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1386</v>
      </c>
      <c r="AK103" s="321"/>
      <c r="AL103" s="417" t="s">
        <v>1387</v>
      </c>
      <c r="AM103" s="528">
        <v>2</v>
      </c>
      <c r="AN103" s="321"/>
      <c r="AO103" s="410">
        <v>0</v>
      </c>
      <c r="AP103" s="410">
        <v>1</v>
      </c>
      <c r="AQ103" s="456">
        <v>0</v>
      </c>
      <c r="AR103" s="410">
        <v>0</v>
      </c>
      <c r="AS103" s="410">
        <v>0</v>
      </c>
      <c r="AT103" s="410">
        <v>0</v>
      </c>
      <c r="AU103" s="410">
        <v>0</v>
      </c>
      <c r="AV103" s="263">
        <f t="shared" si="0"/>
        <v>1</v>
      </c>
      <c r="AW103" s="184"/>
    </row>
    <row r="104" spans="1:49" ht="15">
      <c r="A104" s="82"/>
      <c r="B104" s="82"/>
      <c r="C104" s="82"/>
      <c r="D104" s="82"/>
      <c r="E104" s="82" t="s">
        <v>1366</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1300</v>
      </c>
      <c r="AK104" s="321"/>
      <c r="AL104" s="417" t="s">
        <v>1387</v>
      </c>
      <c r="AM104" s="528">
        <v>2</v>
      </c>
      <c r="AN104" s="321"/>
      <c r="AO104" s="410">
        <v>0</v>
      </c>
      <c r="AP104" s="410">
        <v>0</v>
      </c>
      <c r="AQ104" s="456">
        <v>0</v>
      </c>
      <c r="AR104" s="410">
        <v>0</v>
      </c>
      <c r="AS104" s="410">
        <v>0</v>
      </c>
      <c r="AT104" s="410">
        <v>0</v>
      </c>
      <c r="AU104" s="410">
        <v>1</v>
      </c>
      <c r="AV104" s="263">
        <f t="shared" si="0"/>
        <v>1</v>
      </c>
      <c r="AW104" s="184"/>
    </row>
    <row r="105" spans="1:49" ht="15">
      <c r="A105" s="82"/>
      <c r="B105" s="82"/>
      <c r="C105" s="82"/>
      <c r="D105" s="82"/>
      <c r="E105" s="182" t="s">
        <v>1368</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1388</v>
      </c>
      <c r="AK105" s="321"/>
      <c r="AL105" s="417" t="s">
        <v>1389</v>
      </c>
      <c r="AM105" s="528">
        <v>1</v>
      </c>
      <c r="AN105" s="321"/>
      <c r="AO105" s="410">
        <v>0</v>
      </c>
      <c r="AP105" s="410">
        <v>1</v>
      </c>
      <c r="AQ105" s="456">
        <v>0</v>
      </c>
      <c r="AR105" s="410">
        <v>0</v>
      </c>
      <c r="AS105" s="410">
        <v>0</v>
      </c>
      <c r="AT105" s="410">
        <v>0</v>
      </c>
      <c r="AU105" s="410">
        <v>0</v>
      </c>
      <c r="AV105" s="263">
        <f t="shared" si="0"/>
        <v>1</v>
      </c>
      <c r="AW105" s="184"/>
    </row>
    <row r="106" spans="1:49" ht="15">
      <c r="A106" s="82"/>
      <c r="B106" s="82"/>
      <c r="C106" s="82"/>
      <c r="D106" s="82"/>
      <c r="E106" s="182" t="s">
        <v>1370</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1388</v>
      </c>
      <c r="AK106" s="321"/>
      <c r="AL106" s="417" t="s">
        <v>1389</v>
      </c>
      <c r="AM106" s="528">
        <v>1</v>
      </c>
      <c r="AN106" s="321"/>
      <c r="AO106" s="410">
        <v>0</v>
      </c>
      <c r="AP106" s="410">
        <v>0</v>
      </c>
      <c r="AQ106" s="456">
        <v>1</v>
      </c>
      <c r="AR106" s="410">
        <v>0</v>
      </c>
      <c r="AS106" s="410">
        <v>0</v>
      </c>
      <c r="AT106" s="410">
        <v>0</v>
      </c>
      <c r="AU106" s="410">
        <v>0</v>
      </c>
      <c r="AV106" s="263">
        <f t="shared" si="0"/>
        <v>1</v>
      </c>
      <c r="AW106" s="184"/>
    </row>
    <row r="107" spans="1:49" ht="15">
      <c r="A107" s="82"/>
      <c r="B107" s="82"/>
      <c r="C107" s="82"/>
      <c r="D107" s="82"/>
      <c r="E107" s="182" t="s">
        <v>1372</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1388</v>
      </c>
      <c r="AK107" s="321"/>
      <c r="AL107" s="417" t="s">
        <v>1389</v>
      </c>
      <c r="AM107" s="528">
        <v>1</v>
      </c>
      <c r="AN107" s="321"/>
      <c r="AO107" s="410">
        <v>0</v>
      </c>
      <c r="AP107" s="410">
        <v>1</v>
      </c>
      <c r="AQ107" s="456">
        <v>0</v>
      </c>
      <c r="AR107" s="410">
        <v>0</v>
      </c>
      <c r="AS107" s="410">
        <v>0</v>
      </c>
      <c r="AT107" s="410">
        <v>0</v>
      </c>
      <c r="AU107" s="410">
        <v>0</v>
      </c>
      <c r="AV107" s="263">
        <f t="shared" si="0"/>
        <v>1</v>
      </c>
      <c r="AW107" s="184"/>
    </row>
    <row r="108" spans="1:49" ht="15">
      <c r="A108" s="82"/>
      <c r="B108" s="82"/>
      <c r="C108" s="82"/>
      <c r="D108" s="82"/>
      <c r="E108" s="182" t="s">
        <v>1374</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1386</v>
      </c>
      <c r="AK108" s="321"/>
      <c r="AL108" s="417" t="s">
        <v>1387</v>
      </c>
      <c r="AM108" s="528">
        <v>2</v>
      </c>
      <c r="AN108" s="321"/>
      <c r="AO108" s="410">
        <v>0</v>
      </c>
      <c r="AP108" s="410">
        <v>0</v>
      </c>
      <c r="AQ108" s="456">
        <v>0</v>
      </c>
      <c r="AR108" s="410">
        <v>1</v>
      </c>
      <c r="AS108" s="410">
        <v>0</v>
      </c>
      <c r="AT108" s="410">
        <v>0</v>
      </c>
      <c r="AU108" s="410">
        <v>0</v>
      </c>
      <c r="AV108" s="263">
        <f t="shared" si="0"/>
        <v>1</v>
      </c>
      <c r="AW108" s="184"/>
    </row>
    <row r="109" spans="1:49" ht="15">
      <c r="A109" s="82"/>
      <c r="B109" s="82"/>
      <c r="C109" s="82"/>
      <c r="D109" s="82"/>
      <c r="E109" s="182" t="s">
        <v>1376</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1386</v>
      </c>
      <c r="AK109" s="321"/>
      <c r="AL109" s="417" t="s">
        <v>1387</v>
      </c>
      <c r="AM109" s="528">
        <v>2</v>
      </c>
      <c r="AN109" s="321"/>
      <c r="AO109" s="410">
        <v>0</v>
      </c>
      <c r="AP109" s="410">
        <v>1</v>
      </c>
      <c r="AQ109" s="456">
        <v>0</v>
      </c>
      <c r="AR109" s="410">
        <v>0</v>
      </c>
      <c r="AS109" s="410">
        <v>0</v>
      </c>
      <c r="AT109" s="410">
        <v>0</v>
      </c>
      <c r="AU109" s="410">
        <v>0</v>
      </c>
      <c r="AV109" s="263">
        <f t="shared" si="0"/>
        <v>1</v>
      </c>
      <c r="AW109" s="184"/>
    </row>
    <row r="110" spans="1:49" ht="15">
      <c r="A110" s="82"/>
      <c r="B110" s="82"/>
      <c r="C110" s="82"/>
      <c r="D110" s="82"/>
      <c r="E110" s="182" t="s">
        <v>1378</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1300</v>
      </c>
      <c r="AK110" s="321"/>
      <c r="AL110" s="417" t="s">
        <v>1387</v>
      </c>
      <c r="AM110" s="528">
        <v>2</v>
      </c>
      <c r="AN110" s="321"/>
      <c r="AO110" s="410">
        <v>1</v>
      </c>
      <c r="AP110" s="410">
        <v>0</v>
      </c>
      <c r="AQ110" s="456">
        <v>0</v>
      </c>
      <c r="AR110" s="410">
        <v>0</v>
      </c>
      <c r="AS110" s="410">
        <v>0</v>
      </c>
      <c r="AT110" s="410">
        <v>0</v>
      </c>
      <c r="AU110" s="410">
        <v>0</v>
      </c>
      <c r="AV110" s="263">
        <f t="shared" si="0"/>
        <v>1</v>
      </c>
      <c r="AW110" s="184"/>
    </row>
    <row r="111" spans="1:49" ht="15">
      <c r="A111" s="82"/>
      <c r="B111" s="82"/>
      <c r="C111" s="82"/>
      <c r="D111" s="82"/>
      <c r="E111" s="182" t="s">
        <v>1380</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1300</v>
      </c>
      <c r="AK111" s="321"/>
      <c r="AL111" s="417" t="s">
        <v>1387</v>
      </c>
      <c r="AM111" s="528">
        <v>2</v>
      </c>
      <c r="AN111" s="321"/>
      <c r="AO111" s="410">
        <v>1</v>
      </c>
      <c r="AP111" s="410">
        <v>0</v>
      </c>
      <c r="AQ111" s="456">
        <v>0</v>
      </c>
      <c r="AR111" s="410">
        <v>0</v>
      </c>
      <c r="AS111" s="410">
        <v>0</v>
      </c>
      <c r="AT111" s="410">
        <v>0</v>
      </c>
      <c r="AU111" s="410">
        <v>0</v>
      </c>
      <c r="AV111" s="263">
        <f t="shared" si="0"/>
        <v>1</v>
      </c>
      <c r="AW111" s="184"/>
    </row>
    <row r="112" spans="1:49" ht="15">
      <c r="A112" s="82"/>
      <c r="B112" s="82"/>
      <c r="C112" s="82"/>
      <c r="D112" s="82"/>
      <c r="E112" s="182" t="s">
        <v>1382</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1300</v>
      </c>
      <c r="AK112" s="321"/>
      <c r="AL112" s="417" t="s">
        <v>1387</v>
      </c>
      <c r="AM112" s="528">
        <v>2</v>
      </c>
      <c r="AN112" s="321"/>
      <c r="AO112" s="410">
        <v>0</v>
      </c>
      <c r="AP112" s="410">
        <v>0</v>
      </c>
      <c r="AQ112" s="456">
        <v>0</v>
      </c>
      <c r="AR112" s="410">
        <v>1</v>
      </c>
      <c r="AS112" s="410">
        <v>0</v>
      </c>
      <c r="AT112" s="410">
        <v>0</v>
      </c>
      <c r="AU112" s="410">
        <v>0</v>
      </c>
      <c r="AV112" s="263">
        <f t="shared" si="0"/>
        <v>1</v>
      </c>
      <c r="AW112" s="184"/>
    </row>
    <row r="113" spans="1:49" ht="15">
      <c r="A113" s="82"/>
      <c r="B113" s="82"/>
      <c r="C113" s="82"/>
      <c r="D113" s="82"/>
      <c r="E113" s="182" t="s">
        <v>1384</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1300</v>
      </c>
      <c r="AK113" s="321"/>
      <c r="AL113" s="417" t="s">
        <v>1387</v>
      </c>
      <c r="AM113" s="528">
        <v>2</v>
      </c>
      <c r="AN113" s="321"/>
      <c r="AO113" s="410">
        <v>1</v>
      </c>
      <c r="AP113" s="410">
        <v>0</v>
      </c>
      <c r="AQ113" s="456">
        <v>0</v>
      </c>
      <c r="AR113" s="410">
        <v>0</v>
      </c>
      <c r="AS113" s="410">
        <v>0</v>
      </c>
      <c r="AT113" s="410">
        <v>0</v>
      </c>
      <c r="AU113" s="410">
        <v>0</v>
      </c>
      <c r="AV113" s="263">
        <f t="shared" si="0"/>
        <v>1</v>
      </c>
      <c r="AW113" s="184"/>
    </row>
    <row r="114" spans="1:49" ht="15">
      <c r="A114" s="82"/>
      <c r="B114" s="82"/>
      <c r="C114" s="82"/>
      <c r="D114" s="82"/>
      <c r="E114" s="182">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5">
      <c r="A115" s="82"/>
      <c r="B115" s="82"/>
      <c r="C115" s="82"/>
      <c r="D115" s="82"/>
      <c r="E115" s="182">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5">
      <c r="A116" s="82"/>
      <c r="B116" s="82"/>
      <c r="C116" s="82"/>
      <c r="D116" s="82"/>
      <c r="E116" s="182">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5">
      <c r="A117" s="82"/>
      <c r="B117" s="82"/>
      <c r="C117" s="82"/>
      <c r="D117" s="82"/>
      <c r="E117" s="182">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5">
      <c r="A118" s="82"/>
      <c r="B118" s="82"/>
      <c r="C118" s="82"/>
      <c r="D118" s="82"/>
      <c r="E118" s="182">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5">
      <c r="A119" s="82"/>
      <c r="B119" s="82"/>
      <c r="C119" s="82"/>
      <c r="D119" s="82"/>
      <c r="E119" s="182">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5">
      <c r="A120" s="82"/>
      <c r="B120" s="82"/>
      <c r="C120" s="82"/>
      <c r="D120" s="82"/>
      <c r="E120" s="182">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5">
      <c r="A121" s="82"/>
      <c r="B121" s="82"/>
      <c r="C121" s="82"/>
      <c r="D121" s="82"/>
      <c r="E121" s="182">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2.8140856308726772</v>
      </c>
      <c r="AS126" s="476">
        <v>6.3904257744694846</v>
      </c>
      <c r="AT126" s="476">
        <v>18.405639178876747</v>
      </c>
      <c r="AU126" s="476">
        <v>23.541823364144673</v>
      </c>
      <c r="AV126" s="476">
        <v>25.439452135175944</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27.319845513636757</v>
      </c>
      <c r="AS127" s="476">
        <v>64.534836989577983</v>
      </c>
      <c r="AT127" s="476">
        <v>60.774380008401863</v>
      </c>
      <c r="AU127" s="476">
        <v>73.823018281954816</v>
      </c>
      <c r="AV127" s="476">
        <v>65.864720590509279</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11.565316967991961</v>
      </c>
      <c r="AS128" s="476">
        <v>28.919879323767866</v>
      </c>
      <c r="AT128" s="476">
        <v>27.729811663215745</v>
      </c>
      <c r="AU128" s="476">
        <v>20.811019180538889</v>
      </c>
      <c r="AV128" s="476">
        <v>15.591372787257452</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36.658867752890153</v>
      </c>
      <c r="AS129" s="476">
        <v>29.396527159817936</v>
      </c>
      <c r="AT129" s="476">
        <v>29.517895030126866</v>
      </c>
      <c r="AU129" s="476">
        <v>29.52019485561727</v>
      </c>
      <c r="AV129" s="476">
        <v>29.522714097147016</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3.0548757455097566</v>
      </c>
      <c r="AS130" s="476">
        <v>5.6362769798234789</v>
      </c>
      <c r="AT130" s="476">
        <v>6.0190972115841674</v>
      </c>
      <c r="AU130" s="476">
        <v>3.9089394138452325</v>
      </c>
      <c r="AV130" s="476">
        <v>4.1546816265198752</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5.6778773372069278</v>
      </c>
      <c r="AS131" s="476">
        <v>5.6924363314947737</v>
      </c>
      <c r="AT131" s="476">
        <v>5.6924363314947737</v>
      </c>
      <c r="AU131" s="476">
        <v>5.6924363314947719</v>
      </c>
      <c r="AV131" s="476">
        <v>5.6924363314947719</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61.817145365584103</v>
      </c>
      <c r="AS132" s="476">
        <v>70.462727372389111</v>
      </c>
      <c r="AT132" s="476">
        <v>70.569924706974305</v>
      </c>
      <c r="AU132" s="476">
        <v>70.270957358762999</v>
      </c>
      <c r="AV132" s="476">
        <v>70.243173260459372</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11.29665380092912</v>
      </c>
      <c r="AS135" s="476">
        <v>11.472829587295291</v>
      </c>
      <c r="AT135" s="476">
        <v>15.133875573730423</v>
      </c>
      <c r="AU135" s="476">
        <v>17.780157568350855</v>
      </c>
      <c r="AV135" s="476">
        <v>18.670952862020624</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3.0528335064589873</v>
      </c>
      <c r="AS136" s="476">
        <v>6.3618183259846379</v>
      </c>
      <c r="AT136" s="476">
        <v>8.9006180965567658</v>
      </c>
      <c r="AU136" s="476">
        <v>9.5399499834123098</v>
      </c>
      <c r="AV136" s="476">
        <v>9.6041136164505687</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0.45533489636974073</v>
      </c>
      <c r="AS137" s="476">
        <v>2.6743738989793688</v>
      </c>
      <c r="AT137" s="476">
        <v>4.4158542724364525</v>
      </c>
      <c r="AU137" s="476">
        <v>2.0365141789795858</v>
      </c>
      <c r="AV137" s="476">
        <v>0.94328840592104912</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v>
      </c>
      <c r="AU138" s="476">
        <v>0</v>
      </c>
      <c r="AV138" s="476">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0.8971457410428717</v>
      </c>
      <c r="AS141" s="476">
        <v>2.1379186504283112</v>
      </c>
      <c r="AT141" s="476">
        <v>3.61204853553562</v>
      </c>
      <c r="AU141" s="476">
        <v>4.1961651518546859</v>
      </c>
      <c r="AV141" s="476">
        <v>3.6250077422828069</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1.4692298078497332</v>
      </c>
      <c r="AS145" s="476">
        <v>1.4768824166242707</v>
      </c>
      <c r="AT145" s="476">
        <v>1.4768824166242707</v>
      </c>
      <c r="AU145" s="476">
        <v>1.4810361484210264</v>
      </c>
      <c r="AV145" s="476">
        <v>1.4769438018232377</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17.750569722785045</v>
      </c>
      <c r="AS146" s="476">
        <v>18.825308214363279</v>
      </c>
      <c r="AT146" s="476">
        <v>18.670174974407086</v>
      </c>
      <c r="AU146" s="476">
        <v>23.622310233538517</v>
      </c>
      <c r="AV146" s="476">
        <v>24.663190971866825</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9.7121152211442947</v>
      </c>
      <c r="AS147" s="476">
        <v>8.9322274128174826</v>
      </c>
      <c r="AT147" s="476">
        <v>9.1126644525471807</v>
      </c>
      <c r="AU147" s="476">
        <v>9.3313672974200514</v>
      </c>
      <c r="AV147" s="476">
        <v>9.5651484941330729</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1.4850082884799853</v>
      </c>
      <c r="AS148" s="476">
        <v>1.4074241277662456</v>
      </c>
      <c r="AT148" s="476">
        <v>1.4457486467592529</v>
      </c>
      <c r="AU148" s="476">
        <v>1.4457486467592526</v>
      </c>
      <c r="AV148" s="476">
        <v>1.4457486467592529</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0.90713750180006369</v>
      </c>
      <c r="AS149" s="476">
        <v>0.82018509608753154</v>
      </c>
      <c r="AT149" s="476">
        <v>0.92208740904956776</v>
      </c>
      <c r="AU149" s="476">
        <v>0.58181373026462968</v>
      </c>
      <c r="AV149" s="476">
        <v>0.56300673199197881</v>
      </c>
      <c r="AW149" s="184"/>
    </row>
    <row r="150" spans="1:49" ht="15">
      <c r="A150" s="82"/>
      <c r="B150" s="82"/>
      <c r="C150" s="82"/>
      <c r="D150" s="82"/>
      <c r="E150" s="82" t="s">
        <v>491</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2.9122231599690771E-2</v>
      </c>
      <c r="AS150" s="476">
        <v>2.9275362985932998E-2</v>
      </c>
      <c r="AT150" s="476">
        <v>2.9563790207469284E-2</v>
      </c>
      <c r="AU150" s="476">
        <v>2.985505907650839E-2</v>
      </c>
      <c r="AV150" s="476">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11.323384838377768</v>
      </c>
      <c r="AS151" s="476">
        <v>0.35551809874217427</v>
      </c>
      <c r="AT151" s="476">
        <v>-0.41628174432014636</v>
      </c>
      <c r="AU151" s="476">
        <v>0</v>
      </c>
      <c r="AV151" s="476">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2.2895721493213395E-2</v>
      </c>
      <c r="AS152" s="476">
        <v>9.1893176440402888E-2</v>
      </c>
      <c r="AT152" s="476">
        <v>0</v>
      </c>
      <c r="AU152" s="476">
        <v>0</v>
      </c>
      <c r="AV152" s="476">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5.2299114725253526</v>
      </c>
      <c r="AS153" s="476">
        <v>-31.882685707301704</v>
      </c>
      <c r="AT153" s="476">
        <v>0</v>
      </c>
      <c r="AU153" s="476">
        <v>0</v>
      </c>
      <c r="AV153" s="476">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-0.20195364155844167</v>
      </c>
      <c r="AS162" s="476">
        <v>-4.1404200000000141E-2</v>
      </c>
      <c r="AT162" s="476">
        <v>-4.1404200000000141E-2</v>
      </c>
      <c r="AU162" s="476">
        <v>-4.1404200000000141E-2</v>
      </c>
      <c r="AV162" s="476">
        <v>-4.1404200000000141E-2</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-1.0085909403399145</v>
      </c>
      <c r="AS163" s="476">
        <v>0.46770000000000111</v>
      </c>
      <c r="AT163" s="476">
        <v>0.46770000000000111</v>
      </c>
      <c r="AU163" s="476">
        <v>0.46770000000000111</v>
      </c>
      <c r="AV163" s="476">
        <v>0.46770000000000111</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-2.5490505498763509</v>
      </c>
      <c r="AS164" s="476">
        <v>-3.5380389866993998</v>
      </c>
      <c r="AT164" s="476">
        <v>-0.52438049594525138</v>
      </c>
      <c r="AU164" s="476">
        <v>0.14197685052088882</v>
      </c>
      <c r="AV164" s="476">
        <v>0.93430564092485946</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0</v>
      </c>
      <c r="AT166" s="476">
        <v>0</v>
      </c>
      <c r="AU166" s="476">
        <v>0</v>
      </c>
      <c r="AV166" s="476">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0.30102000000000007</v>
      </c>
      <c r="AS167" s="476">
        <v>0</v>
      </c>
      <c r="AT167" s="476">
        <v>0</v>
      </c>
      <c r="AU167" s="476">
        <v>0</v>
      </c>
      <c r="AV167" s="476">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v>
      </c>
      <c r="AS168" s="476">
        <v>0</v>
      </c>
      <c r="AT168" s="476">
        <v>0</v>
      </c>
      <c r="AU168" s="476">
        <v>0</v>
      </c>
      <c r="AV168" s="476">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0</v>
      </c>
      <c r="AS173" s="476">
        <v>0</v>
      </c>
      <c r="AT173" s="476">
        <v>0</v>
      </c>
      <c r="AU173" s="476">
        <v>0</v>
      </c>
      <c r="AV173" s="476">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0.6523103245300147</v>
      </c>
      <c r="AS177" s="476">
        <v>0.88720701413623226</v>
      </c>
      <c r="AT177" s="476">
        <v>0.72841298369148766</v>
      </c>
      <c r="AU177" s="476">
        <v>0.51670674705209008</v>
      </c>
      <c r="AV177" s="476">
        <v>0.41536293059017515</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0.40302208076634727</v>
      </c>
      <c r="AS178" s="476">
        <v>0</v>
      </c>
      <c r="AT178" s="476">
        <v>0</v>
      </c>
      <c r="AU178" s="476">
        <v>0</v>
      </c>
      <c r="AV178" s="476">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1392</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33.524116349840675</v>
      </c>
      <c r="AS191" s="476">
        <v>38.073916196939415</v>
      </c>
      <c r="AT191" s="476">
        <v>41.986679651386673</v>
      </c>
      <c r="AU191" s="476">
        <v>41.121847213670002</v>
      </c>
      <c r="AV191" s="476">
        <v>41.928023907391754</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-36.928452580855563</v>
      </c>
      <c r="AS192" s="476">
        <v>-37.869703753656538</v>
      </c>
      <c r="AT192" s="476">
        <v>-41.537332559897969</v>
      </c>
      <c r="AU192" s="476">
        <v>-40.697929342237217</v>
      </c>
      <c r="AV192" s="476">
        <v>-41.49733951659757</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3.4661649777904442</v>
      </c>
      <c r="AS193" s="476">
        <v>2.9597675572222077</v>
      </c>
      <c r="AT193" s="476">
        <v>1.6003833482226621</v>
      </c>
      <c r="AU193" s="476">
        <v>1.61260521546182</v>
      </c>
      <c r="AV193" s="476">
        <v>1.6117291582140776</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-3.6805881500557454</v>
      </c>
      <c r="AS194" s="476">
        <v>-2.9597675572222077</v>
      </c>
      <c r="AT194" s="476">
        <v>-1.6003833482226628</v>
      </c>
      <c r="AU194" s="476">
        <v>-1.6126052154618205</v>
      </c>
      <c r="AV194" s="476">
        <v>-1.6117291582140783</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1.3122268711979064</v>
      </c>
      <c r="AS195" s="476">
        <v>0.78520205167995771</v>
      </c>
      <c r="AT195" s="476">
        <v>0.9382431592508983</v>
      </c>
      <c r="AU195" s="476">
        <v>0.94748693421888797</v>
      </c>
      <c r="AV195" s="476">
        <v>0.95682178086143843</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-1.369130891743884</v>
      </c>
      <c r="AS196" s="476">
        <v>-0.78520205167995771</v>
      </c>
      <c r="AT196" s="476">
        <v>-0.9382431592508983</v>
      </c>
      <c r="AU196" s="476">
        <v>-0.94748693421888797</v>
      </c>
      <c r="AV196" s="476">
        <v>-0.95682178086143843</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0</v>
      </c>
      <c r="AS199" s="476">
        <v>0</v>
      </c>
      <c r="AT199" s="476">
        <v>0</v>
      </c>
      <c r="AU199" s="476">
        <v>0</v>
      </c>
      <c r="AV199" s="476">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0.93317471851501743</v>
      </c>
      <c r="AS201" s="476">
        <v>0.70438211910579118</v>
      </c>
      <c r="AT201" s="476">
        <v>0.36046499061690879</v>
      </c>
      <c r="AU201" s="476">
        <v>0.11000116279480865</v>
      </c>
      <c r="AV201" s="476">
        <v>0</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-4.8249390348821655E-2</v>
      </c>
      <c r="AS202" s="476">
        <v>-4.8249390348821648E-2</v>
      </c>
      <c r="AT202" s="476">
        <v>-4.8249390348821648E-2</v>
      </c>
      <c r="AU202" s="476">
        <v>-4.8249390348821648E-2</v>
      </c>
      <c r="AV202" s="476">
        <v>0</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4.6778650248327051E-3</v>
      </c>
      <c r="AS205" s="476">
        <v>0</v>
      </c>
      <c r="AT205" s="476">
        <v>0</v>
      </c>
      <c r="AU205" s="476">
        <v>0</v>
      </c>
      <c r="AV205" s="476">
        <v>0</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v>
      </c>
      <c r="AS206" s="476">
        <v>0</v>
      </c>
      <c r="AT206" s="476">
        <v>0</v>
      </c>
      <c r="AU206" s="476">
        <v>0</v>
      </c>
      <c r="AV206" s="476">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v>3.1E-2</v>
      </c>
      <c r="AS211" s="390">
        <v>3.1699999999999999E-2</v>
      </c>
      <c r="AT211" s="390">
        <v>3.1899999999999998E-2</v>
      </c>
      <c r="AU211" s="390">
        <v>3.1899999999999998E-2</v>
      </c>
      <c r="AV211" s="390">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v>1.46E-2</v>
      </c>
      <c r="AS213" s="390">
        <v>2.7199999999999998E-2</v>
      </c>
      <c r="AT213" s="390">
        <v>2.1399999999999999E-2</v>
      </c>
      <c r="AU213" s="390">
        <v>2.3300000000000001E-2</v>
      </c>
      <c r="AV213" s="390">
        <v>2.41E-2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1395</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3.7574999999999997E-2</v>
      </c>
      <c r="AK219" s="409">
        <v>3.6729999999999999E-2</v>
      </c>
      <c r="AL219" s="409">
        <v>3.5885E-2</v>
      </c>
      <c r="AM219" s="409">
        <v>3.4584999999999998E-2</v>
      </c>
      <c r="AN219" s="409">
        <v>3.3610000000000001E-2</v>
      </c>
      <c r="AO219" s="409">
        <v>3.2570000000000002E-2</v>
      </c>
      <c r="AP219" s="409">
        <v>3.1529999999999996E-2</v>
      </c>
      <c r="AQ219" s="457">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v>0.95289999999999997</v>
      </c>
      <c r="AS223" s="390">
        <v>0.9637</v>
      </c>
      <c r="AT223" s="390">
        <v>0.97350000000000003</v>
      </c>
      <c r="AU223" s="390">
        <v>0.98119999999999996</v>
      </c>
      <c r="AV223" s="390">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v>0.73</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v>25.519621594927063</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v>14</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5">
      <c r="A247" s="82"/>
      <c r="B247" s="82"/>
      <c r="C247" s="82"/>
      <c r="D247" s="82"/>
      <c r="E247" s="7" t="s">
        <v>283</v>
      </c>
      <c r="F247" s="82"/>
      <c r="G247" s="7" t="s">
        <v>281</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5">
      <c r="A248" s="82"/>
      <c r="B248" s="82"/>
      <c r="C248" s="82"/>
      <c r="D248" s="82"/>
      <c r="E248" s="41" t="s">
        <v>284</v>
      </c>
      <c r="F248" s="82"/>
      <c r="G248" s="2" t="s">
        <v>281</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v>24.265624180091308</v>
      </c>
      <c r="L250" s="413">
        <v>75.575379125780543</v>
      </c>
      <c r="M250" s="413">
        <v>78.539119483654289</v>
      </c>
      <c r="N250" s="413">
        <v>89.097444508579528</v>
      </c>
      <c r="O250" s="413">
        <v>105.21278270451801</v>
      </c>
      <c r="P250" s="413">
        <v>77.61295062181874</v>
      </c>
      <c r="Q250" s="413">
        <v>83.169963792832021</v>
      </c>
      <c r="R250" s="413">
        <v>76.316314215248994</v>
      </c>
      <c r="S250" s="413">
        <v>81.374484759045359</v>
      </c>
      <c r="T250" s="413">
        <v>86.472798316801928</v>
      </c>
      <c r="U250" s="413">
        <v>88.773713396244773</v>
      </c>
      <c r="V250" s="413">
        <v>99.987059669302653</v>
      </c>
      <c r="W250" s="413">
        <v>92.334630861645195</v>
      </c>
      <c r="X250" s="413">
        <v>97.405183056914325</v>
      </c>
      <c r="Y250" s="413">
        <v>91.254455029953064</v>
      </c>
      <c r="Z250" s="413">
        <v>107.8513973764981</v>
      </c>
      <c r="AA250" s="413">
        <v>112.7814106362575</v>
      </c>
      <c r="AB250" s="413">
        <v>129.46104758722427</v>
      </c>
      <c r="AC250" s="413">
        <v>128.05734461084816</v>
      </c>
      <c r="AD250" s="413">
        <v>124.36188074160526</v>
      </c>
      <c r="AE250" s="413">
        <v>110.51366635320358</v>
      </c>
      <c r="AF250" s="413">
        <v>110.87417588734979</v>
      </c>
      <c r="AG250" s="413">
        <v>159.43632367418397</v>
      </c>
      <c r="AH250" s="413">
        <v>179.23991373181218</v>
      </c>
      <c r="AI250" s="413">
        <v>158.09167183610603</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-0.45374134482442691</v>
      </c>
      <c r="AI252" s="413">
        <v>31.826224156279334</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301</v>
      </c>
      <c r="F264" s="2"/>
      <c r="G264" s="82" t="s">
        <v>302</v>
      </c>
      <c r="H264" s="82" t="s">
        <v>303</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v>358.39043361</v>
      </c>
      <c r="AS264" s="476">
        <v>497.42539007532946</v>
      </c>
      <c r="AT264" s="476">
        <v>341.6510657395977</v>
      </c>
      <c r="AU264" s="476"/>
      <c r="AV264" s="476"/>
      <c r="AW264" s="184"/>
    </row>
    <row r="265" spans="1:49" ht="15">
      <c r="A265" s="82"/>
      <c r="B265" s="82"/>
      <c r="C265" s="82"/>
      <c r="D265" s="82"/>
      <c r="E265" s="82" t="s">
        <v>304</v>
      </c>
      <c r="F265" s="2"/>
      <c r="G265" s="82" t="s">
        <v>302</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c r="AS265" s="476"/>
      <c r="AT265" s="476">
        <v>340.41054209014391</v>
      </c>
      <c r="AU265" s="476"/>
      <c r="AV265" s="476"/>
      <c r="AW265" s="184"/>
    </row>
    <row r="266" spans="1:49" ht="15">
      <c r="A266" s="82"/>
      <c r="B266" s="82"/>
      <c r="C266" s="82"/>
      <c r="D266" s="82"/>
      <c r="E266" s="82" t="s">
        <v>306</v>
      </c>
      <c r="F266" s="2"/>
      <c r="G266" s="82" t="s">
        <v>105</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c r="AR266" s="476"/>
      <c r="AS266" s="476"/>
      <c r="AT266" s="476">
        <v>271.24935114255658</v>
      </c>
      <c r="AU266" s="476"/>
      <c r="AV266" s="476"/>
      <c r="AW266" s="184"/>
    </row>
    <row r="267" spans="1:49" ht="15">
      <c r="A267" s="82"/>
      <c r="B267" s="82"/>
      <c r="C267" s="82"/>
      <c r="D267" s="82"/>
      <c r="E267" s="82" t="s">
        <v>1396</v>
      </c>
      <c r="F267" s="82"/>
      <c r="G267" s="82" t="s">
        <v>302</v>
      </c>
      <c r="H267" s="82" t="s">
        <v>308</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v>3.7752333333333082E-4</v>
      </c>
      <c r="AS267" s="476">
        <v>0</v>
      </c>
      <c r="AT267" s="476"/>
      <c r="AU267" s="476"/>
      <c r="AV267" s="476"/>
      <c r="AW267" s="184"/>
    </row>
    <row r="268" spans="1:49" ht="15">
      <c r="A268" s="82"/>
      <c r="B268" s="82"/>
      <c r="C268" s="82"/>
      <c r="D268" s="82"/>
      <c r="E268" s="82" t="s">
        <v>1393</v>
      </c>
      <c r="F268" s="82"/>
      <c r="G268" s="82" t="s">
        <v>302</v>
      </c>
      <c r="H268" s="82" t="s">
        <v>310</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v>-3.7219858333333335E-2</v>
      </c>
      <c r="AS268" s="476">
        <v>-8.0077333333333344E-3</v>
      </c>
      <c r="AT268" s="476"/>
      <c r="AU268" s="476"/>
      <c r="AV268" s="476"/>
      <c r="AW268" s="184"/>
    </row>
    <row r="269" spans="1:49" ht="15">
      <c r="A269" s="82"/>
      <c r="B269" s="82"/>
      <c r="C269" s="82"/>
      <c r="D269" s="82"/>
      <c r="E269" s="131" t="s">
        <v>311</v>
      </c>
      <c r="F269" s="34"/>
      <c r="G269" s="7" t="s">
        <v>312</v>
      </c>
      <c r="H269" s="34"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c r="AR269" s="476"/>
      <c r="AS269" s="476"/>
      <c r="AT269" s="476"/>
      <c r="AU269" s="476"/>
      <c r="AV269" s="476"/>
      <c r="AW269" s="184"/>
    </row>
    <row r="270" spans="1:49" ht="15">
      <c r="A270" s="82"/>
      <c r="B270" s="82"/>
      <c r="C270" s="82"/>
      <c r="D270" s="82"/>
      <c r="E270" s="131" t="s">
        <v>314</v>
      </c>
      <c r="F270" s="34"/>
      <c r="G270" s="7" t="s">
        <v>312</v>
      </c>
      <c r="H270" s="34" t="s">
        <v>315</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c r="AS270" s="476"/>
      <c r="AT270" s="476"/>
      <c r="AU270" s="476"/>
      <c r="AV270" s="476"/>
      <c r="AW270" s="184"/>
    </row>
    <row r="271" spans="1:49" ht="15">
      <c r="A271" s="82"/>
      <c r="B271" s="82"/>
      <c r="C271" s="82"/>
      <c r="D271" s="82"/>
      <c r="E271" s="82" t="s">
        <v>316</v>
      </c>
      <c r="F271" s="2"/>
      <c r="G271" s="82" t="s">
        <v>209</v>
      </c>
      <c r="H271" s="82"/>
      <c r="I271" s="409">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317</v>
      </c>
      <c r="F272" s="2"/>
      <c r="G272" s="82" t="s">
        <v>209</v>
      </c>
      <c r="H272" s="82"/>
      <c r="I272" s="409">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318</v>
      </c>
      <c r="F273" s="82"/>
      <c r="G273" s="82" t="s">
        <v>209</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319</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320</v>
      </c>
      <c r="F277" s="82"/>
      <c r="G277" s="82" t="s">
        <v>105</v>
      </c>
      <c r="H277" s="82" t="s">
        <v>321</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v>-7.4902841129978519</v>
      </c>
      <c r="AS277" s="476">
        <v>-13.85742314165349</v>
      </c>
      <c r="AT277" s="476">
        <v>-16.391682717885182</v>
      </c>
      <c r="AU277" s="476">
        <v>-13.326443031526201</v>
      </c>
      <c r="AV277" s="476">
        <v>-12.194089871593816</v>
      </c>
      <c r="AW277" s="184"/>
    </row>
    <row r="278" spans="1:49" ht="15">
      <c r="A278" s="82"/>
      <c r="B278" s="82"/>
      <c r="C278" s="82"/>
      <c r="D278" s="82"/>
      <c r="E278" s="82" t="s">
        <v>322</v>
      </c>
      <c r="F278" s="82"/>
      <c r="G278" s="21" t="s">
        <v>302</v>
      </c>
      <c r="H278" s="82" t="s">
        <v>323</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v>1088.3004290000001</v>
      </c>
      <c r="AS278" s="476">
        <v>1060.8897999999999</v>
      </c>
      <c r="AT278" s="476">
        <v>1318.623</v>
      </c>
      <c r="AU278" s="476">
        <v>1402.528</v>
      </c>
      <c r="AV278" s="476">
        <v>1566.8589999999999</v>
      </c>
      <c r="AW278" s="184"/>
    </row>
    <row r="279" spans="1:49" ht="15">
      <c r="A279" s="82"/>
      <c r="B279" s="82"/>
      <c r="C279" s="82"/>
      <c r="D279" s="82"/>
      <c r="E279" s="82" t="s">
        <v>324</v>
      </c>
      <c r="F279" s="82"/>
      <c r="G279" s="21" t="s">
        <v>302</v>
      </c>
      <c r="H279" s="82" t="s">
        <v>325</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v>18.307000000000002</v>
      </c>
      <c r="AS279" s="476">
        <v>32.593967244983794</v>
      </c>
      <c r="AT279" s="476">
        <v>38.851299999999995</v>
      </c>
      <c r="AU279" s="476">
        <v>47.974300000000014</v>
      </c>
      <c r="AV279" s="476">
        <v>54.565899999999999</v>
      </c>
      <c r="AW279" s="184"/>
    </row>
    <row r="280" spans="1:49" ht="15">
      <c r="A280" s="82"/>
      <c r="B280" s="82"/>
      <c r="C280" s="82"/>
      <c r="D280" s="82"/>
      <c r="E280" s="82" t="s">
        <v>326</v>
      </c>
      <c r="F280" s="82"/>
      <c r="G280" s="21" t="s">
        <v>302</v>
      </c>
      <c r="H280" s="82" t="s">
        <v>327</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328</v>
      </c>
      <c r="F282" s="82"/>
      <c r="G282" s="21" t="s">
        <v>302</v>
      </c>
      <c r="H282" s="82" t="s">
        <v>329</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v>0</v>
      </c>
      <c r="AS282" s="476">
        <v>-14.33608961078</v>
      </c>
      <c r="AT282" s="476">
        <v>-35.064721251691175</v>
      </c>
      <c r="AU282" s="476">
        <v>-34.515580757686479</v>
      </c>
      <c r="AV282" s="476">
        <v>-22.960643693198399</v>
      </c>
      <c r="AW282" s="184"/>
    </row>
    <row r="283" spans="1:49" ht="15">
      <c r="A283" s="82"/>
      <c r="B283" s="82"/>
      <c r="C283" s="82"/>
      <c r="D283" s="82"/>
      <c r="E283" s="82" t="s">
        <v>330</v>
      </c>
      <c r="F283" s="82"/>
      <c r="G283" s="21" t="s">
        <v>302</v>
      </c>
      <c r="H283" s="82" t="s">
        <v>331</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-14.440593318360751</v>
      </c>
      <c r="AT283" s="476">
        <v>-19.856813126733492</v>
      </c>
      <c r="AU283" s="476">
        <v>-32.069628689496476</v>
      </c>
      <c r="AV283" s="476">
        <v>-32.37592118927568</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332</v>
      </c>
      <c r="F285" s="86"/>
      <c r="G285" s="82" t="s">
        <v>209</v>
      </c>
      <c r="H285" s="2" t="s">
        <v>333</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v>0.25</v>
      </c>
      <c r="AS285" s="420">
        <v>0.25</v>
      </c>
      <c r="AT285" s="420">
        <v>0.25</v>
      </c>
      <c r="AU285" s="420">
        <v>0.25</v>
      </c>
      <c r="AV285" s="420">
        <v>0.25</v>
      </c>
      <c r="AW285" s="184"/>
    </row>
    <row r="286" spans="1:49" ht="15">
      <c r="A286" s="82"/>
      <c r="B286" s="82"/>
      <c r="C286" s="82"/>
      <c r="D286" s="82"/>
      <c r="E286" s="7" t="s">
        <v>334</v>
      </c>
      <c r="F286" s="86"/>
      <c r="G286" s="82" t="s">
        <v>209</v>
      </c>
      <c r="H286" s="7" t="s">
        <v>335</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0.18</v>
      </c>
      <c r="AS286" s="420">
        <v>0.18</v>
      </c>
      <c r="AT286" s="420">
        <v>0.18</v>
      </c>
      <c r="AU286" s="420">
        <v>0.18</v>
      </c>
      <c r="AV286" s="420">
        <v>0.18</v>
      </c>
      <c r="AW286" s="184"/>
    </row>
    <row r="287" spans="1:49" ht="15">
      <c r="A287" s="82"/>
      <c r="B287" s="82"/>
      <c r="C287" s="82"/>
      <c r="D287" s="82"/>
      <c r="E287" s="7" t="s">
        <v>336</v>
      </c>
      <c r="F287" s="86"/>
      <c r="G287" s="82" t="s">
        <v>209</v>
      </c>
      <c r="H287" s="7" t="s">
        <v>337</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0.06</v>
      </c>
      <c r="AS287" s="420">
        <v>0.06</v>
      </c>
      <c r="AT287" s="420">
        <v>0.06</v>
      </c>
      <c r="AU287" s="420">
        <v>0.06</v>
      </c>
      <c r="AV287" s="420">
        <v>0.06</v>
      </c>
      <c r="AW287" s="184"/>
    </row>
    <row r="288" spans="1:49" ht="15">
      <c r="A288" s="82"/>
      <c r="B288" s="82"/>
      <c r="C288" s="82"/>
      <c r="D288" s="82"/>
      <c r="E288" s="7" t="s">
        <v>338</v>
      </c>
      <c r="F288" s="86"/>
      <c r="G288" s="82" t="s">
        <v>209</v>
      </c>
      <c r="H288" s="7" t="s">
        <v>339</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0.03</v>
      </c>
      <c r="AS288" s="420">
        <v>0.03</v>
      </c>
      <c r="AT288" s="420">
        <v>0.03</v>
      </c>
      <c r="AU288" s="420">
        <v>0.03</v>
      </c>
      <c r="AV288" s="420">
        <v>0.03</v>
      </c>
      <c r="AW288" s="184"/>
    </row>
    <row r="289" spans="1:49" ht="15">
      <c r="A289" s="82"/>
      <c r="B289" s="82"/>
      <c r="C289" s="82"/>
      <c r="D289" s="82"/>
      <c r="E289" s="7" t="s">
        <v>340</v>
      </c>
      <c r="F289" s="86"/>
      <c r="G289" s="82" t="s">
        <v>209</v>
      </c>
      <c r="H289" s="7" t="s">
        <v>341</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2.2200000000000001E-2</v>
      </c>
      <c r="AS289" s="420">
        <v>2.2200000000000001E-2</v>
      </c>
      <c r="AT289" s="420">
        <v>2.2200000000000001E-2</v>
      </c>
      <c r="AU289" s="420">
        <v>2.2200000000000001E-2</v>
      </c>
      <c r="AV289" s="420">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342</v>
      </c>
      <c r="F291" s="82"/>
      <c r="G291" s="82" t="s">
        <v>105</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v>1.368578491828039</v>
      </c>
      <c r="AS291" s="528">
        <v>1.4008338175049104</v>
      </c>
      <c r="AT291" s="528">
        <v>1.2944169556388054</v>
      </c>
      <c r="AU291" s="528">
        <v>1.1615288221705597</v>
      </c>
      <c r="AV291" s="528">
        <v>1.0171476978779488</v>
      </c>
      <c r="AW291" s="184"/>
    </row>
    <row r="292" spans="1:49" ht="15">
      <c r="A292" s="82"/>
      <c r="B292" s="82"/>
      <c r="C292" s="82"/>
      <c r="D292" s="82"/>
      <c r="E292" s="82" t="s">
        <v>343</v>
      </c>
      <c r="F292" s="82"/>
      <c r="G292" s="82" t="s">
        <v>209</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v>0.65</v>
      </c>
      <c r="AS292" s="410">
        <v>0.64</v>
      </c>
      <c r="AT292" s="410">
        <v>0.63</v>
      </c>
      <c r="AU292" s="410">
        <v>0.61</v>
      </c>
      <c r="AV292" s="410">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344</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345</v>
      </c>
      <c r="F295" s="82"/>
      <c r="G295" s="82" t="s">
        <v>209</v>
      </c>
      <c r="H295" s="82" t="s">
        <v>346</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v>0</v>
      </c>
      <c r="AS295" s="508">
        <v>0</v>
      </c>
      <c r="AT295" s="508">
        <v>0</v>
      </c>
      <c r="AU295" s="508">
        <v>0</v>
      </c>
      <c r="AV295" s="508">
        <v>0</v>
      </c>
      <c r="AW295" s="184"/>
    </row>
    <row r="296" spans="1:49" ht="15">
      <c r="A296" s="82"/>
      <c r="B296" s="82"/>
      <c r="C296" s="82"/>
      <c r="D296" s="82"/>
      <c r="E296" s="82" t="s">
        <v>347</v>
      </c>
      <c r="F296" s="82"/>
      <c r="G296" s="82" t="s">
        <v>209</v>
      </c>
      <c r="H296" s="82" t="s">
        <v>346</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0</v>
      </c>
      <c r="AS296" s="508">
        <v>0</v>
      </c>
      <c r="AT296" s="508">
        <v>0</v>
      </c>
      <c r="AU296" s="508">
        <v>0</v>
      </c>
      <c r="AV296" s="508">
        <v>0</v>
      </c>
      <c r="AW296" s="184"/>
    </row>
    <row r="297" spans="1:49" ht="15">
      <c r="A297" s="82"/>
      <c r="B297" s="82"/>
      <c r="C297" s="82"/>
      <c r="D297" s="82"/>
      <c r="E297" s="82" t="s">
        <v>348</v>
      </c>
      <c r="F297" s="82"/>
      <c r="G297" s="82" t="s">
        <v>209</v>
      </c>
      <c r="H297" s="82" t="s">
        <v>346</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0.89051094773157491</v>
      </c>
      <c r="AS297" s="508">
        <v>0.89692531944568032</v>
      </c>
      <c r="AT297" s="508">
        <v>0.86823665271887929</v>
      </c>
      <c r="AU297" s="508">
        <v>0.83924483688325469</v>
      </c>
      <c r="AV297" s="508">
        <v>0.84825113336575697</v>
      </c>
      <c r="AW297" s="184"/>
    </row>
    <row r="298" spans="1:49" ht="15">
      <c r="A298" s="82"/>
      <c r="B298" s="82"/>
      <c r="C298" s="82"/>
      <c r="D298" s="82"/>
      <c r="E298" s="82" t="s">
        <v>349</v>
      </c>
      <c r="F298" s="82"/>
      <c r="G298" s="82" t="s">
        <v>209</v>
      </c>
      <c r="H298" s="82" t="s">
        <v>346</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0</v>
      </c>
      <c r="AS298" s="508">
        <v>0</v>
      </c>
      <c r="AT298" s="508">
        <v>0</v>
      </c>
      <c r="AU298" s="508">
        <v>0</v>
      </c>
      <c r="AV298" s="508">
        <v>0</v>
      </c>
      <c r="AW298" s="184"/>
    </row>
    <row r="299" spans="1:49" ht="15">
      <c r="A299" s="82"/>
      <c r="B299" s="82"/>
      <c r="C299" s="82"/>
      <c r="D299" s="82"/>
      <c r="E299" s="82" t="s">
        <v>350</v>
      </c>
      <c r="F299" s="82"/>
      <c r="G299" s="82" t="s">
        <v>209</v>
      </c>
      <c r="H299" s="82" t="s">
        <v>346</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5">
      <c r="A300" s="82"/>
      <c r="B300" s="82"/>
      <c r="C300" s="82"/>
      <c r="D300" s="82"/>
      <c r="E300" s="82" t="s">
        <v>351</v>
      </c>
      <c r="F300" s="82"/>
      <c r="G300" s="82" t="s">
        <v>209</v>
      </c>
      <c r="H300" s="82" t="s">
        <v>346</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5">
      <c r="A301" s="82"/>
      <c r="B301" s="82"/>
      <c r="C301" s="82"/>
      <c r="D301" s="82"/>
      <c r="E301" s="82" t="s">
        <v>352</v>
      </c>
      <c r="F301" s="82"/>
      <c r="G301" s="82" t="s">
        <v>209</v>
      </c>
      <c r="H301" s="82" t="s">
        <v>346</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5.9748259472538166E-2</v>
      </c>
      <c r="AS301" s="508">
        <v>9.7325541813040248E-2</v>
      </c>
      <c r="AT301" s="508">
        <v>8.5122279651948365E-2</v>
      </c>
      <c r="AU301" s="508">
        <v>5.5752682505568259E-2</v>
      </c>
      <c r="AV301" s="508">
        <v>4.4303235938766908E-2</v>
      </c>
      <c r="AW301" s="184"/>
    </row>
    <row r="302" spans="1:49" ht="15">
      <c r="A302" s="82"/>
      <c r="B302" s="82"/>
      <c r="C302" s="82"/>
      <c r="D302" s="82"/>
      <c r="E302" s="82" t="s">
        <v>353</v>
      </c>
      <c r="F302" s="82"/>
      <c r="G302" s="82" t="s">
        <v>209</v>
      </c>
      <c r="H302" s="82" t="s">
        <v>354</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1</v>
      </c>
      <c r="AS302" s="508">
        <v>0.98295837550141374</v>
      </c>
      <c r="AT302" s="508">
        <v>0.99105012435303219</v>
      </c>
      <c r="AU302" s="508">
        <v>0.99282565212892537</v>
      </c>
      <c r="AV302" s="508">
        <v>0.99335991055999839</v>
      </c>
      <c r="AW302" s="184"/>
    </row>
    <row r="303" spans="1:49" ht="15">
      <c r="A303" s="82"/>
      <c r="B303" s="82"/>
      <c r="C303" s="82"/>
      <c r="D303" s="82"/>
      <c r="E303" s="82" t="s">
        <v>355</v>
      </c>
      <c r="F303" s="82"/>
      <c r="G303" s="82" t="s">
        <v>209</v>
      </c>
      <c r="H303" s="82" t="s">
        <v>354</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0.16204768170376446</v>
      </c>
      <c r="AS303" s="508">
        <v>0.13797080461446665</v>
      </c>
      <c r="AT303" s="508">
        <v>0.15015574164998677</v>
      </c>
      <c r="AU303" s="508">
        <v>2.9903455727379825E-2</v>
      </c>
      <c r="AV303" s="508">
        <v>2.5318477041986972E-2</v>
      </c>
      <c r="AW303" s="184"/>
    </row>
    <row r="304" spans="1:49" ht="15">
      <c r="A304" s="82"/>
      <c r="B304" s="82"/>
      <c r="C304" s="82"/>
      <c r="D304" s="82"/>
      <c r="E304" s="82" t="s">
        <v>356</v>
      </c>
      <c r="F304" s="82"/>
      <c r="G304" s="82" t="s">
        <v>209</v>
      </c>
      <c r="H304" s="82" t="s">
        <v>354</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2.2918863844234713E-3</v>
      </c>
      <c r="AS304" s="508">
        <v>2.0325247128205564E-3</v>
      </c>
      <c r="AT304" s="508">
        <v>7.9850938866207633E-3</v>
      </c>
      <c r="AU304" s="508">
        <v>1.1210986213813204E-2</v>
      </c>
      <c r="AV304" s="508">
        <v>1.543395069065096E-2</v>
      </c>
      <c r="AW304" s="184"/>
    </row>
    <row r="305" spans="1:49" ht="15">
      <c r="A305" s="82"/>
      <c r="B305" s="82"/>
      <c r="C305" s="82"/>
      <c r="D305" s="82"/>
      <c r="E305" s="82" t="s">
        <v>357</v>
      </c>
      <c r="F305" s="82"/>
      <c r="G305" s="82" t="s">
        <v>209</v>
      </c>
      <c r="H305" s="82" t="s">
        <v>354</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0</v>
      </c>
      <c r="AS305" s="508">
        <v>0</v>
      </c>
      <c r="AT305" s="508">
        <v>0</v>
      </c>
      <c r="AU305" s="508">
        <v>0</v>
      </c>
      <c r="AV305" s="508">
        <v>0</v>
      </c>
      <c r="AW305" s="184"/>
    </row>
    <row r="306" spans="1:49" ht="15">
      <c r="A306" s="82"/>
      <c r="B306" s="82"/>
      <c r="C306" s="82"/>
      <c r="D306" s="82"/>
      <c r="E306" s="82" t="s">
        <v>358</v>
      </c>
      <c r="F306" s="82"/>
      <c r="G306" s="82" t="s">
        <v>209</v>
      </c>
      <c r="H306" s="82" t="s">
        <v>354</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5">
      <c r="A307" s="82"/>
      <c r="B307" s="82"/>
      <c r="C307" s="82"/>
      <c r="D307" s="82"/>
      <c r="E307" s="82" t="s">
        <v>359</v>
      </c>
      <c r="F307" s="82"/>
      <c r="G307" s="82" t="s">
        <v>209</v>
      </c>
      <c r="H307" s="82" t="s">
        <v>354</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5">
      <c r="A308" s="82"/>
      <c r="B308" s="82"/>
      <c r="C308" s="82"/>
      <c r="D308" s="82"/>
      <c r="E308" s="82" t="s">
        <v>360</v>
      </c>
      <c r="F308" s="82"/>
      <c r="G308" s="82" t="s">
        <v>209</v>
      </c>
      <c r="H308" s="82" t="s">
        <v>354</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0.10472380946110113</v>
      </c>
      <c r="AS308" s="508">
        <v>9.3047178363027547E-2</v>
      </c>
      <c r="AT308" s="508">
        <v>0.13304953306839953</v>
      </c>
      <c r="AU308" s="508">
        <v>0.12604820091454327</v>
      </c>
      <c r="AV308" s="508">
        <v>0.14331511013593765</v>
      </c>
      <c r="AW308" s="184"/>
    </row>
    <row r="309" spans="1:49" ht="15">
      <c r="A309" s="82"/>
      <c r="B309" s="82"/>
      <c r="C309" s="82"/>
      <c r="D309" s="82"/>
      <c r="E309" s="82" t="s">
        <v>361</v>
      </c>
      <c r="F309" s="82"/>
      <c r="G309" s="82" t="s">
        <v>209</v>
      </c>
      <c r="H309" s="82" t="s">
        <v>362</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0</v>
      </c>
      <c r="AS309" s="508">
        <v>0</v>
      </c>
      <c r="AT309" s="508">
        <v>0</v>
      </c>
      <c r="AU309" s="508">
        <v>0</v>
      </c>
      <c r="AV309" s="508">
        <v>0</v>
      </c>
      <c r="AW309" s="184"/>
    </row>
    <row r="310" spans="1:49" ht="15">
      <c r="A310" s="82"/>
      <c r="B310" s="82"/>
      <c r="C310" s="82"/>
      <c r="D310" s="82"/>
      <c r="E310" s="82" t="s">
        <v>363</v>
      </c>
      <c r="F310" s="82"/>
      <c r="G310" s="82" t="s">
        <v>209</v>
      </c>
      <c r="H310" s="82" t="s">
        <v>362</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0.75134834293802288</v>
      </c>
      <c r="AS310" s="508">
        <v>0.81187839885252144</v>
      </c>
      <c r="AT310" s="508">
        <v>0.79746638935823699</v>
      </c>
      <c r="AU310" s="508">
        <v>0.92634256404222348</v>
      </c>
      <c r="AV310" s="508">
        <v>0.92637198212258631</v>
      </c>
      <c r="AW310" s="184"/>
    </row>
    <row r="311" spans="1:49" ht="15">
      <c r="A311" s="82"/>
      <c r="B311" s="82"/>
      <c r="C311" s="82"/>
      <c r="D311" s="82"/>
      <c r="E311" s="82" t="s">
        <v>364</v>
      </c>
      <c r="F311" s="82"/>
      <c r="G311" s="82" t="s">
        <v>209</v>
      </c>
      <c r="H311" s="82" t="s">
        <v>362</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8.4328118935429755E-2</v>
      </c>
      <c r="AS311" s="508">
        <v>5.6748131590629643E-2</v>
      </c>
      <c r="AT311" s="508">
        <v>6.6984832501669159E-2</v>
      </c>
      <c r="AU311" s="508">
        <v>9.6345325544387184E-2</v>
      </c>
      <c r="AV311" s="508">
        <v>0.13277081781444952</v>
      </c>
      <c r="AW311" s="184"/>
    </row>
    <row r="312" spans="1:49" ht="15">
      <c r="A312" s="82"/>
      <c r="B312" s="82"/>
      <c r="C312" s="82"/>
      <c r="D312" s="82"/>
      <c r="E312" s="82" t="s">
        <v>365</v>
      </c>
      <c r="F312" s="82"/>
      <c r="G312" s="82" t="s">
        <v>209</v>
      </c>
      <c r="H312" s="82" t="s">
        <v>362</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0.84817558658320957</v>
      </c>
      <c r="AS312" s="508">
        <v>0.89487481213663789</v>
      </c>
      <c r="AT312" s="508">
        <v>0.891084323003977</v>
      </c>
      <c r="AU312" s="508">
        <v>0.89101280620467493</v>
      </c>
      <c r="AV312" s="508">
        <v>0.89093447948170901</v>
      </c>
      <c r="AW312" s="184"/>
    </row>
    <row r="313" spans="1:49" ht="15">
      <c r="A313" s="82"/>
      <c r="B313" s="82"/>
      <c r="C313" s="82"/>
      <c r="D313" s="82"/>
      <c r="E313" s="82" t="s">
        <v>366</v>
      </c>
      <c r="F313" s="82"/>
      <c r="G313" s="82" t="s">
        <v>209</v>
      </c>
      <c r="H313" s="82" t="s">
        <v>362</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0.16610984797084002</v>
      </c>
      <c r="AS313" s="508">
        <v>0.19190018199373027</v>
      </c>
      <c r="AT313" s="508">
        <v>0.14932899594720636</v>
      </c>
      <c r="AU313" s="508">
        <v>0.22926356376475418</v>
      </c>
      <c r="AV313" s="508">
        <v>0.21575161744461704</v>
      </c>
      <c r="AW313" s="184"/>
    </row>
    <row r="314" spans="1:49" ht="15">
      <c r="A314" s="82"/>
      <c r="B314" s="82"/>
      <c r="C314" s="82"/>
      <c r="D314" s="82"/>
      <c r="E314" s="82" t="s">
        <v>367</v>
      </c>
      <c r="F314" s="82"/>
      <c r="G314" s="82" t="s">
        <v>209</v>
      </c>
      <c r="H314" s="82" t="s">
        <v>362</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0</v>
      </c>
      <c r="AS314" s="508">
        <v>0</v>
      </c>
      <c r="AT314" s="508">
        <v>0</v>
      </c>
      <c r="AU314" s="508">
        <v>0</v>
      </c>
      <c r="AV314" s="508">
        <v>0</v>
      </c>
      <c r="AW314" s="184"/>
    </row>
    <row r="315" spans="1:49" ht="15">
      <c r="A315" s="82"/>
      <c r="B315" s="82"/>
      <c r="C315" s="82"/>
      <c r="D315" s="82"/>
      <c r="E315" s="82" t="s">
        <v>368</v>
      </c>
      <c r="F315" s="82"/>
      <c r="G315" s="82" t="s">
        <v>209</v>
      </c>
      <c r="H315" s="82" t="s">
        <v>362</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0.33446487755866072</v>
      </c>
      <c r="AS315" s="508">
        <v>0.31521089587898038</v>
      </c>
      <c r="AT315" s="508">
        <v>0.28261447072912044</v>
      </c>
      <c r="AU315" s="508">
        <v>0.32137060294710595</v>
      </c>
      <c r="AV315" s="508">
        <v>0.31828864256238715</v>
      </c>
      <c r="AW315" s="184"/>
    </row>
    <row r="316" spans="1:49" ht="15">
      <c r="A316" s="82"/>
      <c r="B316" s="82"/>
      <c r="C316" s="82"/>
      <c r="D316" s="82"/>
      <c r="E316" s="82" t="s">
        <v>369</v>
      </c>
      <c r="F316" s="82"/>
      <c r="G316" s="82" t="s">
        <v>209</v>
      </c>
      <c r="H316" s="82" t="s">
        <v>370</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0</v>
      </c>
      <c r="AS316" s="508">
        <v>0</v>
      </c>
      <c r="AT316" s="508">
        <v>0</v>
      </c>
      <c r="AU316" s="508">
        <v>0</v>
      </c>
      <c r="AV316" s="508">
        <v>0</v>
      </c>
      <c r="AW316" s="184"/>
    </row>
    <row r="317" spans="1:49" ht="15">
      <c r="A317" s="82"/>
      <c r="B317" s="82"/>
      <c r="C317" s="82"/>
      <c r="D317" s="82"/>
      <c r="E317" s="82" t="s">
        <v>371</v>
      </c>
      <c r="F317" s="82"/>
      <c r="G317" s="82" t="s">
        <v>209</v>
      </c>
      <c r="H317" s="82" t="s">
        <v>370</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3.8730722588878871E-2</v>
      </c>
      <c r="AS317" s="508">
        <v>2.6785898674712056E-2</v>
      </c>
      <c r="AT317" s="508">
        <v>2.8603299131754713E-2</v>
      </c>
      <c r="AU317" s="508">
        <v>2.3883129366855677E-2</v>
      </c>
      <c r="AV317" s="508">
        <v>2.6360174221380719E-2</v>
      </c>
      <c r="AW317" s="184"/>
    </row>
    <row r="318" spans="1:49" ht="15">
      <c r="A318" s="82"/>
      <c r="B318" s="82"/>
      <c r="C318" s="82"/>
      <c r="D318" s="82"/>
      <c r="E318" s="82" t="s">
        <v>372</v>
      </c>
      <c r="F318" s="82"/>
      <c r="G318" s="82" t="s">
        <v>209</v>
      </c>
      <c r="H318" s="82" t="s">
        <v>370</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2.2869046948571822E-2</v>
      </c>
      <c r="AS318" s="508">
        <v>4.4294024250869382E-2</v>
      </c>
      <c r="AT318" s="508">
        <v>5.6793420892830758E-2</v>
      </c>
      <c r="AU318" s="508">
        <v>5.3198851358545025E-2</v>
      </c>
      <c r="AV318" s="508">
        <v>3.5440981291425398E-3</v>
      </c>
      <c r="AW318" s="184"/>
    </row>
    <row r="319" spans="1:49" ht="15">
      <c r="A319" s="82"/>
      <c r="B319" s="82"/>
      <c r="C319" s="82"/>
      <c r="D319" s="82"/>
      <c r="E319" s="82" t="s">
        <v>373</v>
      </c>
      <c r="F319" s="82"/>
      <c r="G319" s="82" t="s">
        <v>209</v>
      </c>
      <c r="H319" s="82" t="s">
        <v>370</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0</v>
      </c>
      <c r="AS319" s="508">
        <v>0</v>
      </c>
      <c r="AT319" s="508">
        <v>0</v>
      </c>
      <c r="AU319" s="508">
        <v>0</v>
      </c>
      <c r="AV319" s="508">
        <v>0</v>
      </c>
      <c r="AW319" s="184"/>
    </row>
    <row r="320" spans="1:49" ht="15">
      <c r="A320" s="82"/>
      <c r="B320" s="82"/>
      <c r="C320" s="82"/>
      <c r="D320" s="82"/>
      <c r="E320" s="82" t="s">
        <v>374</v>
      </c>
      <c r="F320" s="82"/>
      <c r="G320" s="82" t="s">
        <v>209</v>
      </c>
      <c r="H320" s="82" t="s">
        <v>370</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5">
      <c r="A321" s="82"/>
      <c r="B321" s="82"/>
      <c r="C321" s="82"/>
      <c r="D321" s="82"/>
      <c r="E321" s="82" t="s">
        <v>375</v>
      </c>
      <c r="F321" s="82"/>
      <c r="G321" s="82" t="s">
        <v>209</v>
      </c>
      <c r="H321" s="82" t="s">
        <v>370</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5">
      <c r="A322" s="82"/>
      <c r="B322" s="82"/>
      <c r="C322" s="82"/>
      <c r="D322" s="82"/>
      <c r="E322" s="82" t="s">
        <v>376</v>
      </c>
      <c r="F322" s="82"/>
      <c r="G322" s="82" t="s">
        <v>209</v>
      </c>
      <c r="H322" s="82" t="s">
        <v>370</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7.9976006777101767E-3</v>
      </c>
      <c r="AS322" s="508">
        <v>1.1253952152105475E-2</v>
      </c>
      <c r="AT322" s="508">
        <v>1.1599861858187115E-2</v>
      </c>
      <c r="AU322" s="508">
        <v>9.2667460869408236E-3</v>
      </c>
      <c r="AV322" s="508">
        <v>6.3848451895463735E-3</v>
      </c>
      <c r="AW322" s="184"/>
    </row>
    <row r="323" spans="1:49" ht="15">
      <c r="A323" s="82"/>
      <c r="B323" s="82"/>
      <c r="C323" s="82"/>
      <c r="D323" s="82"/>
      <c r="E323" s="82" t="s">
        <v>377</v>
      </c>
      <c r="F323" s="82"/>
      <c r="G323" s="82" t="s">
        <v>209</v>
      </c>
      <c r="H323" s="82" t="s">
        <v>378</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0</v>
      </c>
      <c r="AS323" s="508">
        <v>1.7041624498586275E-2</v>
      </c>
      <c r="AT323" s="508">
        <v>8.9498756469677723E-3</v>
      </c>
      <c r="AU323" s="508">
        <v>7.1743478710746423E-3</v>
      </c>
      <c r="AV323" s="508">
        <v>6.6400894400015934E-3</v>
      </c>
      <c r="AW323" s="184"/>
    </row>
    <row r="324" spans="1:49" ht="15">
      <c r="A324" s="82"/>
      <c r="B324" s="82"/>
      <c r="C324" s="82"/>
      <c r="D324" s="82"/>
      <c r="E324" s="82" t="s">
        <v>379</v>
      </c>
      <c r="F324" s="82"/>
      <c r="G324" s="82" t="s">
        <v>209</v>
      </c>
      <c r="H324" s="82" t="s">
        <v>378</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0</v>
      </c>
      <c r="AS324" s="508">
        <v>0</v>
      </c>
      <c r="AT324" s="508">
        <v>0</v>
      </c>
      <c r="AU324" s="508">
        <v>0</v>
      </c>
      <c r="AV324" s="508">
        <v>0</v>
      </c>
      <c r="AW324" s="184"/>
    </row>
    <row r="325" spans="1:49" ht="15">
      <c r="A325" s="82"/>
      <c r="B325" s="82"/>
      <c r="C325" s="82"/>
      <c r="D325" s="82"/>
      <c r="E325" s="82" t="s">
        <v>380</v>
      </c>
      <c r="F325" s="82"/>
      <c r="G325" s="82" t="s">
        <v>209</v>
      </c>
      <c r="H325" s="82" t="s">
        <v>378</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0</v>
      </c>
      <c r="AS325" s="508">
        <v>0</v>
      </c>
      <c r="AT325" s="508">
        <v>0</v>
      </c>
      <c r="AU325" s="508">
        <v>0</v>
      </c>
      <c r="AV325" s="508">
        <v>0</v>
      </c>
      <c r="AW325" s="184"/>
    </row>
    <row r="326" spans="1:49" ht="15">
      <c r="A326" s="82"/>
      <c r="B326" s="82"/>
      <c r="C326" s="82"/>
      <c r="D326" s="82"/>
      <c r="E326" s="82" t="s">
        <v>381</v>
      </c>
      <c r="F326" s="82"/>
      <c r="G326" s="82" t="s">
        <v>209</v>
      </c>
      <c r="H326" s="82" t="s">
        <v>378</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0.15182441341679054</v>
      </c>
      <c r="AS326" s="508">
        <v>0.10512518786336211</v>
      </c>
      <c r="AT326" s="508">
        <v>0.108915676996023</v>
      </c>
      <c r="AU326" s="508">
        <v>0.10898719379532505</v>
      </c>
      <c r="AV326" s="508">
        <v>0.10906552051829099</v>
      </c>
      <c r="AW326" s="184"/>
    </row>
    <row r="327" spans="1:49" ht="15">
      <c r="A327" s="82"/>
      <c r="B327" s="82"/>
      <c r="C327" s="82"/>
      <c r="D327" s="82"/>
      <c r="E327" s="82" t="s">
        <v>382</v>
      </c>
      <c r="F327" s="82"/>
      <c r="G327" s="82" t="s">
        <v>209</v>
      </c>
      <c r="H327" s="82" t="s">
        <v>378</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0.83389015202915995</v>
      </c>
      <c r="AS327" s="508">
        <v>0.80809981800626962</v>
      </c>
      <c r="AT327" s="508">
        <v>0.85067100405279372</v>
      </c>
      <c r="AU327" s="508">
        <v>0.7707364362352459</v>
      </c>
      <c r="AV327" s="508">
        <v>0.78424838255538287</v>
      </c>
      <c r="AW327" s="184"/>
    </row>
    <row r="328" spans="1:49" ht="15">
      <c r="A328" s="82"/>
      <c r="B328" s="82"/>
      <c r="C328" s="82"/>
      <c r="D328" s="82"/>
      <c r="E328" s="82" t="s">
        <v>383</v>
      </c>
      <c r="F328" s="82"/>
      <c r="G328" s="82" t="s">
        <v>209</v>
      </c>
      <c r="H328" s="82" t="s">
        <v>378</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1</v>
      </c>
      <c r="AS328" s="508">
        <v>1</v>
      </c>
      <c r="AT328" s="508">
        <v>1</v>
      </c>
      <c r="AU328" s="508">
        <v>1</v>
      </c>
      <c r="AV328" s="508">
        <v>1</v>
      </c>
      <c r="AW328" s="184"/>
    </row>
    <row r="329" spans="1:49" ht="15">
      <c r="A329" s="82"/>
      <c r="B329" s="82"/>
      <c r="C329" s="82"/>
      <c r="D329" s="82"/>
      <c r="E329" s="82" t="s">
        <v>384</v>
      </c>
      <c r="F329" s="82"/>
      <c r="G329" s="82" t="s">
        <v>209</v>
      </c>
      <c r="H329" s="82" t="s">
        <v>378</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0.48508081331970088</v>
      </c>
      <c r="AS329" s="508">
        <v>0.47753829754240568</v>
      </c>
      <c r="AT329" s="508">
        <v>0.48260031685369392</v>
      </c>
      <c r="AU329" s="508">
        <v>0.48279218852499234</v>
      </c>
      <c r="AV329" s="508">
        <v>0.48254581851976136</v>
      </c>
      <c r="AW329" s="184"/>
    </row>
    <row r="330" spans="1:49" ht="15">
      <c r="A330" s="82"/>
      <c r="B330" s="82"/>
      <c r="C330" s="82"/>
      <c r="D330" s="82"/>
      <c r="E330" s="82" t="s">
        <v>385</v>
      </c>
      <c r="F330" s="82"/>
      <c r="G330" s="82" t="s">
        <v>209</v>
      </c>
      <c r="H330" s="82" t="s">
        <v>386</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v>
      </c>
      <c r="AS330" s="508">
        <v>0</v>
      </c>
      <c r="AT330" s="508">
        <v>0</v>
      </c>
      <c r="AU330" s="508">
        <v>0</v>
      </c>
      <c r="AV330" s="508">
        <v>0</v>
      </c>
      <c r="AW330" s="184"/>
    </row>
    <row r="331" spans="1:49" ht="15">
      <c r="A331" s="82"/>
      <c r="B331" s="82"/>
      <c r="C331" s="82"/>
      <c r="D331" s="82"/>
      <c r="E331" s="82" t="s">
        <v>387</v>
      </c>
      <c r="F331" s="82"/>
      <c r="G331" s="82" t="s">
        <v>209</v>
      </c>
      <c r="H331" s="82" t="s">
        <v>386</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4.7873252769333789E-2</v>
      </c>
      <c r="AS331" s="508">
        <v>2.3364897858299892E-2</v>
      </c>
      <c r="AT331" s="508">
        <v>2.3774569860021657E-2</v>
      </c>
      <c r="AU331" s="508">
        <v>1.9870850863541047E-2</v>
      </c>
      <c r="AV331" s="508">
        <v>2.1949366614045975E-2</v>
      </c>
      <c r="AW331" s="184"/>
    </row>
    <row r="332" spans="1:49" ht="15">
      <c r="A332" s="82"/>
      <c r="B332" s="82"/>
      <c r="C332" s="82"/>
      <c r="D332" s="82"/>
      <c r="E332" s="82" t="s">
        <v>388</v>
      </c>
      <c r="F332" s="82"/>
      <c r="G332" s="82" t="s">
        <v>209</v>
      </c>
      <c r="H332" s="82" t="s">
        <v>386</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0</v>
      </c>
      <c r="AS332" s="508">
        <v>0</v>
      </c>
      <c r="AT332" s="508">
        <v>0</v>
      </c>
      <c r="AU332" s="508">
        <v>0</v>
      </c>
      <c r="AV332" s="508">
        <v>0</v>
      </c>
      <c r="AW332" s="184"/>
    </row>
    <row r="333" spans="1:49" ht="15">
      <c r="A333" s="82"/>
      <c r="B333" s="82"/>
      <c r="C333" s="82"/>
      <c r="D333" s="82"/>
      <c r="E333" s="82" t="s">
        <v>389</v>
      </c>
      <c r="F333" s="82"/>
      <c r="G333" s="82" t="s">
        <v>209</v>
      </c>
      <c r="H333" s="82" t="s">
        <v>386</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0</v>
      </c>
      <c r="AS333" s="508">
        <v>0</v>
      </c>
      <c r="AT333" s="508">
        <v>0</v>
      </c>
      <c r="AU333" s="508">
        <v>0</v>
      </c>
      <c r="AV333" s="508">
        <v>0</v>
      </c>
      <c r="AW333" s="184"/>
    </row>
    <row r="334" spans="1:49" ht="15">
      <c r="A334" s="82"/>
      <c r="B334" s="82"/>
      <c r="C334" s="82"/>
      <c r="D334" s="82"/>
      <c r="E334" s="82" t="s">
        <v>390</v>
      </c>
      <c r="F334" s="82"/>
      <c r="G334" s="82" t="s">
        <v>209</v>
      </c>
      <c r="H334" s="82" t="s">
        <v>386</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5">
      <c r="A335" s="82"/>
      <c r="B335" s="82"/>
      <c r="C335" s="82"/>
      <c r="D335" s="82"/>
      <c r="E335" s="82" t="s">
        <v>391</v>
      </c>
      <c r="F335" s="82"/>
      <c r="G335" s="82" t="s">
        <v>209</v>
      </c>
      <c r="H335" s="82" t="s">
        <v>386</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5">
      <c r="A336" s="82"/>
      <c r="B336" s="82"/>
      <c r="C336" s="82"/>
      <c r="D336" s="82"/>
      <c r="E336" s="82" t="s">
        <v>392</v>
      </c>
      <c r="F336" s="82"/>
      <c r="G336" s="82" t="s">
        <v>209</v>
      </c>
      <c r="H336" s="82" t="s">
        <v>386</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7.9846395102888407E-3</v>
      </c>
      <c r="AS336" s="508">
        <v>5.6241342504406979E-3</v>
      </c>
      <c r="AT336" s="508">
        <v>5.0135378386505485E-3</v>
      </c>
      <c r="AU336" s="508">
        <v>4.7695790208494137E-3</v>
      </c>
      <c r="AV336" s="508">
        <v>5.1623476536005169E-3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393</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394</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395</v>
      </c>
      <c r="F341" s="82"/>
      <c r="G341" s="82" t="s">
        <v>396</v>
      </c>
      <c r="H341" s="82" t="s">
        <v>397</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v>5.9871572339243331</v>
      </c>
      <c r="AS341" s="184"/>
      <c r="AT341" s="184"/>
      <c r="AU341" s="184"/>
      <c r="AV341" s="184"/>
      <c r="AW341" s="184"/>
    </row>
    <row r="342" spans="1:49" ht="15">
      <c r="A342" s="82"/>
      <c r="B342" s="82"/>
      <c r="C342" s="82"/>
      <c r="D342" s="82"/>
      <c r="E342" s="346" t="s">
        <v>398</v>
      </c>
      <c r="F342" s="82"/>
      <c r="G342" s="82" t="s">
        <v>396</v>
      </c>
      <c r="H342" s="82" t="s">
        <v>399</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v>126.59248304640872</v>
      </c>
      <c r="AK342" s="476">
        <v>124.1395756931077</v>
      </c>
      <c r="AL342" s="476">
        <v>114.3234515156321</v>
      </c>
      <c r="AM342" s="476">
        <v>114.68899806594845</v>
      </c>
      <c r="AN342" s="476">
        <v>120.26330488923485</v>
      </c>
      <c r="AO342" s="476">
        <v>114.48238863471336</v>
      </c>
      <c r="AP342" s="476">
        <v>105.98149351769597</v>
      </c>
      <c r="AQ342" s="477">
        <v>95.922702533767264</v>
      </c>
      <c r="AR342" s="184"/>
      <c r="AS342" s="184"/>
      <c r="AT342" s="184"/>
      <c r="AU342" s="184"/>
      <c r="AV342" s="184"/>
      <c r="AW342" s="184"/>
    </row>
    <row r="343" spans="1:49" ht="15">
      <c r="A343" s="82"/>
      <c r="B343" s="82"/>
      <c r="C343" s="82"/>
      <c r="D343" s="82"/>
      <c r="E343" s="293" t="s">
        <v>400</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401</v>
      </c>
      <c r="F344" s="82"/>
      <c r="G344" s="82" t="s">
        <v>302</v>
      </c>
      <c r="H344" s="82" t="s">
        <v>402</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v>46.080796007047375</v>
      </c>
      <c r="AS344" s="184"/>
      <c r="AT344" s="184"/>
      <c r="AU344" s="184"/>
      <c r="AV344" s="184"/>
      <c r="AW344" s="184"/>
    </row>
    <row r="345" spans="1:49" ht="15">
      <c r="A345" s="82"/>
      <c r="B345" s="82"/>
      <c r="C345" s="82"/>
      <c r="D345" s="82"/>
      <c r="E345" s="346" t="s">
        <v>403</v>
      </c>
      <c r="F345" s="82"/>
      <c r="G345" s="82" t="s">
        <v>302</v>
      </c>
      <c r="H345" s="82" t="s">
        <v>404</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266.29227843296019</v>
      </c>
      <c r="AS345" s="184"/>
      <c r="AT345" s="184"/>
      <c r="AU345" s="184"/>
      <c r="AV345" s="184"/>
      <c r="AW345" s="184"/>
    </row>
    <row r="346" spans="1:49" ht="15">
      <c r="A346" s="82"/>
      <c r="B346" s="82"/>
      <c r="C346" s="82"/>
      <c r="D346" s="82"/>
      <c r="E346" s="346" t="s">
        <v>405</v>
      </c>
      <c r="F346" s="82"/>
      <c r="G346" s="82" t="s">
        <v>302</v>
      </c>
      <c r="H346" s="82" t="s">
        <v>406</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1369.3486602701878</v>
      </c>
      <c r="AS346" s="184"/>
      <c r="AT346" s="184"/>
      <c r="AU346" s="184"/>
      <c r="AV346" s="184"/>
      <c r="AW346" s="184"/>
    </row>
    <row r="347" spans="1:49" ht="15">
      <c r="A347" s="82"/>
      <c r="B347" s="82"/>
      <c r="C347" s="82"/>
      <c r="D347" s="82"/>
      <c r="E347" s="346" t="s">
        <v>407</v>
      </c>
      <c r="F347" s="82"/>
      <c r="G347" s="82" t="s">
        <v>302</v>
      </c>
      <c r="H347" s="82" t="s">
        <v>408</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v>1697.8640410247963</v>
      </c>
      <c r="AR347" s="455"/>
      <c r="AS347" s="184"/>
      <c r="AT347" s="184"/>
      <c r="AU347" s="184"/>
      <c r="AV347" s="184"/>
      <c r="AW347" s="184"/>
    </row>
    <row r="348" spans="1:49" ht="15">
      <c r="A348" s="82"/>
      <c r="B348" s="82"/>
      <c r="C348" s="82"/>
      <c r="D348" s="82"/>
      <c r="E348" s="346" t="s">
        <v>409</v>
      </c>
      <c r="F348" s="82"/>
      <c r="G348" s="82" t="s">
        <v>302</v>
      </c>
      <c r="H348" s="82" t="s">
        <v>410</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c r="AS348" s="184"/>
      <c r="AT348" s="184"/>
      <c r="AU348" s="184"/>
      <c r="AV348" s="184"/>
      <c r="AW348" s="184"/>
    </row>
    <row r="349" spans="1:49" ht="15">
      <c r="A349" s="82"/>
      <c r="B349" s="82"/>
      <c r="C349" s="82"/>
      <c r="D349" s="82"/>
      <c r="E349" s="293" t="s">
        <v>411</v>
      </c>
      <c r="F349" s="82"/>
      <c r="G349" s="82"/>
      <c r="H349" s="82" t="s">
        <v>412</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5">
      <c r="A350" s="82"/>
      <c r="B350" s="82"/>
      <c r="C350" s="82"/>
      <c r="D350" s="82"/>
      <c r="E350" s="293" t="s">
        <v>413</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414</v>
      </c>
      <c r="F351" s="82"/>
      <c r="G351" s="82" t="s">
        <v>396</v>
      </c>
      <c r="H351" s="82" t="s">
        <v>415</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v>251.83793916644086</v>
      </c>
      <c r="AQ351" s="477">
        <v>244.31089676042151</v>
      </c>
      <c r="AR351" s="364"/>
      <c r="AS351" s="184"/>
      <c r="AT351" s="184"/>
      <c r="AU351" s="184"/>
      <c r="AV351" s="184"/>
      <c r="AW351" s="184"/>
    </row>
    <row r="352" spans="1:49" ht="15">
      <c r="A352" s="82"/>
      <c r="B352" s="82"/>
      <c r="C352" s="82"/>
      <c r="D352" s="82"/>
      <c r="E352" s="363" t="s">
        <v>416</v>
      </c>
      <c r="F352" s="82"/>
      <c r="G352" s="82" t="s">
        <v>417</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c r="AK352" s="476"/>
      <c r="AL352" s="476"/>
      <c r="AM352" s="476"/>
      <c r="AN352" s="476"/>
      <c r="AO352" s="476"/>
      <c r="AP352" s="476">
        <v>1.238</v>
      </c>
      <c r="AQ352" s="477">
        <v>1.321</v>
      </c>
      <c r="AR352" s="364"/>
      <c r="AS352" s="184"/>
      <c r="AT352" s="184"/>
      <c r="AU352" s="184"/>
      <c r="AV352" s="184"/>
      <c r="AW352" s="184"/>
    </row>
    <row r="353" spans="1:49" ht="15">
      <c r="A353" s="82"/>
      <c r="B353" s="82"/>
      <c r="C353" s="82"/>
      <c r="D353" s="82"/>
      <c r="E353" s="346" t="s">
        <v>419</v>
      </c>
      <c r="F353" s="82"/>
      <c r="G353" s="82"/>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420</v>
      </c>
      <c r="F354" s="82"/>
      <c r="G354" s="82" t="s">
        <v>302</v>
      </c>
      <c r="H354" s="82" t="s">
        <v>421</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v>279.46422679</v>
      </c>
      <c r="AK354" s="476">
        <v>290.64971804000004</v>
      </c>
      <c r="AL354" s="476">
        <v>279.87524431000003</v>
      </c>
      <c r="AM354" s="476">
        <v>280.96392697399995</v>
      </c>
      <c r="AN354" s="476">
        <v>295.61218076</v>
      </c>
      <c r="AO354" s="476">
        <v>302.06496326000001</v>
      </c>
      <c r="AP354" s="476">
        <v>328.22779650999991</v>
      </c>
      <c r="AQ354" s="477">
        <v>387.98965212000002</v>
      </c>
      <c r="AR354" s="184"/>
      <c r="AS354" s="184"/>
      <c r="AT354" s="184"/>
      <c r="AU354" s="184"/>
      <c r="AV354" s="184"/>
      <c r="AW354" s="184"/>
    </row>
    <row r="355" spans="1:49" ht="15">
      <c r="A355" s="82"/>
      <c r="B355" s="82"/>
      <c r="C355" s="82"/>
      <c r="D355" s="82"/>
      <c r="E355" s="363" t="s">
        <v>422</v>
      </c>
      <c r="F355" s="82"/>
      <c r="G355" s="82" t="s">
        <v>302</v>
      </c>
      <c r="H355" s="82" t="s">
        <v>1394</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280.86902679440749</v>
      </c>
      <c r="AK355" s="476">
        <v>288.84380742766234</v>
      </c>
      <c r="AL355" s="476">
        <v>282.26484040299204</v>
      </c>
      <c r="AM355" s="476">
        <v>295.47971438118259</v>
      </c>
      <c r="AN355" s="476">
        <v>306.49167069017739</v>
      </c>
      <c r="AO355" s="476">
        <v>321.94451616631017</v>
      </c>
      <c r="AP355" s="476">
        <v>326.86098308043393</v>
      </c>
      <c r="AQ355" s="477">
        <v>400.6964231536399</v>
      </c>
      <c r="AR355" s="184"/>
      <c r="AS355" s="184"/>
      <c r="AT355" s="184"/>
      <c r="AU355" s="184"/>
      <c r="AV355" s="184"/>
      <c r="AW355" s="184"/>
    </row>
    <row r="356" spans="1:49" ht="16.5">
      <c r="A356" s="82"/>
      <c r="B356" s="82"/>
      <c r="C356" s="82"/>
      <c r="D356" s="82"/>
      <c r="E356" s="363" t="s">
        <v>423</v>
      </c>
      <c r="F356" s="82"/>
      <c r="G356" s="82" t="s">
        <v>100</v>
      </c>
      <c r="H356" s="82" t="s">
        <v>424</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0.5</v>
      </c>
      <c r="AK356" s="476">
        <v>0.33561643835616445</v>
      </c>
      <c r="AL356" s="476">
        <v>0.35273972602739728</v>
      </c>
      <c r="AM356" s="476">
        <v>0.66575342465753418</v>
      </c>
      <c r="AN356" s="476">
        <v>0.71598360655737692</v>
      </c>
      <c r="AO356" s="476">
        <v>0.1</v>
      </c>
      <c r="AP356" s="476">
        <v>0.19287671232876738</v>
      </c>
      <c r="AQ356" s="477">
        <v>2.3034246575342467</v>
      </c>
      <c r="AR356" s="419"/>
      <c r="AS356" s="184"/>
      <c r="AT356" s="184"/>
      <c r="AU356" s="184"/>
      <c r="AV356" s="184"/>
      <c r="AW356" s="184"/>
    </row>
    <row r="357" spans="1:49" ht="15">
      <c r="A357" s="82"/>
      <c r="B357" s="82"/>
      <c r="C357" s="82"/>
      <c r="D357" s="82"/>
      <c r="E357" s="363" t="s">
        <v>425</v>
      </c>
      <c r="F357" s="82"/>
      <c r="G357" s="82" t="s">
        <v>100</v>
      </c>
      <c r="H357" s="82" t="s">
        <v>426</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v>
      </c>
      <c r="AK357" s="476">
        <v>0</v>
      </c>
      <c r="AL357" s="476">
        <v>0</v>
      </c>
      <c r="AM357" s="476">
        <v>0</v>
      </c>
      <c r="AN357" s="476">
        <v>0</v>
      </c>
      <c r="AO357" s="476">
        <v>0</v>
      </c>
      <c r="AP357" s="476">
        <v>0</v>
      </c>
      <c r="AQ357" s="477">
        <v>0</v>
      </c>
      <c r="AR357" s="184"/>
      <c r="AS357" s="184"/>
      <c r="AT357" s="184"/>
      <c r="AU357" s="184"/>
      <c r="AV357" s="184"/>
      <c r="AW357" s="184"/>
    </row>
    <row r="358" spans="1:49" ht="15">
      <c r="A358" s="82"/>
      <c r="B358" s="82"/>
      <c r="C358" s="82"/>
      <c r="D358" s="82"/>
      <c r="E358" s="346" t="s">
        <v>427</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428</v>
      </c>
      <c r="F359" s="82"/>
      <c r="G359" s="82" t="s">
        <v>302</v>
      </c>
      <c r="H359" s="510" t="s">
        <v>429</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76">
        <v>1.6053850000000001E-2</v>
      </c>
      <c r="AS359" s="419"/>
      <c r="AT359" s="419"/>
      <c r="AU359" s="419"/>
      <c r="AV359" s="419"/>
      <c r="AW359" s="184"/>
    </row>
    <row r="360" spans="1:49" ht="15">
      <c r="A360" s="82"/>
      <c r="B360" s="82"/>
      <c r="C360" s="82"/>
      <c r="D360" s="82"/>
      <c r="E360" s="363" t="s">
        <v>430</v>
      </c>
      <c r="F360" s="82"/>
      <c r="G360" s="82" t="s">
        <v>302</v>
      </c>
      <c r="H360" s="510" t="s">
        <v>431</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5">
      <c r="A361" s="82"/>
      <c r="B361" s="82"/>
      <c r="C361" s="82"/>
      <c r="D361" s="82"/>
      <c r="E361" s="346" t="s">
        <v>432</v>
      </c>
      <c r="F361" s="82"/>
      <c r="G361" s="82"/>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433</v>
      </c>
      <c r="F362" s="82"/>
      <c r="G362" s="82" t="s">
        <v>302</v>
      </c>
      <c r="H362" s="82" t="s">
        <v>434</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v>2.64E-3</v>
      </c>
      <c r="AK362" s="476">
        <v>8.0300000000000007E-3</v>
      </c>
      <c r="AL362" s="476">
        <v>2.631E-2</v>
      </c>
      <c r="AM362" s="476">
        <v>2.1659999999999999E-2</v>
      </c>
      <c r="AN362" s="476">
        <v>2.6984999999999999E-2</v>
      </c>
      <c r="AO362" s="476">
        <v>2.878E-2</v>
      </c>
      <c r="AP362" s="476">
        <v>8.3595000000000003E-2</v>
      </c>
      <c r="AQ362" s="477">
        <v>0.23425499999999999</v>
      </c>
      <c r="AR362" s="184"/>
      <c r="AS362" s="184"/>
      <c r="AT362" s="184"/>
      <c r="AU362" s="184"/>
      <c r="AV362" s="184"/>
      <c r="AW362" s="184"/>
    </row>
    <row r="363" spans="1:49" ht="15">
      <c r="A363" s="82"/>
      <c r="B363" s="82"/>
      <c r="C363" s="82"/>
      <c r="D363" s="82"/>
      <c r="E363" s="363" t="s">
        <v>435</v>
      </c>
      <c r="F363" s="82"/>
      <c r="G363" s="82" t="s">
        <v>396</v>
      </c>
      <c r="H363" s="82" t="s">
        <v>436</v>
      </c>
      <c r="I363" s="476">
        <v>32</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437</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438</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439</v>
      </c>
      <c r="F367" s="82"/>
      <c r="G367" s="82" t="s">
        <v>396</v>
      </c>
      <c r="H367" s="82" t="s">
        <v>440</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v>0.68740400000000024</v>
      </c>
      <c r="AQ367" s="477">
        <v>1.4778254440608405</v>
      </c>
      <c r="AR367" s="364"/>
      <c r="AS367" s="184"/>
      <c r="AT367" s="184"/>
      <c r="AU367" s="184"/>
      <c r="AV367" s="184"/>
      <c r="AW367" s="184"/>
    </row>
    <row r="368" spans="1:49" ht="15">
      <c r="A368" s="82"/>
      <c r="B368" s="82"/>
      <c r="C368" s="82"/>
      <c r="D368" s="82"/>
      <c r="E368" s="363" t="s">
        <v>441</v>
      </c>
      <c r="F368" s="82"/>
      <c r="G368" s="82" t="s">
        <v>396</v>
      </c>
      <c r="H368" s="82" t="s">
        <v>442</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v>
      </c>
      <c r="AQ368" s="477">
        <v>0</v>
      </c>
      <c r="AR368" s="364"/>
      <c r="AS368" s="184"/>
      <c r="AT368" s="184"/>
      <c r="AU368" s="184"/>
      <c r="AV368" s="184"/>
      <c r="AW368" s="184"/>
    </row>
    <row r="369" spans="1:49" ht="15">
      <c r="A369" s="82"/>
      <c r="B369" s="82"/>
      <c r="C369" s="82"/>
      <c r="D369" s="82"/>
      <c r="E369" s="363" t="s">
        <v>443</v>
      </c>
      <c r="F369" s="82"/>
      <c r="G369" s="82" t="s">
        <v>396</v>
      </c>
      <c r="H369" s="82" t="s">
        <v>444</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v>
      </c>
      <c r="AQ369" s="477">
        <v>0</v>
      </c>
      <c r="AR369" s="364"/>
      <c r="AS369" s="184"/>
      <c r="AT369" s="184"/>
      <c r="AU369" s="184"/>
      <c r="AV369" s="184"/>
      <c r="AW369" s="184"/>
    </row>
    <row r="370" spans="1:49" ht="15">
      <c r="A370" s="82"/>
      <c r="B370" s="82"/>
      <c r="C370" s="82"/>
      <c r="D370" s="82"/>
      <c r="E370" s="293" t="s">
        <v>445</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446</v>
      </c>
      <c r="F371" s="82"/>
      <c r="G371" s="82" t="s">
        <v>396</v>
      </c>
      <c r="H371" s="82" t="s">
        <v>447</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v>4.2147941632540862</v>
      </c>
      <c r="AQ371" s="477">
        <v>4.7819368847034269</v>
      </c>
      <c r="AR371" s="364"/>
      <c r="AS371" s="184"/>
      <c r="AT371" s="184"/>
      <c r="AU371" s="184"/>
      <c r="AV371" s="184"/>
      <c r="AW371" s="184"/>
    </row>
    <row r="372" spans="1:49" ht="15">
      <c r="A372" s="82"/>
      <c r="B372" s="82"/>
      <c r="C372" s="82"/>
      <c r="D372" s="82"/>
      <c r="E372" s="363" t="s">
        <v>448</v>
      </c>
      <c r="F372" s="82"/>
      <c r="G372" s="82" t="s">
        <v>396</v>
      </c>
      <c r="H372" s="82" t="s">
        <v>449</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0.38867999999999903</v>
      </c>
      <c r="AQ372" s="477">
        <v>0</v>
      </c>
      <c r="AR372" s="364"/>
      <c r="AS372" s="184"/>
      <c r="AT372" s="184"/>
      <c r="AU372" s="184"/>
      <c r="AV372" s="184"/>
      <c r="AW372" s="184"/>
    </row>
    <row r="373" spans="1:49" ht="15">
      <c r="A373" s="82"/>
      <c r="B373" s="82"/>
      <c r="C373" s="82"/>
      <c r="D373" s="82"/>
      <c r="E373" s="363" t="s">
        <v>450</v>
      </c>
      <c r="F373" s="82"/>
      <c r="G373" s="82" t="s">
        <v>396</v>
      </c>
      <c r="H373" s="82" t="s">
        <v>451</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0</v>
      </c>
      <c r="AQ373" s="477">
        <v>-5.4486000000000034E-2</v>
      </c>
      <c r="AR373" s="364"/>
      <c r="AS373" s="184"/>
      <c r="AT373" s="184"/>
      <c r="AU373" s="184"/>
      <c r="AV373" s="184"/>
      <c r="AW373" s="184"/>
    </row>
    <row r="374" spans="1:49" ht="15">
      <c r="A374" s="82"/>
      <c r="B374" s="82"/>
      <c r="C374" s="82"/>
      <c r="D374" s="82"/>
      <c r="E374" s="293" t="s">
        <v>452</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453</v>
      </c>
      <c r="F375" s="82"/>
      <c r="G375" s="82" t="s">
        <v>396</v>
      </c>
      <c r="H375" s="82" t="s">
        <v>454</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v>0</v>
      </c>
      <c r="AP375" s="419">
        <v>0</v>
      </c>
      <c r="AQ375" s="418">
        <v>0</v>
      </c>
      <c r="AR375" s="364"/>
      <c r="AS375" s="184"/>
      <c r="AT375" s="184"/>
      <c r="AU375" s="184"/>
      <c r="AV375" s="184"/>
      <c r="AW375" s="184"/>
    </row>
    <row r="376" spans="1:49" ht="15">
      <c r="A376" s="82"/>
      <c r="B376" s="82"/>
      <c r="C376" s="82"/>
      <c r="D376" s="82"/>
      <c r="E376" s="293" t="s">
        <v>455</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456</v>
      </c>
      <c r="F377" s="82"/>
      <c r="G377" s="82" t="s">
        <v>396</v>
      </c>
      <c r="H377" s="82" t="s">
        <v>457</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v>0</v>
      </c>
      <c r="AQ377" s="477">
        <v>0</v>
      </c>
      <c r="AR377" s="364"/>
      <c r="AS377" s="184"/>
      <c r="AT377" s="184"/>
      <c r="AU377" s="184"/>
      <c r="AV377" s="184"/>
      <c r="AW377" s="184"/>
    </row>
    <row r="378" spans="1:49" ht="15">
      <c r="A378" s="82"/>
      <c r="B378" s="82"/>
      <c r="C378" s="82"/>
      <c r="D378" s="82"/>
      <c r="E378" s="363" t="s">
        <v>458</v>
      </c>
      <c r="F378" s="82"/>
      <c r="G378" s="82" t="s">
        <v>396</v>
      </c>
      <c r="H378" s="82" t="s">
        <v>459</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v>
      </c>
      <c r="AQ378" s="477">
        <v>0</v>
      </c>
      <c r="AR378" s="364"/>
      <c r="AS378" s="184"/>
      <c r="AT378" s="184"/>
      <c r="AU378" s="184"/>
      <c r="AV378" s="184"/>
      <c r="AW378" s="184"/>
    </row>
    <row r="379" spans="1:49" ht="15">
      <c r="A379" s="82"/>
      <c r="B379" s="82"/>
      <c r="C379" s="82"/>
      <c r="D379" s="82"/>
      <c r="E379" s="363" t="s">
        <v>460</v>
      </c>
      <c r="F379" s="82"/>
      <c r="G379" s="82" t="s">
        <v>396</v>
      </c>
      <c r="H379" s="82" t="s">
        <v>461</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v>
      </c>
      <c r="AQ379" s="477">
        <v>0</v>
      </c>
      <c r="AR379" s="364"/>
      <c r="AS379" s="184"/>
      <c r="AT379" s="184"/>
      <c r="AU379" s="184"/>
      <c r="AV379" s="184"/>
      <c r="AW379" s="184"/>
    </row>
    <row r="380" spans="1:49" ht="15">
      <c r="A380" s="82"/>
      <c r="B380" s="82"/>
      <c r="C380" s="82"/>
      <c r="D380" s="82"/>
      <c r="E380" s="363" t="s">
        <v>462</v>
      </c>
      <c r="F380" s="82"/>
      <c r="G380" s="82" t="s">
        <v>396</v>
      </c>
      <c r="H380" s="82" t="s">
        <v>463</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v>
      </c>
      <c r="AQ380" s="477">
        <v>0</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464</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465</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466</v>
      </c>
      <c r="F384" s="82"/>
      <c r="G384" s="82" t="s">
        <v>302</v>
      </c>
      <c r="H384" s="82" t="s">
        <v>467</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v>1.5874440000000001</v>
      </c>
      <c r="AQ384" s="477">
        <v>1.66398801</v>
      </c>
      <c r="AR384" s="364"/>
      <c r="AS384" s="184"/>
      <c r="AT384" s="184"/>
      <c r="AU384" s="184"/>
      <c r="AV384" s="184"/>
      <c r="AW384" s="184"/>
    </row>
    <row r="385" spans="1:49" ht="15">
      <c r="A385" s="82"/>
      <c r="B385" s="82"/>
      <c r="C385" s="82"/>
      <c r="D385" s="82"/>
      <c r="E385" s="363" t="s">
        <v>468</v>
      </c>
      <c r="F385" s="82"/>
      <c r="G385" s="82" t="s">
        <v>396</v>
      </c>
      <c r="H385" s="82" t="s">
        <v>469</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0.8</v>
      </c>
      <c r="AQ385" s="477">
        <v>0.8</v>
      </c>
      <c r="AR385" s="364"/>
      <c r="AS385" s="184"/>
      <c r="AT385" s="184"/>
      <c r="AU385" s="184"/>
      <c r="AV385" s="184"/>
      <c r="AW385" s="184"/>
    </row>
    <row r="386" spans="1:49" ht="15">
      <c r="A386" s="82"/>
      <c r="B386" s="82"/>
      <c r="C386" s="82"/>
      <c r="D386" s="82"/>
      <c r="E386" s="293" t="s">
        <v>470</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471</v>
      </c>
      <c r="F387" s="82"/>
      <c r="G387" s="82" t="s">
        <v>302</v>
      </c>
      <c r="H387" s="82" t="s">
        <v>472</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v>20.869119999999999</v>
      </c>
      <c r="AQ387" s="477">
        <v>20.869119999999999</v>
      </c>
      <c r="AR387" s="364"/>
      <c r="AS387" s="184"/>
      <c r="AT387" s="184"/>
      <c r="AU387" s="184"/>
      <c r="AV387" s="184"/>
      <c r="AW387" s="184"/>
    </row>
    <row r="388" spans="1:49" ht="15">
      <c r="A388" s="82"/>
      <c r="B388" s="82"/>
      <c r="C388" s="82"/>
      <c r="D388" s="82"/>
      <c r="E388" s="363" t="s">
        <v>473</v>
      </c>
      <c r="F388" s="82"/>
      <c r="G388" s="82" t="s">
        <v>396</v>
      </c>
      <c r="H388" s="82" t="s">
        <v>474</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13.3</v>
      </c>
      <c r="AQ388" s="477">
        <v>13.3</v>
      </c>
      <c r="AR388" s="364"/>
      <c r="AS388" s="184"/>
      <c r="AT388" s="184"/>
      <c r="AU388" s="184"/>
      <c r="AV388" s="184"/>
      <c r="AW388" s="184"/>
    </row>
    <row r="389" spans="1:49" ht="15">
      <c r="A389" s="82"/>
      <c r="B389" s="82"/>
      <c r="C389" s="82"/>
      <c r="D389" s="82"/>
      <c r="E389" s="293" t="s">
        <v>475</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476</v>
      </c>
      <c r="F390" s="82"/>
      <c r="G390" s="82" t="s">
        <v>302</v>
      </c>
      <c r="H390" s="82" t="s">
        <v>477</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v>7.7663137200000003</v>
      </c>
      <c r="AQ390" s="477">
        <v>11.326099970000001</v>
      </c>
      <c r="AR390" s="364"/>
      <c r="AS390" s="184"/>
      <c r="AT390" s="184"/>
      <c r="AU390" s="184"/>
      <c r="AV390" s="184"/>
      <c r="AW390" s="184"/>
    </row>
    <row r="391" spans="1:49" ht="15">
      <c r="A391" s="82"/>
      <c r="B391" s="82"/>
      <c r="C391" s="82"/>
      <c r="D391" s="82"/>
      <c r="E391" s="363" t="s">
        <v>478</v>
      </c>
      <c r="F391" s="82"/>
      <c r="G391" s="82" t="s">
        <v>396</v>
      </c>
      <c r="H391" s="82" t="s">
        <v>479</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8.9</v>
      </c>
      <c r="AQ391" s="477">
        <v>9</v>
      </c>
      <c r="AR391" s="364"/>
      <c r="AS391" s="184"/>
      <c r="AT391" s="184"/>
      <c r="AU391" s="184"/>
      <c r="AV391" s="184"/>
      <c r="AW391" s="184"/>
    </row>
    <row r="392" spans="1:49" ht="15">
      <c r="A392" s="82"/>
      <c r="B392" s="82"/>
      <c r="C392" s="82"/>
      <c r="D392" s="82"/>
      <c r="E392" s="293" t="s">
        <v>480</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481</v>
      </c>
      <c r="F393" s="82"/>
      <c r="G393" s="82" t="s">
        <v>302</v>
      </c>
      <c r="H393" s="82" t="s">
        <v>482</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v>1.7514029100000001</v>
      </c>
      <c r="AQ393" s="477">
        <v>1.8716212100000003</v>
      </c>
      <c r="AR393" s="364"/>
      <c r="AS393" s="184"/>
      <c r="AT393" s="184"/>
      <c r="AU393" s="184"/>
      <c r="AV393" s="184"/>
      <c r="AW393" s="184"/>
    </row>
    <row r="394" spans="1:49" ht="15">
      <c r="A394" s="82"/>
      <c r="B394" s="82"/>
      <c r="C394" s="82"/>
      <c r="D394" s="82"/>
      <c r="E394" s="363" t="s">
        <v>483</v>
      </c>
      <c r="F394" s="82"/>
      <c r="G394" s="82" t="s">
        <v>396</v>
      </c>
      <c r="H394" s="82" t="s">
        <v>484</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0</v>
      </c>
      <c r="AQ394" s="477">
        <v>0</v>
      </c>
      <c r="AR394" s="364"/>
      <c r="AS394" s="184"/>
      <c r="AT394" s="184"/>
      <c r="AU394" s="184"/>
      <c r="AV394" s="184"/>
      <c r="AW394" s="184"/>
    </row>
    <row r="395" spans="1:49" ht="15">
      <c r="A395" s="82"/>
      <c r="B395" s="82"/>
      <c r="C395" s="82"/>
      <c r="D395" s="82"/>
      <c r="E395" s="293" t="s">
        <v>485</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486</v>
      </c>
      <c r="F396" s="82"/>
      <c r="G396" s="82" t="s">
        <v>302</v>
      </c>
      <c r="H396" s="82" t="s">
        <v>487</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v>1.0168446550000001</v>
      </c>
      <c r="AQ396" s="477">
        <v>0.77735213000000003</v>
      </c>
      <c r="AR396" s="364"/>
      <c r="AS396" s="184"/>
      <c r="AT396" s="184"/>
      <c r="AU396" s="184"/>
      <c r="AV396" s="184"/>
      <c r="AW396" s="184"/>
    </row>
    <row r="397" spans="1:49" ht="15">
      <c r="A397" s="82"/>
      <c r="B397" s="82"/>
      <c r="C397" s="82"/>
      <c r="D397" s="82"/>
      <c r="E397" s="363" t="s">
        <v>488</v>
      </c>
      <c r="F397" s="82"/>
      <c r="G397" s="82" t="s">
        <v>396</v>
      </c>
      <c r="H397" s="82" t="s">
        <v>489</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0</v>
      </c>
      <c r="AQ397" s="477">
        <v>0</v>
      </c>
      <c r="AR397" s="364"/>
      <c r="AS397" s="184"/>
      <c r="AT397" s="184"/>
      <c r="AU397" s="184"/>
      <c r="AV397" s="184"/>
      <c r="AW397" s="184"/>
    </row>
    <row r="398" spans="1:49" ht="15">
      <c r="A398" s="82"/>
      <c r="B398" s="82"/>
      <c r="C398" s="82"/>
      <c r="D398" s="82"/>
      <c r="E398" s="293" t="s">
        <v>490</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491</v>
      </c>
      <c r="F399" s="82"/>
      <c r="G399" s="82" t="s">
        <v>302</v>
      </c>
      <c r="H399" s="82" t="s">
        <v>492</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v>3.4057440000000001E-2</v>
      </c>
      <c r="AQ399" s="477">
        <v>3.6031769999999998E-2</v>
      </c>
      <c r="AR399" s="364"/>
      <c r="AS399" s="184"/>
      <c r="AT399" s="184"/>
      <c r="AU399" s="184"/>
      <c r="AV399" s="184"/>
      <c r="AW399" s="184"/>
    </row>
    <row r="400" spans="1:49" ht="15">
      <c r="A400" s="82"/>
      <c r="B400" s="82"/>
      <c r="C400" s="82"/>
      <c r="D400" s="82"/>
      <c r="E400" s="363" t="s">
        <v>493</v>
      </c>
      <c r="F400" s="82"/>
      <c r="G400" s="82" t="s">
        <v>396</v>
      </c>
      <c r="H400" s="82" t="s">
        <v>494</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0</v>
      </c>
      <c r="AQ400" s="477">
        <v>0</v>
      </c>
      <c r="AR400" s="364"/>
      <c r="AS400" s="184"/>
      <c r="AT400" s="184"/>
      <c r="AU400" s="184"/>
      <c r="AV400" s="184"/>
      <c r="AW400" s="184"/>
    </row>
    <row r="401" spans="1:49" ht="15">
      <c r="A401" s="82"/>
      <c r="B401" s="82"/>
      <c r="C401" s="82"/>
      <c r="D401" s="82"/>
      <c r="E401" s="293" t="s">
        <v>495</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496</v>
      </c>
      <c r="F402" s="82"/>
      <c r="G402" s="82" t="s">
        <v>302</v>
      </c>
      <c r="H402" s="82" t="s">
        <v>497</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v>0</v>
      </c>
      <c r="AQ402" s="477">
        <v>0</v>
      </c>
      <c r="AR402" s="364"/>
      <c r="AS402" s="184"/>
      <c r="AT402" s="184"/>
      <c r="AU402" s="184"/>
      <c r="AV402" s="184"/>
      <c r="AW402" s="184"/>
    </row>
    <row r="403" spans="1:49" ht="15">
      <c r="A403" s="82"/>
      <c r="B403" s="82"/>
      <c r="C403" s="82"/>
      <c r="D403" s="82"/>
      <c r="E403" s="363" t="s">
        <v>498</v>
      </c>
      <c r="F403" s="82"/>
      <c r="G403" s="82" t="s">
        <v>396</v>
      </c>
      <c r="H403" s="82" t="s">
        <v>499</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5">
      <c r="A404" s="82"/>
      <c r="B404" s="82"/>
      <c r="C404" s="82"/>
      <c r="D404" s="82"/>
      <c r="E404" s="293" t="s">
        <v>500</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501</v>
      </c>
      <c r="F405" s="82"/>
      <c r="G405" s="82" t="s">
        <v>302</v>
      </c>
      <c r="H405" s="82" t="s">
        <v>502</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v>0</v>
      </c>
      <c r="AQ405" s="477">
        <v>0</v>
      </c>
      <c r="AR405" s="364"/>
      <c r="AS405" s="184"/>
      <c r="AT405" s="184"/>
      <c r="AU405" s="184"/>
      <c r="AV405" s="184"/>
      <c r="AW405" s="184"/>
    </row>
    <row r="406" spans="1:49" ht="15">
      <c r="A406" s="82"/>
      <c r="B406" s="82"/>
      <c r="C406" s="82"/>
      <c r="D406" s="82"/>
      <c r="E406" s="363" t="s">
        <v>503</v>
      </c>
      <c r="F406" s="82"/>
      <c r="G406" s="82" t="s">
        <v>396</v>
      </c>
      <c r="H406" s="82" t="s">
        <v>504</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5">
      <c r="A407" s="82"/>
      <c r="B407" s="82"/>
      <c r="C407" s="82"/>
      <c r="D407" s="82"/>
      <c r="E407" s="293" t="s">
        <v>505</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506</v>
      </c>
      <c r="F408" s="82"/>
      <c r="G408" s="82" t="s">
        <v>302</v>
      </c>
      <c r="H408" s="82" t="s">
        <v>507</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v>0</v>
      </c>
      <c r="AQ408" s="477">
        <v>0</v>
      </c>
      <c r="AR408" s="364"/>
      <c r="AS408" s="184"/>
      <c r="AT408" s="184"/>
      <c r="AU408" s="184"/>
      <c r="AV408" s="184"/>
      <c r="AW408" s="184"/>
    </row>
    <row r="409" spans="1:49" ht="15">
      <c r="A409" s="82"/>
      <c r="B409" s="82"/>
      <c r="C409" s="82"/>
      <c r="D409" s="82"/>
      <c r="E409" s="363" t="s">
        <v>508</v>
      </c>
      <c r="F409" s="82"/>
      <c r="G409" s="82" t="s">
        <v>396</v>
      </c>
      <c r="H409" s="82" t="s">
        <v>509</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5">
      <c r="A410" s="82"/>
      <c r="B410" s="82"/>
      <c r="C410" s="82"/>
      <c r="D410" s="82"/>
      <c r="E410" s="293" t="s">
        <v>510</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511</v>
      </c>
      <c r="F411" s="82"/>
      <c r="G411" s="82" t="s">
        <v>302</v>
      </c>
      <c r="H411" s="82" t="s">
        <v>512</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v>0.55616246000000003</v>
      </c>
      <c r="AQ411" s="477">
        <v>1.1573850599999957</v>
      </c>
      <c r="AR411" s="364"/>
      <c r="AS411" s="184"/>
      <c r="AT411" s="184"/>
      <c r="AU411" s="184"/>
      <c r="AV411" s="184"/>
      <c r="AW411" s="184"/>
    </row>
    <row r="412" spans="1:49" ht="15">
      <c r="A412" s="82"/>
      <c r="B412" s="82"/>
      <c r="C412" s="82"/>
      <c r="D412" s="82"/>
      <c r="E412" s="293" t="s">
        <v>513</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514</v>
      </c>
      <c r="F413" s="82"/>
      <c r="G413" s="82" t="s">
        <v>302</v>
      </c>
      <c r="H413" s="82" t="s">
        <v>515</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v>0.62224200833333332</v>
      </c>
      <c r="AP413" s="476">
        <v>2.2745069449999997</v>
      </c>
      <c r="AQ413" s="477">
        <v>1.6846693333333343E-2</v>
      </c>
      <c r="AR413" s="145"/>
      <c r="AS413" s="184"/>
      <c r="AT413" s="184"/>
      <c r="AU413" s="184"/>
      <c r="AV413" s="184"/>
      <c r="AW413" s="184"/>
    </row>
    <row r="414" spans="1:49" ht="15">
      <c r="A414" s="82"/>
      <c r="B414" s="82"/>
      <c r="C414" s="82"/>
      <c r="D414" s="82"/>
      <c r="E414" s="363" t="s">
        <v>516</v>
      </c>
      <c r="F414" s="82"/>
      <c r="G414" s="82" t="s">
        <v>302</v>
      </c>
      <c r="H414" s="82" t="s">
        <v>517</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1.3628950000000001E-2</v>
      </c>
      <c r="AP414" s="476">
        <v>6.9366575E-2</v>
      </c>
      <c r="AQ414" s="477">
        <v>7.409898333333334E-2</v>
      </c>
      <c r="AR414" s="145"/>
      <c r="AS414" s="184"/>
      <c r="AT414" s="184"/>
      <c r="AU414" s="184"/>
      <c r="AV414" s="184"/>
      <c r="AW414" s="184"/>
    </row>
    <row r="415" spans="1:49" ht="15">
      <c r="A415" s="82"/>
      <c r="B415" s="82"/>
      <c r="C415" s="82"/>
      <c r="D415" s="82"/>
      <c r="E415" s="293" t="s">
        <v>518</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519</v>
      </c>
      <c r="F416" s="82"/>
      <c r="G416" s="82" t="s">
        <v>302</v>
      </c>
      <c r="H416" s="82" t="s">
        <v>520</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v>0</v>
      </c>
      <c r="AQ416" s="477">
        <v>0</v>
      </c>
      <c r="AR416" s="145"/>
      <c r="AS416" s="184"/>
      <c r="AT416" s="184"/>
      <c r="AU416" s="184"/>
      <c r="AV416" s="184"/>
      <c r="AW416" s="184"/>
    </row>
    <row r="417" spans="1:49" ht="15">
      <c r="A417" s="82"/>
      <c r="B417" s="82"/>
      <c r="C417" s="82"/>
      <c r="D417" s="82"/>
      <c r="E417" s="363" t="s">
        <v>521</v>
      </c>
      <c r="F417" s="82"/>
      <c r="G417" s="82" t="s">
        <v>302</v>
      </c>
      <c r="H417" s="82" t="s">
        <v>522</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5">
      <c r="A418" s="82"/>
      <c r="B418" s="82"/>
      <c r="C418" s="82"/>
      <c r="D418" s="82"/>
      <c r="E418" s="363" t="s">
        <v>523</v>
      </c>
      <c r="F418" s="82"/>
      <c r="G418" s="82" t="s">
        <v>302</v>
      </c>
      <c r="H418" s="82" t="s">
        <v>524</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5">
      <c r="A423" s="82"/>
      <c r="B423" s="82"/>
      <c r="C423" s="82"/>
      <c r="D423" s="82"/>
      <c r="E423" s="82"/>
      <c r="F423" s="82"/>
      <c r="G423" s="82"/>
      <c r="H423" s="82"/>
      <c r="I423" s="82"/>
      <c r="J423" s="82"/>
      <c r="K423" s="82"/>
      <c r="L423" s="82"/>
      <c r="M423" s="82"/>
      <c r="N423" s="82"/>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243"/>
      <c r="AR423" s="145"/>
      <c r="AS423" s="184"/>
      <c r="AT423" s="184"/>
      <c r="AU423" s="184"/>
      <c r="AV423" s="184"/>
      <c r="AW423" s="184"/>
    </row>
    <row r="424" spans="1:49" hidden="1"/>
    <row r="425" spans="1:49" hidden="1"/>
    <row r="426" spans="1:49" hidden="1"/>
    <row r="427" spans="1:49" hidden="1"/>
    <row r="428" spans="1:49" hidden="1"/>
    <row r="429" spans="1:49" hidden="1"/>
    <row r="430" spans="1:49" hidden="1"/>
    <row r="431" spans="1:49" hidden="1"/>
    <row r="432" spans="1:49"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conditionalFormatting sqref="I234:I237">
    <cfRule type="cellIs" dxfId="25" priority="41" operator="equal">
      <formula>FALSE()</formula>
    </cfRule>
  </conditionalFormatting>
  <conditionalFormatting sqref="I363">
    <cfRule type="cellIs" dxfId="24" priority="20" operator="equal">
      <formula>FALSE()</formula>
    </cfRule>
  </conditionalFormatting>
  <conditionalFormatting sqref="K211:AQ217 AW211:AW217">
    <cfRule type="cellIs" dxfId="23" priority="40" operator="equal">
      <formula>FALSE()</formula>
    </cfRule>
  </conditionalFormatting>
  <conditionalFormatting sqref="K8:AW210">
    <cfRule type="cellIs" dxfId="22" priority="3" operator="equal">
      <formula>FALSE()</formula>
    </cfRule>
  </conditionalFormatting>
  <conditionalFormatting sqref="K218:AW419">
    <cfRule type="cellIs" dxfId="21" priority="2" operator="equal">
      <formula>FALSE()</formula>
    </cfRule>
  </conditionalFormatting>
  <conditionalFormatting sqref="K423:AW423">
    <cfRule type="cellIs" dxfId="20" priority="43" operator="equal">
      <formula>FALSE()</formula>
    </cfRule>
  </conditionalFormatting>
  <conditionalFormatting sqref="AQ351:AQ352">
    <cfRule type="cellIs" dxfId="19" priority="23" operator="equal">
      <formula>FALSE()</formula>
    </cfRule>
  </conditionalFormatting>
  <conditionalFormatting sqref="AQ354:AQ357">
    <cfRule type="cellIs" dxfId="18" priority="22" operator="equal">
      <formula>FALSE()</formula>
    </cfRule>
  </conditionalFormatting>
  <conditionalFormatting sqref="AQ362">
    <cfRule type="cellIs" dxfId="17" priority="21" operator="equal">
      <formula>FALSE()</formula>
    </cfRule>
  </conditionalFormatting>
  <conditionalFormatting sqref="AQ367:AQ369">
    <cfRule type="cellIs" dxfId="16" priority="19" operator="equal">
      <formula>FALSE()</formula>
    </cfRule>
  </conditionalFormatting>
  <conditionalFormatting sqref="AQ371:AQ373">
    <cfRule type="cellIs" dxfId="15" priority="1" operator="equal">
      <formula>FALSE()</formula>
    </cfRule>
  </conditionalFormatting>
  <conditionalFormatting sqref="AQ377:AQ380">
    <cfRule type="cellIs" dxfId="14" priority="16" operator="equal">
      <formula>FALSE()</formula>
    </cfRule>
  </conditionalFormatting>
  <conditionalFormatting sqref="AQ384:AQ385">
    <cfRule type="cellIs" dxfId="13" priority="15" operator="equal">
      <formula>FALSE()</formula>
    </cfRule>
  </conditionalFormatting>
  <conditionalFormatting sqref="AQ387:AQ388">
    <cfRule type="cellIs" dxfId="12" priority="14" operator="equal">
      <formula>FALSE()</formula>
    </cfRule>
  </conditionalFormatting>
  <conditionalFormatting sqref="AQ390:AQ391">
    <cfRule type="cellIs" dxfId="11" priority="13" operator="equal">
      <formula>FALSE()</formula>
    </cfRule>
  </conditionalFormatting>
  <conditionalFormatting sqref="AQ393:AQ394">
    <cfRule type="cellIs" dxfId="10" priority="12" operator="equal">
      <formula>FALSE()</formula>
    </cfRule>
  </conditionalFormatting>
  <conditionalFormatting sqref="AQ396:AQ397">
    <cfRule type="cellIs" dxfId="9" priority="11" operator="equal">
      <formula>FALSE()</formula>
    </cfRule>
  </conditionalFormatting>
  <conditionalFormatting sqref="AQ399:AQ400">
    <cfRule type="cellIs" dxfId="8" priority="10" operator="equal">
      <formula>FALSE()</formula>
    </cfRule>
  </conditionalFormatting>
  <conditionalFormatting sqref="AQ402:AQ403">
    <cfRule type="cellIs" dxfId="7" priority="9" operator="equal">
      <formula>FALSE()</formula>
    </cfRule>
  </conditionalFormatting>
  <conditionalFormatting sqref="AQ405:AQ406">
    <cfRule type="cellIs" dxfId="6" priority="8" operator="equal">
      <formula>FALSE()</formula>
    </cfRule>
  </conditionalFormatting>
  <conditionalFormatting sqref="AQ408:AQ409">
    <cfRule type="cellIs" dxfId="5" priority="7" operator="equal">
      <formula>FALSE()</formula>
    </cfRule>
  </conditionalFormatting>
  <conditionalFormatting sqref="AQ411">
    <cfRule type="cellIs" dxfId="4" priority="6" operator="equal">
      <formula>FALSE()</formula>
    </cfRule>
  </conditionalFormatting>
  <conditionalFormatting sqref="AQ413:AQ414">
    <cfRule type="cellIs" dxfId="3" priority="5" operator="equal">
      <formula>FALSE()</formula>
    </cfRule>
  </conditionalFormatting>
  <conditionalFormatting sqref="AQ416:AQ418">
    <cfRule type="cellIs" dxfId="2" priority="4" operator="equal">
      <formula>FALSE()</formula>
    </cfRule>
  </conditionalFormatting>
  <conditionalFormatting sqref="AR211:AV211">
    <cfRule type="cellIs" dxfId="1" priority="39" operator="equal">
      <formula>FALSE()</formula>
    </cfRule>
  </conditionalFormatting>
  <conditionalFormatting sqref="AR213:AV217">
    <cfRule type="cellIs" dxfId="0" priority="37"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79"/>
  <sheetViews>
    <sheetView zoomScale="85" zoomScaleNormal="85" workbookViewId="0">
      <pane xSplit="10" ySplit="4" topLeftCell="K5" activePane="bottomRight" state="frozen"/>
      <selection sqref="A1:XFD1048576"/>
      <selection pane="topRight" sqref="A1:XFD1048576"/>
      <selection pane="bottomLeft" sqref="A1:XFD1048576"/>
      <selection pane="bottomRight"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A092E8BC-996F-4634-A148-0F059D409F47}">
  <ds:schemaRefs>
    <ds:schemaRef ds:uri="http://schemas.microsoft.com/DataMashup"/>
  </ds:schemaRefs>
</ds:datastoreItem>
</file>

<file path=customXml/itemProps2.xml><?xml version="1.0" encoding="utf-8"?>
<ds:datastoreItem xmlns:ds="http://schemas.openxmlformats.org/officeDocument/2006/customXml" ds:itemID="{1385F365-80C6-42DA-9AEA-16C05CFB94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2024-12-09T14:46:09Z</dcterms:created>
  <dcterms:modified xsi:type="dcterms:W3CDTF">2024-12-23T10:15:56Z</dcterms:modified>
  <cp:category/>
  <cp:contentStatus/>
</cp:coreProperties>
</file>