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60C83619-60EA-4A9C-B85D-4075DF596670}" xr6:coauthVersionLast="47" xr6:coauthVersionMax="47" xr10:uidLastSave="{00000000-0000-0000-0000-000000000000}"/>
  <bookViews>
    <workbookView xWindow="-120" yWindow="-120" windowWidth="29040" windowHeight="15840" tabRatio="807"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19" l="1"/>
  <c r="B3" i="106" l="1"/>
  <c r="AU74" i="108" l="1" a="1"/>
  <c r="AU74" i="108" s="1"/>
  <c r="AT74" i="108" a="1"/>
  <c r="AT74" i="108" s="1"/>
  <c r="AS74" i="108" a="1"/>
  <c r="AS74" i="108" s="1"/>
  <c r="AR74" i="108" a="1"/>
  <c r="AR74" i="108" s="1"/>
  <c r="AQ74" i="108" a="1"/>
  <c r="AQ74" i="108" s="1"/>
  <c r="AP74" i="108" a="1"/>
  <c r="AP74" i="108" s="1"/>
  <c r="AO74" i="108" a="1"/>
  <c r="AO74" i="108" s="1"/>
  <c r="AR25" i="108" a="1"/>
  <c r="AR25" i="108" s="1"/>
  <c r="AV74" i="108" l="1"/>
  <c r="AV24" i="108" l="1" a="1"/>
  <c r="AV24" i="108" s="1"/>
  <c r="AU24" i="108" a="1"/>
  <c r="AU24" i="108" s="1"/>
  <c r="AT24" i="108" a="1"/>
  <c r="AT24" i="108" s="1"/>
  <c r="AS24" i="108" a="1"/>
  <c r="AS24" i="108" s="1"/>
  <c r="AR24" i="108" a="1"/>
  <c r="AR24" i="108" s="1"/>
  <c r="H354" i="5" l="1"/>
  <c r="AV96" i="108"/>
  <c r="AJ54" i="126" l="1"/>
  <c r="AK52" i="126"/>
  <c r="AJ52" i="126"/>
  <c r="AJ42" i="126"/>
  <c r="AJ43" i="126" s="1"/>
  <c r="W12" i="126"/>
  <c r="V12" i="126"/>
  <c r="U12" i="126"/>
  <c r="T12" i="126"/>
  <c r="S12" i="126"/>
  <c r="R12" i="126"/>
  <c r="Q12" i="126"/>
  <c r="P12" i="126"/>
  <c r="O12" i="126"/>
  <c r="N12" i="126"/>
  <c r="M12" i="126"/>
  <c r="L12" i="126"/>
  <c r="K12" i="126"/>
  <c r="AM1" i="126"/>
  <c r="AV25" i="108" l="1" a="1"/>
  <c r="AV25" i="108" s="1"/>
  <c r="AU25" i="108" a="1"/>
  <c r="AU25" i="108" s="1"/>
  <c r="AT25" i="108" a="1"/>
  <c r="AT25" i="108" s="1"/>
  <c r="AS25" i="108" a="1"/>
  <c r="AS25" i="108" s="1"/>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T354" i="5" s="1"/>
  <c r="AO96" i="106"/>
  <c r="AR96" i="106"/>
  <c r="AR46" i="106"/>
  <c r="AR354" i="5" s="1"/>
  <c r="AS96" i="106"/>
  <c r="AS46" i="106"/>
  <c r="AS354" i="5" s="1"/>
  <c r="AL96" i="106"/>
  <c r="AM96" i="106"/>
  <c r="AU96" i="106"/>
  <c r="AU46" i="106"/>
  <c r="AU354" i="5" s="1"/>
  <c r="AV46" i="106"/>
  <c r="AV354" i="5" s="1"/>
  <c r="H69" i="106"/>
  <c r="H377" i="5" s="1"/>
  <c r="H61" i="106"/>
  <c r="H369" i="5" s="1"/>
  <c r="H53" i="106"/>
  <c r="H361" i="5" s="1"/>
  <c r="H44" i="106"/>
  <c r="H352" i="5" s="1"/>
  <c r="H36" i="106"/>
  <c r="H344" i="5" s="1"/>
  <c r="H28" i="106"/>
  <c r="H336" i="5" s="1"/>
  <c r="H68" i="106"/>
  <c r="H376" i="5" s="1"/>
  <c r="H60" i="106"/>
  <c r="H368" i="5" s="1"/>
  <c r="H52" i="106"/>
  <c r="H360" i="5" s="1"/>
  <c r="H43" i="106"/>
  <c r="H351" i="5" s="1"/>
  <c r="H35" i="106"/>
  <c r="H343" i="5" s="1"/>
  <c r="H27" i="106"/>
  <c r="H335" i="5" s="1"/>
  <c r="H37" i="106"/>
  <c r="H345" i="5" s="1"/>
  <c r="H67" i="106"/>
  <c r="H375" i="5" s="1"/>
  <c r="H59" i="106"/>
  <c r="H367" i="5" s="1"/>
  <c r="H51" i="106"/>
  <c r="H359" i="5" s="1"/>
  <c r="H42" i="106"/>
  <c r="H350" i="5" s="1"/>
  <c r="H34" i="106"/>
  <c r="H342" i="5" s="1"/>
  <c r="H26" i="106"/>
  <c r="H334" i="5" s="1"/>
  <c r="H66" i="106"/>
  <c r="H374" i="5" s="1"/>
  <c r="H58" i="106"/>
  <c r="H366" i="5" s="1"/>
  <c r="H50" i="106"/>
  <c r="H358" i="5" s="1"/>
  <c r="H41" i="106"/>
  <c r="H349" i="5" s="1"/>
  <c r="H33" i="106"/>
  <c r="H341" i="5" s="1"/>
  <c r="H25" i="106"/>
  <c r="H333" i="5" s="1"/>
  <c r="H65" i="106"/>
  <c r="H373" i="5" s="1"/>
  <c r="H57" i="106"/>
  <c r="H365" i="5" s="1"/>
  <c r="H49" i="106"/>
  <c r="H357" i="5" s="1"/>
  <c r="H40" i="106"/>
  <c r="H348" i="5" s="1"/>
  <c r="H32" i="106"/>
  <c r="H340" i="5" s="1"/>
  <c r="H24" i="106"/>
  <c r="H332" i="5" s="1"/>
  <c r="H64" i="106"/>
  <c r="H372" i="5" s="1"/>
  <c r="H56" i="106"/>
  <c r="H364" i="5" s="1"/>
  <c r="H48" i="106"/>
  <c r="H356" i="5" s="1"/>
  <c r="H39" i="106"/>
  <c r="H347" i="5" s="1"/>
  <c r="H31" i="106"/>
  <c r="H339" i="5" s="1"/>
  <c r="H71" i="106"/>
  <c r="H379" i="5" s="1"/>
  <c r="H63" i="106"/>
  <c r="H371" i="5" s="1"/>
  <c r="H55" i="106"/>
  <c r="H363" i="5" s="1"/>
  <c r="H47" i="106"/>
  <c r="H355" i="5" s="1"/>
  <c r="H38" i="106"/>
  <c r="H346" i="5" s="1"/>
  <c r="H30" i="106"/>
  <c r="H338" i="5" s="1"/>
  <c r="H29" i="106"/>
  <c r="H337" i="5" s="1"/>
  <c r="H70" i="106"/>
  <c r="H378" i="5" s="1"/>
  <c r="H62" i="106"/>
  <c r="H370" i="5" s="1"/>
  <c r="H54" i="106"/>
  <c r="H362" i="5" s="1"/>
  <c r="H45" i="106"/>
  <c r="H353" i="5" s="1"/>
  <c r="AR269" i="106"/>
  <c r="AR253" i="5" s="1"/>
  <c r="AV268" i="106"/>
  <c r="AV252" i="5" s="1"/>
  <c r="AU268" i="106"/>
  <c r="AU252" i="5" s="1"/>
  <c r="AT268" i="106"/>
  <c r="AT252" i="5" s="1"/>
  <c r="AV265" i="106"/>
  <c r="AV248" i="5" s="1"/>
  <c r="AV269" i="106"/>
  <c r="AV253" i="5" s="1"/>
  <c r="AS268" i="106"/>
  <c r="AS252" i="5" s="1"/>
  <c r="AU265" i="106"/>
  <c r="AU248" i="5" s="1"/>
  <c r="AU269" i="106"/>
  <c r="AU253" i="5" s="1"/>
  <c r="AR268" i="106"/>
  <c r="AR252" i="5" s="1"/>
  <c r="AT265" i="106"/>
  <c r="AT248" i="5" s="1"/>
  <c r="AT269" i="106"/>
  <c r="AT253" i="5" s="1"/>
  <c r="AS265" i="106"/>
  <c r="AS248" i="5" s="1"/>
  <c r="AS269" i="106"/>
  <c r="AS253" i="5" s="1"/>
  <c r="AV361" i="106"/>
  <c r="AV47" i="126" s="1"/>
  <c r="AS360" i="106"/>
  <c r="AS46" i="126" s="1"/>
  <c r="AU361" i="106"/>
  <c r="AU47" i="126" s="1"/>
  <c r="AR360" i="106"/>
  <c r="AR46" i="126" s="1"/>
  <c r="AT361" i="106"/>
  <c r="AT47" i="126" s="1"/>
  <c r="AV360" i="106"/>
  <c r="AV46" i="126" s="1"/>
  <c r="AR361" i="106"/>
  <c r="AR47" i="126" s="1"/>
  <c r="AU360" i="106"/>
  <c r="AU46" i="126" s="1"/>
  <c r="AT360" i="106"/>
  <c r="AT46" i="126" s="1"/>
  <c r="AS361" i="106"/>
  <c r="AS47" i="126" s="1"/>
  <c r="AU154" i="106"/>
  <c r="AS154" i="106"/>
  <c r="AT154" i="106"/>
  <c r="AV154" i="106"/>
  <c r="AR154" i="106"/>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V156" i="106"/>
  <c r="AU156" i="106"/>
  <c r="AT156" i="106"/>
  <c r="AS156" i="106"/>
  <c r="AR156" i="106"/>
  <c r="AQ348" i="106"/>
  <c r="AJ220" i="106"/>
  <c r="AJ219" i="106"/>
  <c r="AQ220" i="106"/>
  <c r="AQ219" i="106"/>
  <c r="AP220" i="106"/>
  <c r="AP219" i="106"/>
  <c r="AO220" i="106"/>
  <c r="AO219" i="106"/>
  <c r="AN220" i="106"/>
  <c r="AN219" i="106"/>
  <c r="AM220" i="106"/>
  <c r="AM219" i="106"/>
  <c r="AL220" i="106"/>
  <c r="AL219" i="106"/>
  <c r="AK220" i="106"/>
  <c r="AK219" i="106"/>
  <c r="AR350" i="106"/>
  <c r="AI252" i="106"/>
  <c r="AH252" i="106"/>
  <c r="AL343" i="106"/>
  <c r="AQ343" i="106"/>
  <c r="AP343" i="106"/>
  <c r="AO343" i="106"/>
  <c r="AK343" i="106"/>
  <c r="AJ343" i="106"/>
  <c r="AN343" i="106"/>
  <c r="AM343" i="106"/>
  <c r="I257" i="106"/>
  <c r="I260" i="106"/>
  <c r="I258" i="106"/>
  <c r="I259" i="106"/>
  <c r="I256" i="106"/>
  <c r="AK363" i="106"/>
  <c r="AK51" i="126" s="1"/>
  <c r="AJ363" i="106"/>
  <c r="AJ51" i="126" s="1"/>
  <c r="AK358" i="106"/>
  <c r="AK40" i="126" s="1"/>
  <c r="AK357" i="106"/>
  <c r="AK39" i="126" s="1"/>
  <c r="AK356" i="106"/>
  <c r="AK37" i="126" s="1"/>
  <c r="AJ355" i="106"/>
  <c r="AJ36" i="126" s="1"/>
  <c r="AP363" i="106"/>
  <c r="AP51" i="126" s="1"/>
  <c r="AQ357" i="106"/>
  <c r="AQ39" i="126" s="1"/>
  <c r="AP355" i="106"/>
  <c r="AP36" i="126" s="1"/>
  <c r="AP358" i="106"/>
  <c r="AP40" i="126" s="1"/>
  <c r="AP356" i="106"/>
  <c r="AP37" i="126" s="1"/>
  <c r="AN363" i="106"/>
  <c r="AN51" i="126" s="1"/>
  <c r="AO357" i="106"/>
  <c r="AO39" i="126" s="1"/>
  <c r="AN355" i="106"/>
  <c r="AN36" i="126" s="1"/>
  <c r="AN358" i="106"/>
  <c r="AN40" i="126" s="1"/>
  <c r="AN356" i="106"/>
  <c r="AN37" i="126" s="1"/>
  <c r="AL363" i="106"/>
  <c r="AL51" i="126" s="1"/>
  <c r="AM357" i="106"/>
  <c r="AM39" i="126" s="1"/>
  <c r="AL357" i="106"/>
  <c r="AL39" i="126" s="1"/>
  <c r="AK355" i="106"/>
  <c r="AK36" i="126" s="1"/>
  <c r="I364" i="106"/>
  <c r="I53" i="126" s="1"/>
  <c r="AQ363" i="106"/>
  <c r="AQ51" i="126" s="1"/>
  <c r="AJ358" i="106"/>
  <c r="AJ40" i="126" s="1"/>
  <c r="AJ357" i="106"/>
  <c r="AJ39" i="126" s="1"/>
  <c r="AK42" i="126" s="1"/>
  <c r="AK43" i="126" s="1"/>
  <c r="AJ356" i="106"/>
  <c r="AJ37" i="126" s="1"/>
  <c r="AQ355" i="106"/>
  <c r="AQ248" i="5" s="1"/>
  <c r="AQ358" i="106"/>
  <c r="AQ40" i="126" s="1"/>
  <c r="AQ356" i="106"/>
  <c r="AQ37" i="126" s="1"/>
  <c r="AO363" i="106"/>
  <c r="AO51" i="126" s="1"/>
  <c r="AP357" i="106"/>
  <c r="AP39" i="126" s="1"/>
  <c r="AO355" i="106"/>
  <c r="AO36" i="126" s="1"/>
  <c r="AR357" i="106"/>
  <c r="AR39" i="126" s="1"/>
  <c r="AO358" i="106"/>
  <c r="AO40" i="126" s="1"/>
  <c r="AO356" i="106"/>
  <c r="AO37" i="126" s="1"/>
  <c r="AM363" i="106"/>
  <c r="AM51" i="126" s="1"/>
  <c r="AN357" i="106"/>
  <c r="AN39" i="126" s="1"/>
  <c r="AM355" i="106"/>
  <c r="AM36" i="126" s="1"/>
  <c r="AM358" i="106"/>
  <c r="AM40" i="126" s="1"/>
  <c r="AM356" i="106"/>
  <c r="AM37" i="126" s="1"/>
  <c r="AL355" i="106"/>
  <c r="AL36" i="126" s="1"/>
  <c r="AL358" i="106"/>
  <c r="AL40" i="126" s="1"/>
  <c r="AL356" i="106"/>
  <c r="AL37" i="126" s="1"/>
  <c r="AN353" i="106"/>
  <c r="AN10" i="126" s="1"/>
  <c r="AM353" i="106"/>
  <c r="AM10" i="126" s="1"/>
  <c r="AL353" i="106"/>
  <c r="AL10" i="126" s="1"/>
  <c r="AO353" i="106"/>
  <c r="AO10" i="126" s="1"/>
  <c r="AK353" i="106"/>
  <c r="AK10" i="126" s="1"/>
  <c r="AJ353" i="106"/>
  <c r="AJ10" i="126" s="1"/>
  <c r="AP353" i="106"/>
  <c r="AP10" i="126" s="1"/>
  <c r="AR281" i="106"/>
  <c r="AU281" i="106"/>
  <c r="AT281" i="106"/>
  <c r="AS281" i="106"/>
  <c r="AV281" i="106"/>
  <c r="AU129" i="106"/>
  <c r="AR345" i="106"/>
  <c r="AR347" i="106"/>
  <c r="AR349" i="106"/>
  <c r="AR346" i="106"/>
  <c r="AQ404" i="106"/>
  <c r="AQ114" i="126" s="1"/>
  <c r="AQ415" i="106"/>
  <c r="AQ134" i="126" s="1"/>
  <c r="AO415" i="106"/>
  <c r="AO134" i="126" s="1"/>
  <c r="AR267" i="106"/>
  <c r="AR251" i="5" s="1"/>
  <c r="AU166" i="106"/>
  <c r="AQ403" i="106"/>
  <c r="AQ113" i="126" s="1"/>
  <c r="AV271" i="106"/>
  <c r="AV255" i="5" s="1"/>
  <c r="AP368" i="106"/>
  <c r="AP59" i="126" s="1"/>
  <c r="AT271" i="106"/>
  <c r="AT255" i="5" s="1"/>
  <c r="AR280" i="106"/>
  <c r="AS271" i="106"/>
  <c r="AS255" i="5" s="1"/>
  <c r="AV169" i="106"/>
  <c r="AU126" i="106"/>
  <c r="AV266" i="106"/>
  <c r="AV250" i="5" s="1"/>
  <c r="AQ392" i="106"/>
  <c r="AQ94" i="126" s="1"/>
  <c r="AT163" i="106"/>
  <c r="AU266" i="106"/>
  <c r="AU250" i="5" s="1"/>
  <c r="AQ391" i="106"/>
  <c r="AQ93" i="126" s="1"/>
  <c r="AS141" i="106"/>
  <c r="AR293" i="106"/>
  <c r="AQ379" i="106"/>
  <c r="AQ76" i="126" s="1"/>
  <c r="AR138" i="106"/>
  <c r="AP417" i="106"/>
  <c r="AP138" i="126" s="1"/>
  <c r="AQ378" i="106"/>
  <c r="AQ75" i="126" s="1"/>
  <c r="AV132" i="106"/>
  <c r="AQ407" i="106"/>
  <c r="AQ119" i="126" s="1"/>
  <c r="AQ395" i="106"/>
  <c r="AQ99" i="126" s="1"/>
  <c r="AQ381" i="106"/>
  <c r="AQ78" i="126" s="1"/>
  <c r="AP372" i="106"/>
  <c r="AP65" i="126" s="1"/>
  <c r="AR342" i="106"/>
  <c r="AR20" i="126" s="1"/>
  <c r="AR171" i="106"/>
  <c r="AV167" i="106"/>
  <c r="AU164" i="106"/>
  <c r="AT162" i="106"/>
  <c r="AS139" i="106"/>
  <c r="AR136" i="106"/>
  <c r="AV130" i="106"/>
  <c r="AS126" i="106"/>
  <c r="AP369" i="106"/>
  <c r="AP60" i="126" s="1"/>
  <c r="AT280" i="106"/>
  <c r="AS170" i="106"/>
  <c r="AR167" i="106"/>
  <c r="AV163" i="106"/>
  <c r="AU141" i="106"/>
  <c r="AT138" i="106"/>
  <c r="AS135" i="106"/>
  <c r="AR130" i="106"/>
  <c r="AR271" i="106"/>
  <c r="AR255" i="5" s="1"/>
  <c r="AT266" i="106"/>
  <c r="AT250" i="5" s="1"/>
  <c r="AQ414" i="106"/>
  <c r="AQ133" i="126" s="1"/>
  <c r="AP403" i="106"/>
  <c r="AP113" i="126" s="1"/>
  <c r="AP391" i="106"/>
  <c r="AP93" i="126" s="1"/>
  <c r="AP378" i="106"/>
  <c r="AP75" i="126" s="1"/>
  <c r="AV279" i="106"/>
  <c r="AU169" i="106"/>
  <c r="AT166" i="106"/>
  <c r="AS163" i="106"/>
  <c r="AR141" i="106"/>
  <c r="AV137" i="106"/>
  <c r="AU132" i="106"/>
  <c r="AT129" i="106"/>
  <c r="AT270" i="106"/>
  <c r="AT254" i="5" s="1"/>
  <c r="AR265" i="106"/>
  <c r="AR248" i="5" s="1"/>
  <c r="AP414" i="106"/>
  <c r="AP133" i="126" s="1"/>
  <c r="AQ401" i="106"/>
  <c r="AQ109" i="126" s="1"/>
  <c r="AQ389" i="106"/>
  <c r="AQ89" i="126" s="1"/>
  <c r="AQ376" i="106"/>
  <c r="AQ71" i="126" s="1"/>
  <c r="AU279" i="106"/>
  <c r="AT169" i="106"/>
  <c r="AS166" i="106"/>
  <c r="AR163" i="106"/>
  <c r="AV140" i="106"/>
  <c r="AU137" i="106"/>
  <c r="AT132" i="106"/>
  <c r="AS129" i="106"/>
  <c r="AR270" i="106"/>
  <c r="AR254" i="5" s="1"/>
  <c r="AQ264" i="106"/>
  <c r="AQ247" i="5" s="1"/>
  <c r="AP419" i="106"/>
  <c r="AP140" i="126" s="1"/>
  <c r="AQ410" i="106"/>
  <c r="AQ124" i="126" s="1"/>
  <c r="AQ398" i="106"/>
  <c r="AQ104" i="126" s="1"/>
  <c r="AQ386" i="106"/>
  <c r="AQ84" i="126" s="1"/>
  <c r="AP374" i="106"/>
  <c r="AP67" i="126" s="1"/>
  <c r="AQ352" i="106"/>
  <c r="AQ32" i="126" s="1"/>
  <c r="AV171" i="106"/>
  <c r="AU168" i="106"/>
  <c r="AT165" i="106"/>
  <c r="AR140" i="106"/>
  <c r="AV136" i="106"/>
  <c r="AU131" i="106"/>
  <c r="AU127" i="106"/>
  <c r="AQ270" i="106"/>
  <c r="AQ254" i="5" s="1"/>
  <c r="AP418" i="106"/>
  <c r="AP139" i="126" s="1"/>
  <c r="AQ409" i="106"/>
  <c r="AQ123" i="126" s="1"/>
  <c r="AQ397" i="106"/>
  <c r="AQ103" i="126" s="1"/>
  <c r="AQ385" i="106"/>
  <c r="AQ83" i="126" s="1"/>
  <c r="AP373" i="106"/>
  <c r="AP66" i="126" s="1"/>
  <c r="AT171" i="106"/>
  <c r="AS168" i="106"/>
  <c r="AR165" i="106"/>
  <c r="AV162" i="106"/>
  <c r="AU139" i="106"/>
  <c r="AT136" i="106"/>
  <c r="AS131" i="106"/>
  <c r="AV126" i="106"/>
  <c r="AV267" i="106"/>
  <c r="AV251" i="5" s="1"/>
  <c r="AV293" i="106"/>
  <c r="AQ417" i="106"/>
  <c r="AQ138" i="126" s="1"/>
  <c r="AP409" i="106"/>
  <c r="AP123" i="126" s="1"/>
  <c r="AP397" i="106"/>
  <c r="AP103" i="126" s="1"/>
  <c r="AP385" i="106"/>
  <c r="AP83" i="126" s="1"/>
  <c r="AQ372" i="106"/>
  <c r="AQ65" i="126" s="1"/>
  <c r="AS171" i="106"/>
  <c r="AR168" i="106"/>
  <c r="AV164" i="106"/>
  <c r="AU162" i="106"/>
  <c r="AT139" i="106"/>
  <c r="AS136" i="106"/>
  <c r="AR131" i="106"/>
  <c r="AT126" i="106"/>
  <c r="AR126" i="106"/>
  <c r="AT128" i="106"/>
  <c r="AR128" i="106"/>
  <c r="AV127" i="106"/>
  <c r="I274" i="106"/>
  <c r="I258" i="5" s="1"/>
  <c r="AQ271" i="106"/>
  <c r="AQ255" i="5" s="1"/>
  <c r="AU267" i="106"/>
  <c r="AU251" i="5" s="1"/>
  <c r="AS266" i="106"/>
  <c r="AS250" i="5" s="1"/>
  <c r="AU293" i="106"/>
  <c r="AO414" i="106"/>
  <c r="AO133" i="126" s="1"/>
  <c r="AP407" i="106"/>
  <c r="AP119" i="126" s="1"/>
  <c r="AP401" i="106"/>
  <c r="AP109" i="126" s="1"/>
  <c r="AP395" i="106"/>
  <c r="AP99" i="126" s="1"/>
  <c r="AP389" i="106"/>
  <c r="AP89" i="126" s="1"/>
  <c r="AP381" i="106"/>
  <c r="AP78" i="126" s="1"/>
  <c r="AP376" i="106"/>
  <c r="AP71" i="126" s="1"/>
  <c r="AQ370" i="106"/>
  <c r="AQ61" i="126" s="1"/>
  <c r="AT279" i="106"/>
  <c r="AV170" i="106"/>
  <c r="AS169" i="106"/>
  <c r="AU167" i="106"/>
  <c r="AR166" i="106"/>
  <c r="AT164" i="106"/>
  <c r="AS162" i="106"/>
  <c r="AU140" i="106"/>
  <c r="AR139" i="106"/>
  <c r="AT137" i="106"/>
  <c r="AV135" i="106"/>
  <c r="AS132" i="106"/>
  <c r="AU130" i="106"/>
  <c r="AR129" i="106"/>
  <c r="AT127" i="106"/>
  <c r="I273" i="106"/>
  <c r="I257" i="5" s="1"/>
  <c r="AV270" i="106"/>
  <c r="AV254" i="5" s="1"/>
  <c r="AT267" i="106"/>
  <c r="AT251" i="5" s="1"/>
  <c r="AR266" i="106"/>
  <c r="AR250" i="5" s="1"/>
  <c r="AT293" i="106"/>
  <c r="AQ412" i="106"/>
  <c r="AQ128" i="126" s="1"/>
  <c r="AQ406" i="106"/>
  <c r="AQ118" i="126" s="1"/>
  <c r="AQ400" i="106"/>
  <c r="AQ108" i="126" s="1"/>
  <c r="AQ394" i="106"/>
  <c r="AQ98" i="126" s="1"/>
  <c r="AQ388" i="106"/>
  <c r="AQ88" i="126" s="1"/>
  <c r="AQ380" i="106"/>
  <c r="AQ77" i="126" s="1"/>
  <c r="AO376" i="106"/>
  <c r="AO71" i="126" s="1"/>
  <c r="AP370" i="106"/>
  <c r="AP61" i="126" s="1"/>
  <c r="AQ353" i="106"/>
  <c r="AQ10" i="126" s="1"/>
  <c r="AV280" i="106"/>
  <c r="AS279" i="106"/>
  <c r="AU170" i="106"/>
  <c r="AR169" i="106"/>
  <c r="AT167" i="106"/>
  <c r="AV165" i="106"/>
  <c r="AS164" i="106"/>
  <c r="AR162" i="106"/>
  <c r="AT140" i="106"/>
  <c r="AV138" i="106"/>
  <c r="AS137" i="106"/>
  <c r="AU135" i="106"/>
  <c r="AR132" i="106"/>
  <c r="AT130" i="106"/>
  <c r="AV128" i="106"/>
  <c r="AS127" i="106"/>
  <c r="I272" i="106"/>
  <c r="I256" i="5" s="1"/>
  <c r="AU270" i="106"/>
  <c r="AU254" i="5" s="1"/>
  <c r="AS267" i="106"/>
  <c r="AS251" i="5" s="1"/>
  <c r="AS293" i="106"/>
  <c r="AQ419" i="106"/>
  <c r="AQ140" i="126" s="1"/>
  <c r="AP412" i="106"/>
  <c r="AP128" i="126" s="1"/>
  <c r="AP406" i="106"/>
  <c r="AP118" i="126" s="1"/>
  <c r="AP400" i="106"/>
  <c r="AP108" i="126" s="1"/>
  <c r="AP394" i="106"/>
  <c r="AP98" i="126" s="1"/>
  <c r="AP388" i="106"/>
  <c r="AP88" i="126" s="1"/>
  <c r="AP380" i="106"/>
  <c r="AP77" i="126" s="1"/>
  <c r="AQ374" i="106"/>
  <c r="AQ67" i="126" s="1"/>
  <c r="AQ369" i="106"/>
  <c r="AQ60" i="126" s="1"/>
  <c r="AU280" i="106"/>
  <c r="AR279" i="106"/>
  <c r="AT170" i="106"/>
  <c r="AV168" i="106"/>
  <c r="AS167" i="106"/>
  <c r="AU165" i="106"/>
  <c r="AR164" i="106"/>
  <c r="AV141" i="106"/>
  <c r="AS140" i="106"/>
  <c r="AU138" i="106"/>
  <c r="AR137" i="106"/>
  <c r="AT135" i="106"/>
  <c r="AV131" i="106"/>
  <c r="AS130" i="106"/>
  <c r="AU128" i="106"/>
  <c r="AR127" i="106"/>
  <c r="AU271" i="106"/>
  <c r="AU255" i="5" s="1"/>
  <c r="AS270" i="106"/>
  <c r="AS254" i="5" s="1"/>
  <c r="AQ267" i="106"/>
  <c r="AQ251" i="5" s="1"/>
  <c r="AQ418" i="106"/>
  <c r="AQ139" i="126" s="1"/>
  <c r="AP415" i="106"/>
  <c r="AP134" i="126" s="1"/>
  <c r="AP410" i="106"/>
  <c r="AP124" i="126" s="1"/>
  <c r="AP404" i="106"/>
  <c r="AP114" i="126" s="1"/>
  <c r="AP398" i="106"/>
  <c r="AP104" i="126" s="1"/>
  <c r="AP392" i="106"/>
  <c r="AP94" i="126" s="1"/>
  <c r="AP386" i="106"/>
  <c r="AP84" i="126" s="1"/>
  <c r="AP379" i="106"/>
  <c r="AP76" i="126" s="1"/>
  <c r="AQ373" i="106"/>
  <c r="AQ66" i="126" s="1"/>
  <c r="AQ368" i="106"/>
  <c r="AQ59" i="126" s="1"/>
  <c r="AP352" i="106"/>
  <c r="AP32" i="126" s="1"/>
  <c r="AS280" i="106"/>
  <c r="AU171" i="106"/>
  <c r="AR170" i="106"/>
  <c r="AT168" i="106"/>
  <c r="AV166" i="106"/>
  <c r="AS165" i="106"/>
  <c r="AU163" i="106"/>
  <c r="AT141" i="106"/>
  <c r="AV139" i="106"/>
  <c r="AS138" i="106"/>
  <c r="AU136" i="106"/>
  <c r="AR135" i="106"/>
  <c r="AT131" i="106"/>
  <c r="AV129" i="106"/>
  <c r="AS128" i="106"/>
  <c r="AQ407" i="5" l="1"/>
  <c r="AS407" i="5"/>
  <c r="AT407" i="5"/>
  <c r="AU407" i="5"/>
  <c r="AM407" i="5"/>
  <c r="AN354" i="5" s="1"/>
  <c r="AR407" i="5"/>
  <c r="AJ407" i="5"/>
  <c r="AL407" i="5"/>
  <c r="AO407" i="5"/>
  <c r="AP407" i="5"/>
  <c r="AU48" i="126"/>
  <c r="AU25" i="101" s="1"/>
  <c r="AT48" i="126"/>
  <c r="AT25" i="101" s="1"/>
  <c r="E96" i="106"/>
  <c r="E354" i="5"/>
  <c r="AP354" i="5"/>
  <c r="AM38" i="126"/>
  <c r="AN52" i="126"/>
  <c r="AN55" i="126" s="1"/>
  <c r="AL52" i="126"/>
  <c r="AL55" i="126" s="1"/>
  <c r="AQ52" i="126"/>
  <c r="AQ55" i="126" s="1"/>
  <c r="AP52" i="126"/>
  <c r="AP55" i="126" s="1"/>
  <c r="AR52" i="126"/>
  <c r="AR55" i="126" s="1"/>
  <c r="AR149" i="126" s="1"/>
  <c r="AM52" i="126"/>
  <c r="AM55" i="126" s="1"/>
  <c r="AS52" i="126"/>
  <c r="AS55" i="126" s="1"/>
  <c r="AS149" i="126" s="1"/>
  <c r="AU22" i="126"/>
  <c r="AR22" i="126"/>
  <c r="AR25" i="126" s="1"/>
  <c r="AV22" i="126"/>
  <c r="AS22" i="126"/>
  <c r="AT22" i="126"/>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75" i="5"/>
  <c r="AT61" i="5"/>
  <c r="AV107" i="5"/>
  <c r="AS106" i="5"/>
  <c r="AS101" i="5"/>
  <c r="AR285" i="5"/>
  <c r="AS118" i="5"/>
  <c r="AT77" i="5"/>
  <c r="AT104" i="5"/>
  <c r="AU130" i="5"/>
  <c r="AV105" i="5"/>
  <c r="AS62" i="5"/>
  <c r="AU76" i="5"/>
  <c r="AU107" i="5"/>
  <c r="AV65" i="5"/>
  <c r="AU61" i="5"/>
  <c r="AU105" i="5"/>
  <c r="I239" i="5"/>
  <c r="I18" i="125" s="1"/>
  <c r="AK177" i="5"/>
  <c r="AO177" i="5"/>
  <c r="AQ275" i="5"/>
  <c r="AQ88" i="15" s="1"/>
  <c r="AV94" i="5"/>
  <c r="AT129" i="5"/>
  <c r="AS129" i="5"/>
  <c r="AR92" i="5"/>
  <c r="AV64" i="5"/>
  <c r="AR66" i="5"/>
  <c r="AS105" i="5"/>
  <c r="AJ180" i="5"/>
  <c r="AT66" i="5"/>
  <c r="AT109" i="5"/>
  <c r="AS73" i="5"/>
  <c r="AR72" i="5"/>
  <c r="AT107" i="5"/>
  <c r="AU75" i="5"/>
  <c r="AR283" i="5"/>
  <c r="AV63" i="5"/>
  <c r="AS103" i="5"/>
  <c r="AT288" i="5"/>
  <c r="AS67" i="5"/>
  <c r="AU106" i="5"/>
  <c r="AT76" i="5"/>
  <c r="AV101" i="5"/>
  <c r="AV110" i="5"/>
  <c r="AU283" i="5"/>
  <c r="AU67" i="5"/>
  <c r="AU78" i="5"/>
  <c r="AR73" i="5"/>
  <c r="AR288" i="5"/>
  <c r="AV108" i="5"/>
  <c r="AU64" i="5"/>
  <c r="I242" i="5"/>
  <c r="I35" i="125" s="1"/>
  <c r="AK180" i="5"/>
  <c r="AO180" i="5"/>
  <c r="AU129" i="5"/>
  <c r="AV130" i="5"/>
  <c r="AU118" i="5"/>
  <c r="AV92" i="5"/>
  <c r="AS63" i="5"/>
  <c r="AT62" i="5"/>
  <c r="AR102" i="5"/>
  <c r="AN177" i="5"/>
  <c r="AS61" i="5"/>
  <c r="AU94" i="5"/>
  <c r="AU65" i="5"/>
  <c r="AU73" i="5"/>
  <c r="AR109" i="5"/>
  <c r="AS77" i="5"/>
  <c r="AU284" i="5"/>
  <c r="AT65" i="5"/>
  <c r="AV104" i="5"/>
  <c r="AV72" i="5"/>
  <c r="AS108" i="5"/>
  <c r="AV62" i="5"/>
  <c r="AU101" i="5"/>
  <c r="AR104" i="5"/>
  <c r="AS64" i="5"/>
  <c r="AV74" i="5"/>
  <c r="AV102" i="5"/>
  <c r="AS76" i="5"/>
  <c r="AS78" i="5"/>
  <c r="AV285" i="5"/>
  <c r="I241" i="5"/>
  <c r="I34" i="125" s="1"/>
  <c r="AL177" i="5"/>
  <c r="AP177" i="5"/>
  <c r="AV129" i="5"/>
  <c r="AV118" i="5"/>
  <c r="AT92" i="5"/>
  <c r="AS283" i="5"/>
  <c r="AS66" i="5"/>
  <c r="AR65" i="5"/>
  <c r="AR276" i="5"/>
  <c r="AR100" i="15" s="1"/>
  <c r="AV284" i="5"/>
  <c r="AR75" i="5"/>
  <c r="AV119" i="5"/>
  <c r="AR74" i="5"/>
  <c r="AR105" i="5"/>
  <c r="AT64" i="5"/>
  <c r="AS75" i="5"/>
  <c r="AV78" i="5"/>
  <c r="AR67" i="5"/>
  <c r="AT106" i="5"/>
  <c r="AT74" i="5"/>
  <c r="AV109" i="5"/>
  <c r="AR63" i="5"/>
  <c r="AV103" i="5"/>
  <c r="AV288" i="5"/>
  <c r="AS107" i="5"/>
  <c r="AU62" i="5"/>
  <c r="AT67" i="5"/>
  <c r="AR78" i="5"/>
  <c r="AR106" i="5"/>
  <c r="AT101" i="5"/>
  <c r="AR284" i="5"/>
  <c r="AS285" i="5"/>
  <c r="I243" i="5"/>
  <c r="I36" i="125" s="1"/>
  <c r="AL180" i="5"/>
  <c r="AP180" i="5"/>
  <c r="AR130" i="5"/>
  <c r="AR119" i="5"/>
  <c r="AS92" i="5"/>
  <c r="AU102" i="5"/>
  <c r="AR77" i="5"/>
  <c r="AR110" i="5"/>
  <c r="AI231" i="5"/>
  <c r="AT94" i="5"/>
  <c r="AT72" i="5"/>
  <c r="AR64" i="5"/>
  <c r="AS72" i="5"/>
  <c r="AR278" i="5"/>
  <c r="AR213" i="17" s="1"/>
  <c r="AT75" i="5"/>
  <c r="AU110" i="5"/>
  <c r="AR62" i="5"/>
  <c r="AV76" i="5"/>
  <c r="AS284" i="5"/>
  <c r="AU63" i="5"/>
  <c r="AR103" i="5"/>
  <c r="AS288" i="5"/>
  <c r="AU72" i="5"/>
  <c r="AR108" i="5"/>
  <c r="AR76" i="5"/>
  <c r="AT283" i="5"/>
  <c r="AT63" i="5"/>
  <c r="AR107" i="5"/>
  <c r="AT110" i="5"/>
  <c r="AU66" i="5"/>
  <c r="AU74" i="5"/>
  <c r="AS102" i="5"/>
  <c r="AS109" i="5"/>
  <c r="AU103" i="5"/>
  <c r="AV67" i="5"/>
  <c r="AT285" i="5"/>
  <c r="AQ57" i="101"/>
  <c r="I240" i="5"/>
  <c r="I33" i="125" s="1"/>
  <c r="AM177" i="5"/>
  <c r="AQ177" i="5"/>
  <c r="AR94" i="5"/>
  <c r="AS130" i="5"/>
  <c r="AR118" i="5"/>
  <c r="AS119" i="5"/>
  <c r="AU92" i="5"/>
  <c r="AV66" i="5"/>
  <c r="AU108" i="5"/>
  <c r="AJ177" i="5"/>
  <c r="AR129" i="5"/>
  <c r="AS104" i="5"/>
  <c r="AT103" i="5"/>
  <c r="AT73" i="5"/>
  <c r="AV283" i="5"/>
  <c r="AN180" i="5"/>
  <c r="AT119" i="5"/>
  <c r="AR101" i="5"/>
  <c r="AT108" i="5"/>
  <c r="AT78" i="5"/>
  <c r="AS65" i="5"/>
  <c r="AU104" i="5"/>
  <c r="AS74" i="5"/>
  <c r="AU109" i="5"/>
  <c r="AU77" i="5"/>
  <c r="AU288" i="5"/>
  <c r="AR61" i="5"/>
  <c r="AS110" i="5"/>
  <c r="AV61" i="5"/>
  <c r="AV73" i="5"/>
  <c r="AV77" i="5"/>
  <c r="AT105" i="5"/>
  <c r="AT284" i="5"/>
  <c r="AV106" i="5"/>
  <c r="AT102" i="5"/>
  <c r="AU285" i="5"/>
  <c r="AH231" i="5"/>
  <c r="AM180" i="5"/>
  <c r="AQ180" i="5"/>
  <c r="AQ63" i="17" s="1"/>
  <c r="AQ66" i="17" s="1"/>
  <c r="AS94" i="5"/>
  <c r="AT130" i="5"/>
  <c r="AU119" i="5"/>
  <c r="AT118" i="5"/>
  <c r="AV209" i="5"/>
  <c r="AU209" i="5"/>
  <c r="AS209" i="5"/>
  <c r="AT209" i="5"/>
  <c r="AR209" i="5"/>
  <c r="AT210" i="5"/>
  <c r="AS210" i="5"/>
  <c r="AU210" i="5"/>
  <c r="AV210" i="5"/>
  <c r="AR210" i="5"/>
  <c r="AU62" i="2" l="1"/>
  <c r="AS62" i="2"/>
  <c r="AR62" i="2"/>
  <c r="AT62" i="2"/>
  <c r="AV62" i="2"/>
  <c r="AO354" i="5"/>
  <c r="AN182" i="5"/>
  <c r="E407"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U49" i="2"/>
  <c r="AT49" i="2"/>
  <c r="AS54" i="126"/>
  <c r="AM54" i="126"/>
  <c r="AK54" i="126"/>
  <c r="AO54" i="126"/>
  <c r="AR54" i="126"/>
  <c r="AP54" i="126"/>
  <c r="AL54" i="126"/>
  <c r="AQ54" i="126"/>
  <c r="AN54" i="126"/>
  <c r="AQ41" i="126"/>
  <c r="AR42" i="126"/>
  <c r="AR43" i="126" s="1"/>
  <c r="AR148" i="126" s="1"/>
  <c r="AM182" i="5"/>
  <c r="AP182" i="5"/>
  <c r="AS49" i="2"/>
  <c r="AV49" i="2"/>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4" i="5"/>
  <c r="AR87" i="15" s="1"/>
  <c r="AR273" i="5"/>
  <c r="AR74" i="15" s="1"/>
  <c r="AR272" i="5"/>
  <c r="AR61" i="15" s="1"/>
  <c r="AT286" i="106"/>
  <c r="AR286" i="106"/>
  <c r="AU286" i="106"/>
  <c r="AS286" i="106"/>
  <c r="AV286" i="106"/>
  <c r="AS264" i="5" l="1"/>
  <c r="AT264" i="5"/>
  <c r="AR264" i="5"/>
  <c r="AU264" i="5"/>
  <c r="AV264" i="5"/>
  <c r="Q226" i="5"/>
  <c r="AV112" i="108"/>
  <c r="AV105" i="108"/>
  <c r="AV87" i="108"/>
  <c r="AV116" i="108"/>
  <c r="AV94" i="108"/>
  <c r="AV108" i="108"/>
  <c r="AV103" i="108"/>
  <c r="AV93" i="108"/>
  <c r="AV114" i="108"/>
  <c r="AV107" i="108"/>
  <c r="AV101" i="108"/>
  <c r="AV121" i="108"/>
  <c r="AV82" i="108"/>
  <c r="AV102" i="108"/>
  <c r="AV109" i="108"/>
  <c r="AV80" i="108"/>
  <c r="AV79" i="108"/>
  <c r="AV99" i="108"/>
  <c r="AV91" i="108"/>
  <c r="AV119" i="108"/>
  <c r="AV95" i="108"/>
  <c r="AV115" i="108"/>
  <c r="AV85" i="108"/>
  <c r="AV78" i="108"/>
  <c r="AV86" i="108"/>
  <c r="AV120" i="108"/>
  <c r="AV106" i="108"/>
  <c r="AV100" i="108"/>
  <c r="AV92" i="108"/>
  <c r="AV113" i="108"/>
  <c r="AV88" i="108"/>
  <c r="AV76" i="108"/>
  <c r="AV84" i="108"/>
  <c r="AV77" i="108"/>
  <c r="AV97" i="108"/>
  <c r="AV90" i="108"/>
  <c r="AV117" i="108"/>
  <c r="AV110" i="108"/>
  <c r="AV111" i="108"/>
  <c r="AV89" i="108"/>
  <c r="AV83" i="108"/>
  <c r="AV104" i="108"/>
  <c r="AV98" i="108"/>
  <c r="AV118" i="108"/>
  <c r="AV81" i="108"/>
  <c r="AR153" i="106"/>
  <c r="AU153" i="106"/>
  <c r="AT153" i="106"/>
  <c r="AV153" i="106"/>
  <c r="AS153" i="106"/>
  <c r="AU75" i="108" a="1"/>
  <c r="AU75" i="108" s="1"/>
  <c r="AQ75" i="108" a="1"/>
  <c r="AQ75" i="108" s="1"/>
  <c r="AS75" i="108" a="1"/>
  <c r="AS75" i="108" s="1"/>
  <c r="AT75" i="108" a="1"/>
  <c r="AT75" i="108" s="1"/>
  <c r="AP75" i="108" a="1"/>
  <c r="AP75" i="108" s="1"/>
  <c r="AR75" i="108" a="1"/>
  <c r="AR75" i="108" s="1"/>
  <c r="AO75" i="108" a="1"/>
  <c r="AO75" i="108"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2"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S329" i="106"/>
  <c r="AV290" i="106"/>
  <c r="AR193" i="106"/>
  <c r="AT182" i="106"/>
  <c r="AU306" i="106"/>
  <c r="AT43" i="106"/>
  <c r="AU303" i="106"/>
  <c r="AR69" i="106"/>
  <c r="AR17" i="106"/>
  <c r="AU308" i="106"/>
  <c r="AS20" i="106"/>
  <c r="AR40" i="106"/>
  <c r="AS47" i="106"/>
  <c r="AR42" i="106"/>
  <c r="AV311" i="106"/>
  <c r="AV304" i="106"/>
  <c r="AU319" i="106"/>
  <c r="AV337" i="106"/>
  <c r="AU20" i="106"/>
  <c r="AU151" i="106"/>
  <c r="AV37" i="106"/>
  <c r="AS69" i="106"/>
  <c r="AR196" i="106"/>
  <c r="AS287" i="106"/>
  <c r="AS332" i="106"/>
  <c r="AT328" i="106"/>
  <c r="AS318" i="106"/>
  <c r="AS182" i="106"/>
  <c r="AU31" i="106"/>
  <c r="AT36" i="106"/>
  <c r="AS67" i="106"/>
  <c r="AV145" i="106"/>
  <c r="AV198" i="106"/>
  <c r="AV287" i="106"/>
  <c r="AT296" i="106"/>
  <c r="AR309" i="106"/>
  <c r="AT317" i="106"/>
  <c r="AU332" i="106"/>
  <c r="AT53" i="106"/>
  <c r="AR152" i="106"/>
  <c r="AS50" i="106"/>
  <c r="AU39" i="106"/>
  <c r="AT289" i="106"/>
  <c r="AT327" i="106"/>
  <c r="AT304" i="106"/>
  <c r="AV331" i="106"/>
  <c r="AR320" i="106"/>
  <c r="AS18" i="106"/>
  <c r="AT180" i="106"/>
  <c r="AV35" i="106"/>
  <c r="AU63" i="106"/>
  <c r="AR53" i="106"/>
  <c r="AS55" i="106"/>
  <c r="AT201" i="106"/>
  <c r="AT300" i="106"/>
  <c r="AU296" i="106"/>
  <c r="AT314" i="106"/>
  <c r="AT334" i="106"/>
  <c r="AT15" i="106"/>
  <c r="AR38" i="106"/>
  <c r="AU34" i="106"/>
  <c r="AT41" i="106"/>
  <c r="AU193" i="106"/>
  <c r="AS193" i="106"/>
  <c r="AS206" i="106"/>
  <c r="AR307" i="106"/>
  <c r="AR300" i="106"/>
  <c r="AV314" i="106"/>
  <c r="AR333" i="106"/>
  <c r="AT62" i="106"/>
  <c r="AR35" i="106"/>
  <c r="AS70" i="106"/>
  <c r="AR66" i="106"/>
  <c r="AT287" i="106"/>
  <c r="AU313" i="106"/>
  <c r="AS325" i="106"/>
  <c r="AR315"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R321" i="106"/>
  <c r="AU45" i="106"/>
  <c r="AV28" i="106"/>
  <c r="AV299" i="106"/>
  <c r="AS71" i="106"/>
  <c r="AR49" i="106"/>
  <c r="AU301" i="106"/>
  <c r="AV18" i="106"/>
  <c r="AS36" i="106"/>
  <c r="AR198" i="106"/>
  <c r="AR59" i="106"/>
  <c r="AV54" i="106"/>
  <c r="AV177" i="106"/>
  <c r="AV203" i="106"/>
  <c r="AT288" i="106"/>
  <c r="AT302" i="106"/>
  <c r="AR314" i="106"/>
  <c r="AT332" i="106"/>
  <c r="AS27" i="106"/>
  <c r="AU35" i="106"/>
  <c r="AU146" i="106"/>
  <c r="AU65" i="106"/>
  <c r="AS177" i="106"/>
  <c r="AV194" i="106"/>
  <c r="AV206" i="106"/>
  <c r="AU289" i="106"/>
  <c r="AT307" i="106"/>
  <c r="AV315" i="106"/>
  <c r="AR331" i="106"/>
  <c r="AT19" i="106"/>
  <c r="AU42" i="106"/>
  <c r="AT69" i="106"/>
  <c r="AU48" i="106"/>
  <c r="AS40" i="106"/>
  <c r="AR206" i="106"/>
  <c r="AS204" i="106"/>
  <c r="AT303" i="106"/>
  <c r="AV302" i="106"/>
  <c r="AS330" i="106"/>
  <c r="AT318" i="106"/>
  <c r="AU16" i="106"/>
  <c r="AV67" i="106"/>
  <c r="AS34" i="106"/>
  <c r="AR62" i="106"/>
  <c r="AT52" i="106"/>
  <c r="AU53" i="106"/>
  <c r="AV199" i="106"/>
  <c r="AV298" i="106"/>
  <c r="AT335" i="106"/>
  <c r="AV332" i="106"/>
  <c r="AS15" i="106"/>
  <c r="AT63" i="106"/>
  <c r="AV65" i="106"/>
  <c r="AR68" i="106"/>
  <c r="AV180" i="106"/>
  <c r="AV193" i="106"/>
  <c r="AS313" i="106"/>
  <c r="AT309" i="106"/>
  <c r="AS327" i="106"/>
  <c r="AU318" i="106"/>
  <c r="AS32" i="106"/>
  <c r="AS60" i="106"/>
  <c r="AS54" i="106"/>
  <c r="AR51" i="106"/>
  <c r="AT155" i="106"/>
  <c r="AR199" i="106"/>
  <c r="AU297" i="106"/>
  <c r="AV312" i="106"/>
  <c r="AU327" i="106"/>
  <c r="AS52" i="106"/>
  <c r="AT32" i="106"/>
  <c r="AT61" i="106"/>
  <c r="AU290" i="106"/>
  <c r="AS304" i="106"/>
  <c r="AV327" i="106"/>
  <c r="AJ246" i="106"/>
  <c r="AM247" i="106"/>
  <c r="I245" i="106"/>
  <c r="AU93" i="106"/>
  <c r="AT120" i="106"/>
  <c r="AT88" i="106"/>
  <c r="AS85" i="106"/>
  <c r="AR104" i="106"/>
  <c r="AQ107" i="106"/>
  <c r="AP80" i="106"/>
  <c r="AR145"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R312" i="106"/>
  <c r="AU173" i="106"/>
  <c r="AS51" i="106"/>
  <c r="AV323" i="106"/>
  <c r="AT204" i="106"/>
  <c r="AV38" i="106"/>
  <c r="AU317" i="106"/>
  <c r="AT200" i="106"/>
  <c r="AT316" i="106"/>
  <c r="AR19" i="106"/>
  <c r="AS68" i="106"/>
  <c r="AV71" i="106"/>
  <c r="AU67" i="106"/>
  <c r="AT194" i="106"/>
  <c r="AS290" i="106"/>
  <c r="AT319" i="106"/>
  <c r="AV326" i="106"/>
  <c r="AU316" i="106"/>
  <c r="AV17" i="106"/>
  <c r="AR63" i="106"/>
  <c r="AR47" i="106"/>
  <c r="AV155" i="106"/>
  <c r="AU38" i="106"/>
  <c r="AU203" i="106"/>
  <c r="AU202" i="106"/>
  <c r="AS316" i="106"/>
  <c r="AS301" i="106"/>
  <c r="AU328" i="106"/>
  <c r="AV182" i="106"/>
  <c r="AT55" i="106"/>
  <c r="AU32" i="106"/>
  <c r="AT60" i="106"/>
  <c r="AV50" i="106"/>
  <c r="AT145" i="106"/>
  <c r="AS198" i="106"/>
  <c r="AS297" i="106"/>
  <c r="AU322" i="106"/>
  <c r="AS331" i="106"/>
  <c r="AR71" i="106"/>
  <c r="AS59" i="106"/>
  <c r="AS64" i="106"/>
  <c r="AT66" i="106"/>
  <c r="AV289" i="106"/>
  <c r="AU311" i="106"/>
  <c r="AV307" i="106"/>
  <c r="AU325" i="106"/>
  <c r="AR317" i="106"/>
  <c r="AT34" i="106"/>
  <c r="AR33" i="106"/>
  <c r="AV40" i="106"/>
  <c r="AU177" i="106"/>
  <c r="AR287" i="106"/>
  <c r="AT305" i="106"/>
  <c r="AT298" i="106"/>
  <c r="AT331" i="106"/>
  <c r="AV53" i="106"/>
  <c r="AV31" i="106"/>
  <c r="AR67" i="106"/>
  <c r="AV62" i="106"/>
  <c r="AR288" i="106"/>
  <c r="AT310" i="106"/>
  <c r="AR322" i="106"/>
  <c r="AR15" i="106"/>
  <c r="AR28" i="106"/>
  <c r="AT54" i="106"/>
  <c r="AV42" i="106"/>
  <c r="AV173" i="106"/>
  <c r="AS195" i="106"/>
  <c r="AT199" i="106"/>
  <c r="AR313" i="106"/>
  <c r="AV333" i="106"/>
  <c r="AT325" i="106"/>
  <c r="AP246" i="106"/>
  <c r="AO246" i="106"/>
  <c r="AS292"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U323" i="106"/>
  <c r="AR204" i="106"/>
  <c r="AS41" i="106"/>
  <c r="AV288" i="106"/>
  <c r="AV66" i="106"/>
  <c r="AU337" i="106"/>
  <c r="AR197" i="106"/>
  <c r="AR43" i="106"/>
  <c r="AU334" i="106"/>
  <c r="AV61" i="106"/>
  <c r="AR34" i="106"/>
  <c r="AU66" i="106"/>
  <c r="AR64" i="106"/>
  <c r="AS173" i="106"/>
  <c r="AS180" i="106"/>
  <c r="AS205" i="106"/>
  <c r="AU287" i="106"/>
  <c r="AV305" i="106"/>
  <c r="AT329" i="106"/>
  <c r="AR182" i="106"/>
  <c r="AV43" i="106"/>
  <c r="AR31" i="106"/>
  <c r="AV58" i="106"/>
  <c r="AS49" i="106"/>
  <c r="AT51" i="106"/>
  <c r="AT290" i="106"/>
  <c r="AU196" i="106"/>
  <c r="AT311" i="106"/>
  <c r="AS314" i="106"/>
  <c r="AU329" i="106"/>
  <c r="AU56" i="106"/>
  <c r="AR55" i="106"/>
  <c r="AV146" i="106"/>
  <c r="AU62" i="106"/>
  <c r="AV64" i="106"/>
  <c r="AR180" i="106"/>
  <c r="AR310" i="106"/>
  <c r="AS306" i="106"/>
  <c r="AR324" i="106"/>
  <c r="AT315" i="106"/>
  <c r="AR30" i="106"/>
  <c r="AT31" i="106"/>
  <c r="AS39" i="106"/>
  <c r="AV303" i="106"/>
  <c r="AV296" i="106"/>
  <c r="AV329" i="106"/>
  <c r="AU30" i="106"/>
  <c r="AR56" i="106"/>
  <c r="AT49" i="106"/>
  <c r="AT197" i="106"/>
  <c r="AR184" i="106"/>
  <c r="I117" i="5" s="1"/>
  <c r="AS311" i="106"/>
  <c r="AR326" i="106"/>
  <c r="AS35" i="106"/>
  <c r="AS29" i="106"/>
  <c r="AS155" i="106"/>
  <c r="AU155" i="106"/>
  <c r="AT202" i="106"/>
  <c r="AR301" i="106"/>
  <c r="AV334" i="106"/>
  <c r="AU324" i="106"/>
  <c r="AU19" i="106"/>
  <c r="AV32" i="106"/>
  <c r="AV27" i="106"/>
  <c r="AU55" i="106"/>
  <c r="AR45" i="106"/>
  <c r="AS48" i="106"/>
  <c r="AT206" i="106"/>
  <c r="AT193" i="106"/>
  <c r="AV310" i="106"/>
  <c r="AT326" i="106"/>
  <c r="AN246" i="106"/>
  <c r="AL247" i="106"/>
  <c r="AV292"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U200" i="106"/>
  <c r="AT33" i="106"/>
  <c r="AR18" i="106"/>
  <c r="AS308" i="106"/>
  <c r="AS56" i="106"/>
  <c r="AT18" i="106"/>
  <c r="AR329" i="106"/>
  <c r="AV39" i="106"/>
  <c r="AS16" i="106"/>
  <c r="AR32" i="106"/>
  <c r="AU58" i="106"/>
  <c r="AT44" i="106"/>
  <c r="AT177" i="106"/>
  <c r="AU199" i="106"/>
  <c r="AR201" i="106"/>
  <c r="AV301" i="106"/>
  <c r="AU299" i="106"/>
  <c r="AR327" i="106"/>
  <c r="AS19" i="106"/>
  <c r="AV44" i="106"/>
  <c r="AU51" i="106"/>
  <c r="AU71" i="106"/>
  <c r="AR61" i="106"/>
  <c r="AS63" i="106"/>
  <c r="AT308" i="106"/>
  <c r="AU304" i="106"/>
  <c r="AT322" i="106"/>
  <c r="AV29" i="106"/>
  <c r="AU37" i="106"/>
  <c r="AS201" i="106"/>
  <c r="AT203" i="106"/>
  <c r="AS302" i="106"/>
  <c r="AV336" i="106"/>
  <c r="AS328" i="106"/>
  <c r="AU17" i="106"/>
  <c r="AR29" i="106"/>
  <c r="AV52" i="106"/>
  <c r="AR52" i="106"/>
  <c r="AV47" i="106"/>
  <c r="AS152" i="106"/>
  <c r="AV195" i="106"/>
  <c r="AS288" i="106"/>
  <c r="AU330" i="106"/>
  <c r="AU309" i="106"/>
  <c r="AT324" i="106"/>
  <c r="AU50" i="106"/>
  <c r="AS30" i="106"/>
  <c r="AT65" i="106"/>
  <c r="AS61" i="106"/>
  <c r="AV308" i="106"/>
  <c r="AT320" i="106"/>
  <c r="AV60" i="106"/>
  <c r="AV45" i="106"/>
  <c r="AU40" i="106"/>
  <c r="AS196" i="106"/>
  <c r="AS300" i="106"/>
  <c r="AV313" i="106"/>
  <c r="AS322" i="106"/>
  <c r="AT337" i="106"/>
  <c r="AS33" i="106"/>
  <c r="AS42" i="106"/>
  <c r="AT68" i="106"/>
  <c r="AV57" i="106"/>
  <c r="AR60" i="106"/>
  <c r="AS305" i="106"/>
  <c r="AT301" i="106"/>
  <c r="AS319"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U302" i="106"/>
  <c r="AT28" i="106"/>
  <c r="AS309" i="106"/>
  <c r="AT58" i="106"/>
  <c r="AU33" i="106"/>
  <c r="AU312" i="106"/>
  <c r="AS146" i="106"/>
  <c r="AR36" i="106"/>
  <c r="AT29" i="106"/>
  <c r="AS57" i="106"/>
  <c r="AU47" i="106"/>
  <c r="AV49" i="106"/>
  <c r="AR290" i="106"/>
  <c r="AR195" i="106"/>
  <c r="AU298" i="106"/>
  <c r="AT312" i="106"/>
  <c r="AR328" i="106"/>
  <c r="AT30" i="106"/>
  <c r="AU57" i="106"/>
  <c r="AS28" i="106"/>
  <c r="AT151" i="106"/>
  <c r="AV196" i="106"/>
  <c r="AV201" i="106"/>
  <c r="AU300" i="106"/>
  <c r="AR337" i="106"/>
  <c r="AS335" i="106"/>
  <c r="AU326" i="106"/>
  <c r="AV34" i="106"/>
  <c r="AT27" i="106"/>
  <c r="AT48" i="106"/>
  <c r="AT50" i="106"/>
  <c r="AS45" i="106"/>
  <c r="AS194" i="106"/>
  <c r="AV317" i="106"/>
  <c r="AR308" i="106"/>
  <c r="AV322" i="106"/>
  <c r="AT45" i="106"/>
  <c r="AU28" i="106"/>
  <c r="AV63" i="106"/>
  <c r="AU59" i="106"/>
  <c r="AV202" i="106"/>
  <c r="AU206" i="106"/>
  <c r="AU288" i="106"/>
  <c r="AS307" i="106"/>
  <c r="AV318" i="106"/>
  <c r="AS337" i="106"/>
  <c r="AS31" i="106"/>
  <c r="AU27" i="106"/>
  <c r="AU49" i="106"/>
  <c r="AV152" i="106"/>
  <c r="AV200" i="106"/>
  <c r="AT299" i="106"/>
  <c r="AS333" i="106"/>
  <c r="AR323" i="106"/>
  <c r="AT16" i="106"/>
  <c r="AV41" i="106"/>
  <c r="AR44" i="106"/>
  <c r="AR200" i="106"/>
  <c r="AR297" i="106"/>
  <c r="AU307" i="106"/>
  <c r="AR335" i="106"/>
  <c r="AS323" i="106"/>
  <c r="AR20" i="106"/>
  <c r="AS37" i="106"/>
  <c r="AU180" i="106"/>
  <c r="AU70" i="106"/>
  <c r="AR146" i="106"/>
  <c r="AV204" i="106"/>
  <c r="AU198" i="106"/>
  <c r="AT297" i="106"/>
  <c r="AU314" i="106"/>
  <c r="AR332" i="106"/>
  <c r="AT323" i="106"/>
  <c r="AU292"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S299" i="106"/>
  <c r="AT64" i="106"/>
  <c r="AV30" i="106"/>
  <c r="AT336" i="106"/>
  <c r="AS26" i="106"/>
  <c r="AU336" i="106"/>
  <c r="AV151" i="106"/>
  <c r="AT330" i="106"/>
  <c r="AS197" i="106"/>
  <c r="AT26" i="106"/>
  <c r="AV36" i="106"/>
  <c r="AT47" i="106"/>
  <c r="AR70" i="106"/>
  <c r="AT59" i="106"/>
  <c r="AU61" i="106"/>
  <c r="AV205" i="106"/>
  <c r="AV306" i="106"/>
  <c r="AR303" i="106"/>
  <c r="AV320" i="106"/>
  <c r="AS43" i="106"/>
  <c r="AV48" i="106"/>
  <c r="AU43" i="106"/>
  <c r="AR296" i="106"/>
  <c r="AT313" i="106"/>
  <c r="AT306" i="106"/>
  <c r="AS321" i="106"/>
  <c r="AT39" i="106"/>
  <c r="AR41" i="106"/>
  <c r="AR27" i="106"/>
  <c r="AS62" i="106"/>
  <c r="AR58" i="106"/>
  <c r="AT198" i="106"/>
  <c r="AR205" i="106"/>
  <c r="AU305" i="106"/>
  <c r="AS317" i="106"/>
  <c r="AU335" i="106"/>
  <c r="AV26" i="106"/>
  <c r="AR26" i="106"/>
  <c r="AS44" i="106"/>
  <c r="AU145" i="106"/>
  <c r="AT152" i="106"/>
  <c r="AS199" i="106"/>
  <c r="AV297" i="106"/>
  <c r="AU331" i="106"/>
  <c r="AT321" i="106"/>
  <c r="AR16" i="106"/>
  <c r="AU41" i="106"/>
  <c r="AR39" i="106"/>
  <c r="AT70" i="106"/>
  <c r="AU205" i="106"/>
  <c r="AU194" i="106"/>
  <c r="AR298" i="106"/>
  <c r="AS312" i="106"/>
  <c r="AU320" i="106"/>
  <c r="AV335" i="106"/>
  <c r="AV19" i="106"/>
  <c r="AU36" i="106"/>
  <c r="AS65" i="106"/>
  <c r="AU54" i="106"/>
  <c r="AV56" i="106"/>
  <c r="AR203" i="106"/>
  <c r="AR302" i="106"/>
  <c r="AS298" i="106"/>
  <c r="AR316" i="106"/>
  <c r="AR336" i="106"/>
  <c r="AU18" i="106"/>
  <c r="AV59" i="106"/>
  <c r="AR37" i="106"/>
  <c r="AU44" i="106"/>
  <c r="AU201" i="106"/>
  <c r="AS310" i="106"/>
  <c r="AS303" i="106"/>
  <c r="AR318" i="106"/>
  <c r="AS336" i="106"/>
  <c r="AT292"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S315" i="106"/>
  <c r="AT146" i="106"/>
  <c r="AR57" i="106"/>
  <c r="AS326" i="106"/>
  <c r="AV197" i="106"/>
  <c r="AR54" i="106"/>
  <c r="AV324" i="106"/>
  <c r="AU204" i="106"/>
  <c r="AR155" i="106"/>
  <c r="AV321" i="106"/>
  <c r="AR48" i="106"/>
  <c r="AU26" i="106"/>
  <c r="AR202" i="106"/>
  <c r="AS145" i="106"/>
  <c r="AS200" i="106"/>
  <c r="AR299" i="106"/>
  <c r="AS324" i="106"/>
  <c r="AU333" i="106"/>
  <c r="AR325" i="106"/>
  <c r="AT20" i="106"/>
  <c r="AS38" i="106"/>
  <c r="AU60" i="106"/>
  <c r="AT56" i="106"/>
  <c r="AR194" i="106"/>
  <c r="AR304" i="106"/>
  <c r="AU315" i="106"/>
  <c r="AR334" i="106"/>
  <c r="AR50" i="106"/>
  <c r="AV70" i="106"/>
  <c r="AU197" i="106"/>
  <c r="AS289" i="106"/>
  <c r="AS296" i="106"/>
  <c r="AR330" i="106"/>
  <c r="AV319" i="106"/>
  <c r="AV20" i="106"/>
  <c r="AT38" i="106"/>
  <c r="AT37" i="106"/>
  <c r="AV68" i="106"/>
  <c r="AS203" i="106"/>
  <c r="AV309" i="106"/>
  <c r="AU310" i="106"/>
  <c r="AR319" i="106"/>
  <c r="AS334" i="106"/>
  <c r="AU182" i="106"/>
  <c r="AS66" i="106"/>
  <c r="AR177" i="106"/>
  <c r="AV51" i="106"/>
  <c r="AT42" i="106"/>
  <c r="AU195" i="106"/>
  <c r="AT205" i="106"/>
  <c r="AR305" i="106"/>
  <c r="AR306" i="106"/>
  <c r="AT333" i="106"/>
  <c r="AU321" i="106"/>
  <c r="AV16" i="106"/>
  <c r="AU29" i="106"/>
  <c r="AV69" i="106"/>
  <c r="AU152" i="106"/>
  <c r="AT67" i="106"/>
  <c r="AU69" i="106"/>
  <c r="AT196" i="106"/>
  <c r="AT195" i="106"/>
  <c r="AV316" i="106"/>
  <c r="AR311" i="106"/>
  <c r="AV328" i="106"/>
  <c r="AS320" i="106"/>
  <c r="AS17" i="106"/>
  <c r="AT35" i="106"/>
  <c r="AT71" i="106"/>
  <c r="AT57" i="106"/>
  <c r="AS53" i="106"/>
  <c r="AS202" i="106"/>
  <c r="AR289" i="106"/>
  <c r="AV300" i="106"/>
  <c r="AV325" i="106"/>
  <c r="AV330" i="106"/>
  <c r="AS361" i="5" l="1"/>
  <c r="AV32" i="5"/>
  <c r="AV359" i="5"/>
  <c r="AS141" i="5"/>
  <c r="AS436" i="5"/>
  <c r="AR444" i="5"/>
  <c r="AU473" i="5"/>
  <c r="AL423" i="5"/>
  <c r="AQ395" i="5"/>
  <c r="AU427" i="5"/>
  <c r="AT404" i="5"/>
  <c r="AS426" i="5"/>
  <c r="AS476" i="5"/>
  <c r="AV367" i="5"/>
  <c r="AV364" i="5"/>
  <c r="AR438" i="5"/>
  <c r="AT461" i="5"/>
  <c r="AV334" i="5"/>
  <c r="AU351" i="5"/>
  <c r="AT367" i="5"/>
  <c r="AU476" i="5"/>
  <c r="AM388" i="5"/>
  <c r="AN335" i="5" s="1"/>
  <c r="AJ397" i="5"/>
  <c r="AP426" i="5"/>
  <c r="AT394" i="5"/>
  <c r="AL405" i="5"/>
  <c r="AM393" i="5"/>
  <c r="AN340" i="5" s="1"/>
  <c r="AJ227" i="5"/>
  <c r="AU136" i="5"/>
  <c r="AR475" i="5"/>
  <c r="AR463" i="5"/>
  <c r="AS339" i="5"/>
  <c r="AV371" i="5"/>
  <c r="AT358" i="5"/>
  <c r="AV139" i="5"/>
  <c r="AT452" i="5"/>
  <c r="AT348" i="5"/>
  <c r="AT418" i="5"/>
  <c r="AJ419" i="5"/>
  <c r="AP406" i="5"/>
  <c r="AM390" i="5"/>
  <c r="AN337" i="5" s="1"/>
  <c r="AO396" i="5"/>
  <c r="AL401" i="5"/>
  <c r="AO395" i="5"/>
  <c r="AU417" i="5"/>
  <c r="AT441" i="5"/>
  <c r="AT477" i="5"/>
  <c r="AV368" i="5"/>
  <c r="AT464" i="5"/>
  <c r="AV360" i="5"/>
  <c r="AU379" i="5"/>
  <c r="AU137" i="5"/>
  <c r="AT34" i="5"/>
  <c r="AM398" i="5"/>
  <c r="AN345" i="5" s="1"/>
  <c r="AQ416" i="5"/>
  <c r="AM432" i="5"/>
  <c r="AN379" i="5" s="1"/>
  <c r="AL389" i="5"/>
  <c r="AO388" i="5"/>
  <c r="AM395" i="5"/>
  <c r="AN342" i="5" s="1"/>
  <c r="AR405" i="5"/>
  <c r="AJ405" i="5"/>
  <c r="AO398" i="5"/>
  <c r="AM411" i="5"/>
  <c r="AN358" i="5" s="1"/>
  <c r="AO416" i="5"/>
  <c r="AU395" i="5"/>
  <c r="AT147" i="5"/>
  <c r="AV474" i="5"/>
  <c r="AR466" i="5"/>
  <c r="AV436" i="5"/>
  <c r="AR464" i="5"/>
  <c r="AU364" i="5"/>
  <c r="AV366" i="5"/>
  <c r="AS120" i="5"/>
  <c r="AR135" i="5"/>
  <c r="AT113" i="5"/>
  <c r="AR424" i="5"/>
  <c r="AT413" i="5"/>
  <c r="AM387" i="5"/>
  <c r="AN334" i="5" s="1"/>
  <c r="AO401" i="5"/>
  <c r="AJ424" i="5"/>
  <c r="AR416" i="5"/>
  <c r="AR397" i="5"/>
  <c r="AR429" i="5"/>
  <c r="AR453" i="5"/>
  <c r="AR462" i="5"/>
  <c r="AT438" i="5"/>
  <c r="AR457" i="5"/>
  <c r="AS367" i="5"/>
  <c r="AT368" i="5"/>
  <c r="AU141" i="5"/>
  <c r="AT459" i="5"/>
  <c r="AT456" i="5"/>
  <c r="AR452" i="5"/>
  <c r="AT397" i="5"/>
  <c r="AS429" i="5"/>
  <c r="AS422" i="5"/>
  <c r="AU416" i="5"/>
  <c r="AS396" i="5"/>
  <c r="AV467" i="5"/>
  <c r="AU467" i="5"/>
  <c r="AS340" i="5"/>
  <c r="AV373" i="5"/>
  <c r="AU361" i="5"/>
  <c r="AV442" i="5"/>
  <c r="AT35" i="5"/>
  <c r="AU373" i="5"/>
  <c r="AV141" i="5"/>
  <c r="AP427" i="5"/>
  <c r="AQ429" i="5"/>
  <c r="AO387" i="5"/>
  <c r="AL412" i="5"/>
  <c r="AU411" i="5"/>
  <c r="AR393" i="5"/>
  <c r="AM428" i="5"/>
  <c r="AN375" i="5" s="1"/>
  <c r="AS147" i="5"/>
  <c r="AT454" i="5"/>
  <c r="AV343" i="5"/>
  <c r="AT267" i="5"/>
  <c r="AT436" i="5"/>
  <c r="AS458" i="5"/>
  <c r="AV345" i="5"/>
  <c r="AU443" i="5"/>
  <c r="AP398" i="5"/>
  <c r="AJ412" i="5"/>
  <c r="AL418" i="5"/>
  <c r="AQ408" i="5"/>
  <c r="AM399" i="5"/>
  <c r="AN346" i="5" s="1"/>
  <c r="AR404" i="5"/>
  <c r="AR387" i="5"/>
  <c r="AM415" i="5"/>
  <c r="AN362" i="5" s="1"/>
  <c r="AP417" i="5"/>
  <c r="AP227" i="5"/>
  <c r="T226" i="5"/>
  <c r="X227" i="5"/>
  <c r="AD226" i="5"/>
  <c r="O226" i="5"/>
  <c r="O227" i="5"/>
  <c r="W226" i="5"/>
  <c r="AV440" i="5"/>
  <c r="AS140" i="5"/>
  <c r="AT133" i="5"/>
  <c r="AS267" i="5"/>
  <c r="AS464" i="5"/>
  <c r="AV461" i="5"/>
  <c r="AT84" i="5"/>
  <c r="AJ389" i="5"/>
  <c r="AL406" i="5"/>
  <c r="AP410" i="5"/>
  <c r="AS403" i="5"/>
  <c r="AM419" i="5"/>
  <c r="AN366" i="5" s="1"/>
  <c r="AS404" i="5"/>
  <c r="AR458" i="5"/>
  <c r="AU34" i="5"/>
  <c r="AU362" i="5"/>
  <c r="AU132" i="5"/>
  <c r="AU471" i="5"/>
  <c r="AU475" i="5"/>
  <c r="AV356" i="5"/>
  <c r="AS334" i="5"/>
  <c r="AJ422" i="5"/>
  <c r="AL427" i="5"/>
  <c r="AP423" i="5"/>
  <c r="AQ425" i="5"/>
  <c r="AU419" i="5"/>
  <c r="AJ402" i="5"/>
  <c r="AP402" i="5"/>
  <c r="AQ227" i="5"/>
  <c r="AV142" i="5"/>
  <c r="AU447" i="5"/>
  <c r="AS473" i="5"/>
  <c r="AS477" i="5"/>
  <c r="AU336" i="5"/>
  <c r="AT356" i="5"/>
  <c r="AV134" i="5"/>
  <c r="AU438" i="5"/>
  <c r="AS84" i="5"/>
  <c r="AU376" i="5"/>
  <c r="AL394" i="5"/>
  <c r="AS399" i="5"/>
  <c r="AQ406" i="5"/>
  <c r="AM385" i="5"/>
  <c r="AN332" i="5" s="1"/>
  <c r="AP390" i="5"/>
  <c r="AJ392" i="5"/>
  <c r="AP425" i="5"/>
  <c r="AU406" i="5"/>
  <c r="AS445" i="5"/>
  <c r="AS462" i="5"/>
  <c r="AT460" i="5"/>
  <c r="AU449" i="5"/>
  <c r="AU345" i="5"/>
  <c r="AU359" i="5"/>
  <c r="AT117" i="5"/>
  <c r="AS364" i="5"/>
  <c r="AJ420" i="5"/>
  <c r="AR422" i="5"/>
  <c r="AO410" i="5"/>
  <c r="AJ385" i="5"/>
  <c r="AP416" i="5"/>
  <c r="AL421" i="5"/>
  <c r="AS408" i="5"/>
  <c r="AP392" i="5"/>
  <c r="AP431" i="5"/>
  <c r="AJ390" i="5"/>
  <c r="AS356" i="5"/>
  <c r="AR441" i="5"/>
  <c r="AS451" i="5"/>
  <c r="AV443" i="5"/>
  <c r="AS446" i="5"/>
  <c r="AU469" i="5"/>
  <c r="AS113" i="5"/>
  <c r="AU477" i="5"/>
  <c r="AS406" i="5"/>
  <c r="AU424" i="5"/>
  <c r="AP412" i="5"/>
  <c r="AS395" i="5"/>
  <c r="AS419" i="5"/>
  <c r="AT409" i="5"/>
  <c r="AT137" i="5"/>
  <c r="AT450" i="5"/>
  <c r="AT445" i="5"/>
  <c r="AU465" i="5"/>
  <c r="AU340" i="5"/>
  <c r="AU346" i="5"/>
  <c r="AS268" i="5"/>
  <c r="AT138" i="5"/>
  <c r="AV31" i="5"/>
  <c r="AJ429" i="5"/>
  <c r="AT393" i="5"/>
  <c r="AT412" i="5"/>
  <c r="AT399" i="5"/>
  <c r="AS444" i="5"/>
  <c r="AV452" i="5"/>
  <c r="AU458" i="5"/>
  <c r="AT371" i="5"/>
  <c r="AT360" i="5"/>
  <c r="AT443" i="5"/>
  <c r="AR471" i="5"/>
  <c r="AU84" i="5"/>
  <c r="AV117" i="5"/>
  <c r="AS379" i="5"/>
  <c r="AL419" i="5"/>
  <c r="AJ425" i="5"/>
  <c r="AR425" i="5"/>
  <c r="AJ394" i="5"/>
  <c r="AR395" i="5"/>
  <c r="AQ417" i="5"/>
  <c r="AJ400" i="5"/>
  <c r="AO421" i="5"/>
  <c r="AU423" i="5"/>
  <c r="AS421" i="5"/>
  <c r="AO391" i="5"/>
  <c r="AL226" i="5"/>
  <c r="AS378" i="5"/>
  <c r="AS131" i="5"/>
  <c r="AU436" i="5"/>
  <c r="AT120" i="5"/>
  <c r="AU347" i="5"/>
  <c r="AV265" i="5"/>
  <c r="AT468" i="5"/>
  <c r="AU89" i="5"/>
  <c r="AT351" i="5"/>
  <c r="AM389" i="5"/>
  <c r="AN336" i="5" s="1"/>
  <c r="AT430" i="5"/>
  <c r="AL420" i="5"/>
  <c r="AL408" i="5"/>
  <c r="AR391" i="5"/>
  <c r="AS416" i="5"/>
  <c r="AS388" i="5"/>
  <c r="AO403" i="5"/>
  <c r="AQ432" i="5"/>
  <c r="AM226" i="5"/>
  <c r="P226" i="5"/>
  <c r="K227" i="5"/>
  <c r="AE227" i="5"/>
  <c r="R226" i="5"/>
  <c r="AB226" i="5"/>
  <c r="R227" i="5"/>
  <c r="AS91" i="5"/>
  <c r="AR451" i="5"/>
  <c r="AT365" i="5"/>
  <c r="AR117" i="5"/>
  <c r="AR124" i="5" s="1"/>
  <c r="AT379" i="5"/>
  <c r="AT134" i="5"/>
  <c r="AT473" i="5"/>
  <c r="AS374" i="5"/>
  <c r="AV376" i="5"/>
  <c r="AU135" i="5"/>
  <c r="AR132" i="5"/>
  <c r="AR439" i="5"/>
  <c r="AR93" i="5"/>
  <c r="AS455" i="5"/>
  <c r="AO429" i="5"/>
  <c r="AL399" i="5"/>
  <c r="AO414" i="5"/>
  <c r="AL425" i="5"/>
  <c r="AQ399" i="5"/>
  <c r="AS417" i="5"/>
  <c r="AO408" i="5"/>
  <c r="AL391" i="5"/>
  <c r="AT429" i="5"/>
  <c r="AS443" i="5"/>
  <c r="AR476" i="5"/>
  <c r="AS373" i="5"/>
  <c r="AU146" i="5"/>
  <c r="AV437" i="5"/>
  <c r="AS457" i="5"/>
  <c r="AT347" i="5"/>
  <c r="AS351" i="5"/>
  <c r="AT355" i="5"/>
  <c r="AT476" i="5"/>
  <c r="AL430" i="5"/>
  <c r="AO393" i="5"/>
  <c r="AJ395" i="5"/>
  <c r="AQ422" i="5"/>
  <c r="AR388" i="5"/>
  <c r="AM421" i="5"/>
  <c r="AN368" i="5" s="1"/>
  <c r="AJ401" i="5"/>
  <c r="AQ389" i="5"/>
  <c r="AJ403" i="5"/>
  <c r="AO227" i="5"/>
  <c r="AR84" i="5"/>
  <c r="AR437" i="5"/>
  <c r="AT439" i="5"/>
  <c r="AV458" i="5"/>
  <c r="AT353" i="5"/>
  <c r="AT335" i="5"/>
  <c r="AT89" i="5"/>
  <c r="AR133" i="5"/>
  <c r="AU452" i="5"/>
  <c r="AL402" i="5"/>
  <c r="AM427" i="5"/>
  <c r="AN374" i="5" s="1"/>
  <c r="AO405" i="5"/>
  <c r="AQ394" i="5"/>
  <c r="AR430" i="5"/>
  <c r="AV453" i="5"/>
  <c r="AV448" i="5"/>
  <c r="AU470" i="5"/>
  <c r="AU33" i="5"/>
  <c r="AV337" i="5"/>
  <c r="AV352" i="5"/>
  <c r="AT352" i="5"/>
  <c r="AS448" i="5"/>
  <c r="AS423" i="5"/>
  <c r="AP401" i="5"/>
  <c r="AQ414" i="5"/>
  <c r="AU403" i="5"/>
  <c r="AR396" i="5"/>
  <c r="AM386" i="5"/>
  <c r="AN333" i="5" s="1"/>
  <c r="AV287" i="5"/>
  <c r="AV282" i="17" s="1"/>
  <c r="AT140" i="5"/>
  <c r="AR450" i="5"/>
  <c r="AS454" i="5"/>
  <c r="AV351" i="5"/>
  <c r="AV374" i="5"/>
  <c r="AU418" i="5"/>
  <c r="AM417" i="5"/>
  <c r="AN364" i="5" s="1"/>
  <c r="AO415" i="5"/>
  <c r="AL431" i="5"/>
  <c r="AS390" i="5"/>
  <c r="AT410" i="5"/>
  <c r="AT398" i="5"/>
  <c r="AU431" i="5"/>
  <c r="AS133" i="5"/>
  <c r="AR266" i="5"/>
  <c r="AV447" i="5"/>
  <c r="AS471" i="5"/>
  <c r="AT363" i="5"/>
  <c r="AV93" i="5"/>
  <c r="AT132" i="5"/>
  <c r="AU457" i="5"/>
  <c r="AU360" i="5"/>
  <c r="AO420" i="5"/>
  <c r="AJ417" i="5"/>
  <c r="AU410" i="5"/>
  <c r="AU415" i="5"/>
  <c r="AO428" i="5"/>
  <c r="AT431" i="5"/>
  <c r="AU268" i="5"/>
  <c r="AU437" i="5"/>
  <c r="AS467" i="5"/>
  <c r="AS31" i="5"/>
  <c r="AS142" i="5"/>
  <c r="AV455" i="5"/>
  <c r="AU343" i="5"/>
  <c r="AV362" i="5"/>
  <c r="AV439" i="5"/>
  <c r="AM404" i="5"/>
  <c r="AN351" i="5" s="1"/>
  <c r="AO402" i="5"/>
  <c r="AR423" i="5"/>
  <c r="AQ397" i="5"/>
  <c r="AJ430" i="5"/>
  <c r="AT427" i="5"/>
  <c r="AQ411" i="5"/>
  <c r="AN227" i="5"/>
  <c r="AU131" i="5"/>
  <c r="AT440" i="5"/>
  <c r="AS34" i="5"/>
  <c r="AS358" i="5"/>
  <c r="AV136" i="5"/>
  <c r="AS472" i="5"/>
  <c r="AU36" i="5"/>
  <c r="AS355" i="5"/>
  <c r="AU446" i="5"/>
  <c r="AL404" i="5"/>
  <c r="AU387" i="5"/>
  <c r="AO404" i="5"/>
  <c r="AU398" i="5"/>
  <c r="AP420" i="5"/>
  <c r="AR427" i="5"/>
  <c r="M227" i="5"/>
  <c r="S226" i="5"/>
  <c r="Y227" i="5"/>
  <c r="AI226" i="5"/>
  <c r="AG226" i="5"/>
  <c r="L226" i="5"/>
  <c r="AV91" i="5"/>
  <c r="AR267" i="5"/>
  <c r="AV456" i="5"/>
  <c r="AU461" i="5"/>
  <c r="AV470" i="5"/>
  <c r="AT343" i="5"/>
  <c r="AU377" i="5"/>
  <c r="AR446" i="5"/>
  <c r="AU122" i="5"/>
  <c r="AT345" i="5"/>
  <c r="AV378" i="5"/>
  <c r="AT364" i="5"/>
  <c r="AS138" i="5"/>
  <c r="AU142" i="5"/>
  <c r="AV341" i="5"/>
  <c r="AP424" i="5"/>
  <c r="AQ426" i="5"/>
  <c r="AR418" i="5"/>
  <c r="AM431" i="5"/>
  <c r="AN378" i="5" s="1"/>
  <c r="AT428" i="5"/>
  <c r="AM414" i="5"/>
  <c r="AN361" i="5" s="1"/>
  <c r="AL415" i="5"/>
  <c r="AP405" i="5"/>
  <c r="AM391" i="5"/>
  <c r="AN338" i="5" s="1"/>
  <c r="AU428" i="5"/>
  <c r="AS450" i="5"/>
  <c r="AR456" i="5"/>
  <c r="AU344" i="5"/>
  <c r="AS137" i="5"/>
  <c r="AU445" i="5"/>
  <c r="AS461" i="5"/>
  <c r="AV460" i="5"/>
  <c r="AV344" i="5"/>
  <c r="AV338" i="5"/>
  <c r="AQ396" i="5"/>
  <c r="AT419" i="5"/>
  <c r="AM422" i="5"/>
  <c r="AN369" i="5" s="1"/>
  <c r="AS415" i="5"/>
  <c r="AJ398" i="5"/>
  <c r="AP389" i="5"/>
  <c r="AR411" i="5"/>
  <c r="AL390" i="5"/>
  <c r="AO400" i="5"/>
  <c r="AU287" i="5"/>
  <c r="AU282" i="17" s="1"/>
  <c r="AU378" i="5"/>
  <c r="AR138" i="5"/>
  <c r="AV138" i="5"/>
  <c r="AS447" i="5"/>
  <c r="AV462" i="5"/>
  <c r="AV342" i="5"/>
  <c r="AR268" i="5"/>
  <c r="AU341" i="5"/>
  <c r="AJ408" i="5"/>
  <c r="AP394" i="5"/>
  <c r="AU420" i="5"/>
  <c r="AO432" i="5"/>
  <c r="AL410" i="5"/>
  <c r="AP418" i="5"/>
  <c r="AS430" i="5"/>
  <c r="AS397" i="5"/>
  <c r="AS440" i="5"/>
  <c r="AS266" i="5"/>
  <c r="AS468" i="5"/>
  <c r="AT462" i="5"/>
  <c r="AS35" i="5"/>
  <c r="AU366" i="5"/>
  <c r="AR34" i="5"/>
  <c r="AT416" i="5"/>
  <c r="AQ401" i="5"/>
  <c r="AR408" i="5"/>
  <c r="AR401" i="5"/>
  <c r="AL432" i="5"/>
  <c r="AO413" i="5"/>
  <c r="AL227" i="5"/>
  <c r="AU363" i="5"/>
  <c r="AU93" i="5"/>
  <c r="AT135" i="5"/>
  <c r="AR120" i="5"/>
  <c r="AT451" i="5"/>
  <c r="AR122" i="5"/>
  <c r="AU374" i="5"/>
  <c r="AV266" i="5"/>
  <c r="AM401" i="5"/>
  <c r="AN348" i="5" s="1"/>
  <c r="AO419" i="5"/>
  <c r="AM394" i="5"/>
  <c r="AN341" i="5" s="1"/>
  <c r="AP415" i="5"/>
  <c r="AT424" i="5"/>
  <c r="AO430" i="5"/>
  <c r="AU421" i="5"/>
  <c r="AU414" i="5"/>
  <c r="AS287" i="5"/>
  <c r="AS282" i="17" s="1"/>
  <c r="AV113" i="5"/>
  <c r="AV370" i="5"/>
  <c r="AR265" i="5"/>
  <c r="AU451" i="5"/>
  <c r="AU462" i="5"/>
  <c r="AV122" i="5"/>
  <c r="AV346" i="5"/>
  <c r="AJ406" i="5"/>
  <c r="AM423" i="5"/>
  <c r="AN370" i="5" s="1"/>
  <c r="AP399" i="5"/>
  <c r="AU425" i="5"/>
  <c r="AL392" i="5"/>
  <c r="AJ428" i="5"/>
  <c r="AR414" i="5"/>
  <c r="AU404" i="5"/>
  <c r="AR137" i="5"/>
  <c r="AT449" i="5"/>
  <c r="AV472" i="5"/>
  <c r="AS342" i="5"/>
  <c r="AR147" i="5"/>
  <c r="AT447" i="5"/>
  <c r="AS335" i="5"/>
  <c r="AV336" i="5"/>
  <c r="AM392" i="5"/>
  <c r="AN339" i="5" s="1"/>
  <c r="AP414" i="5"/>
  <c r="AS400" i="5"/>
  <c r="AS420" i="5"/>
  <c r="AR428" i="5"/>
  <c r="AL385" i="5"/>
  <c r="AT417" i="5"/>
  <c r="AR455" i="5"/>
  <c r="AT370" i="5"/>
  <c r="AT349" i="5"/>
  <c r="AT139" i="5"/>
  <c r="AR460" i="5"/>
  <c r="AR90" i="5"/>
  <c r="AV83" i="5"/>
  <c r="AS265" i="5"/>
  <c r="AV477" i="5"/>
  <c r="AT122" i="5"/>
  <c r="AJ393" i="5"/>
  <c r="AU392" i="5"/>
  <c r="AQ398" i="5"/>
  <c r="AQ410" i="5"/>
  <c r="AU389" i="5"/>
  <c r="AQ415" i="5"/>
  <c r="AS389" i="5"/>
  <c r="AJ386" i="5"/>
  <c r="Z227" i="5"/>
  <c r="AI227" i="5"/>
  <c r="V226" i="5"/>
  <c r="AF227" i="5"/>
  <c r="N226" i="5"/>
  <c r="AH226" i="5"/>
  <c r="AT91" i="5"/>
  <c r="AS33" i="5"/>
  <c r="AT375" i="5"/>
  <c r="AR445" i="5"/>
  <c r="AS474" i="5"/>
  <c r="AT346" i="5"/>
  <c r="AU368" i="5"/>
  <c r="AV464" i="5"/>
  <c r="AL422" i="5"/>
  <c r="AS410" i="5"/>
  <c r="AR406" i="5"/>
  <c r="AS431" i="5"/>
  <c r="AP393" i="5"/>
  <c r="AU391" i="5"/>
  <c r="AO399" i="5"/>
  <c r="AQ430" i="5"/>
  <c r="AU139" i="5"/>
  <c r="AS438" i="5"/>
  <c r="AV35" i="5"/>
  <c r="AT378" i="5"/>
  <c r="AT90" i="5"/>
  <c r="AR146" i="5"/>
  <c r="AT446" i="5"/>
  <c r="AR443" i="5"/>
  <c r="AT334" i="5"/>
  <c r="AT372" i="5"/>
  <c r="AR431" i="5"/>
  <c r="AT388" i="5"/>
  <c r="AP400" i="5"/>
  <c r="AT432" i="5"/>
  <c r="AQ388" i="5"/>
  <c r="AS393" i="5"/>
  <c r="AP403" i="5"/>
  <c r="AT463" i="5"/>
  <c r="AU120" i="5"/>
  <c r="AU266" i="5"/>
  <c r="AR448" i="5"/>
  <c r="AU466" i="5"/>
  <c r="AS336" i="5"/>
  <c r="AV357" i="5"/>
  <c r="AT366" i="5"/>
  <c r="AQ427" i="5"/>
  <c r="AP413" i="5"/>
  <c r="AQ403" i="5"/>
  <c r="AT390" i="5"/>
  <c r="AT422" i="5"/>
  <c r="I221" i="5"/>
  <c r="AV365" i="5"/>
  <c r="AS134" i="5"/>
  <c r="AS369" i="5"/>
  <c r="AV133" i="5"/>
  <c r="AV476" i="5"/>
  <c r="AU444" i="5"/>
  <c r="AR467" i="5"/>
  <c r="AS427" i="5"/>
  <c r="AS424" i="5"/>
  <c r="AR113" i="5"/>
  <c r="AL417" i="5"/>
  <c r="AU390" i="5"/>
  <c r="AO418" i="5"/>
  <c r="AQ419" i="5"/>
  <c r="AN226" i="5"/>
  <c r="AV335" i="5"/>
  <c r="AT357" i="5"/>
  <c r="AS347" i="5"/>
  <c r="AV372" i="5"/>
  <c r="AU134" i="5"/>
  <c r="AT469" i="5"/>
  <c r="AS349" i="5"/>
  <c r="AQ420" i="5"/>
  <c r="AQ421" i="5"/>
  <c r="AU408" i="5"/>
  <c r="AP395" i="5"/>
  <c r="AO226" i="5"/>
  <c r="AV350" i="5"/>
  <c r="AU117" i="5"/>
  <c r="AU124" i="5" s="1"/>
  <c r="AV267" i="5"/>
  <c r="AS437" i="5"/>
  <c r="AU468" i="5"/>
  <c r="AU375" i="5"/>
  <c r="AT142" i="5"/>
  <c r="AM413" i="5"/>
  <c r="AN360" i="5" s="1"/>
  <c r="AO392" i="5"/>
  <c r="AQ413" i="5"/>
  <c r="AL424" i="5"/>
  <c r="AL403" i="5"/>
  <c r="AO426" i="5"/>
  <c r="AQ405" i="5"/>
  <c r="AR389" i="5"/>
  <c r="AR83" i="5"/>
  <c r="AT93" i="5"/>
  <c r="AS453" i="5"/>
  <c r="AT475" i="5"/>
  <c r="AV375" i="5"/>
  <c r="AS348" i="5"/>
  <c r="AU267" i="5"/>
  <c r="AT472" i="5"/>
  <c r="AR136" i="5"/>
  <c r="AU353" i="5"/>
  <c r="AQ424" i="5"/>
  <c r="AS402" i="5"/>
  <c r="AT395" i="5"/>
  <c r="AU394" i="5"/>
  <c r="AT425" i="5"/>
  <c r="AO389" i="5"/>
  <c r="AM403" i="5"/>
  <c r="AN350" i="5" s="1"/>
  <c r="AU422" i="5"/>
  <c r="AS465" i="5"/>
  <c r="AR473" i="5"/>
  <c r="AU342" i="5"/>
  <c r="AV471" i="5"/>
  <c r="AT361" i="5"/>
  <c r="AS375" i="5"/>
  <c r="AR134" i="5"/>
  <c r="AU459" i="5"/>
  <c r="AS36" i="5"/>
  <c r="AR131" i="5"/>
  <c r="AL397" i="5"/>
  <c r="AS387" i="5"/>
  <c r="AT408" i="5"/>
  <c r="AU402" i="5"/>
  <c r="AL393" i="5"/>
  <c r="AR420" i="5"/>
  <c r="AS432" i="5"/>
  <c r="S227" i="5"/>
  <c r="Z226" i="5"/>
  <c r="AB227" i="5"/>
  <c r="N227" i="5"/>
  <c r="I212" i="5"/>
  <c r="Q227" i="5"/>
  <c r="AU91" i="5"/>
  <c r="AS460" i="5"/>
  <c r="AU90" i="5"/>
  <c r="AT146" i="5"/>
  <c r="AR459" i="5"/>
  <c r="AV36" i="5"/>
  <c r="AS346" i="5"/>
  <c r="AS83" i="5"/>
  <c r="AS411" i="5"/>
  <c r="AT415" i="5"/>
  <c r="AR419" i="5"/>
  <c r="AP419" i="5"/>
  <c r="AR400" i="5"/>
  <c r="AO412" i="5"/>
  <c r="I228" i="5"/>
  <c r="AR442" i="5"/>
  <c r="AV475" i="5"/>
  <c r="AU83" i="5"/>
  <c r="AT136" i="5"/>
  <c r="AT453" i="5"/>
  <c r="AV446" i="5"/>
  <c r="AS135" i="5"/>
  <c r="AS439" i="5"/>
  <c r="AS414" i="5"/>
  <c r="AQ409" i="5"/>
  <c r="AJ421" i="5"/>
  <c r="AM430" i="5"/>
  <c r="AN377" i="5" s="1"/>
  <c r="AR412" i="5"/>
  <c r="AT392" i="5"/>
  <c r="AR472" i="5"/>
  <c r="AS345" i="5"/>
  <c r="AV349" i="5"/>
  <c r="AV90" i="5"/>
  <c r="AU147" i="5"/>
  <c r="AV457" i="5"/>
  <c r="AS475" i="5"/>
  <c r="AU365" i="5"/>
  <c r="AU355" i="5"/>
  <c r="AS449" i="5"/>
  <c r="AR398" i="5"/>
  <c r="AM418" i="5"/>
  <c r="AN365" i="5" s="1"/>
  <c r="AQ423" i="5"/>
  <c r="AJ423" i="5"/>
  <c r="AU412" i="5"/>
  <c r="AO406" i="5"/>
  <c r="I220" i="5"/>
  <c r="AT376" i="5"/>
  <c r="AT373" i="5"/>
  <c r="AS90" i="5"/>
  <c r="AS442" i="5"/>
  <c r="AT448" i="5"/>
  <c r="AU439" i="5"/>
  <c r="AS32" i="5"/>
  <c r="AT341" i="5"/>
  <c r="AS412" i="5"/>
  <c r="AT401" i="5"/>
  <c r="AL413" i="5"/>
  <c r="AJ409" i="5"/>
  <c r="AP408" i="5"/>
  <c r="AR399" i="5"/>
  <c r="AT466" i="5"/>
  <c r="AV340" i="5"/>
  <c r="AS93" i="5"/>
  <c r="AT339" i="5"/>
  <c r="AU370" i="5"/>
  <c r="AT268" i="5"/>
  <c r="AV445" i="5"/>
  <c r="AV369" i="5"/>
  <c r="AR142" i="5"/>
  <c r="AT411" i="5"/>
  <c r="AR392" i="5"/>
  <c r="AJ387" i="5"/>
  <c r="AP226" i="5"/>
  <c r="AT362" i="5"/>
  <c r="AV339" i="5"/>
  <c r="AV348" i="5"/>
  <c r="AT374" i="5"/>
  <c r="AS136" i="5"/>
  <c r="AS441" i="5"/>
  <c r="AV33" i="5"/>
  <c r="AV379" i="5"/>
  <c r="AV463" i="5"/>
  <c r="AP428" i="5"/>
  <c r="AS413" i="5"/>
  <c r="AO397" i="5"/>
  <c r="AL386" i="5"/>
  <c r="AO424" i="5"/>
  <c r="AQ390" i="5"/>
  <c r="AJ413" i="5"/>
  <c r="AR394" i="5"/>
  <c r="AS425" i="5"/>
  <c r="AP391" i="5"/>
  <c r="I218" i="5"/>
  <c r="AT369" i="5"/>
  <c r="AV131" i="5"/>
  <c r="AV438" i="5"/>
  <c r="AU32" i="5"/>
  <c r="AU356" i="5"/>
  <c r="AV147" i="5"/>
  <c r="AR454" i="5"/>
  <c r="AS344" i="5"/>
  <c r="AR461" i="5"/>
  <c r="AR421" i="5"/>
  <c r="AT406" i="5"/>
  <c r="AT420" i="5"/>
  <c r="AQ431" i="5"/>
  <c r="AL388" i="5"/>
  <c r="AP421" i="5"/>
  <c r="AU413" i="5"/>
  <c r="AS392" i="5"/>
  <c r="AU453" i="5"/>
  <c r="AV454" i="5"/>
  <c r="AS363" i="5"/>
  <c r="AT444" i="5"/>
  <c r="AU472" i="5"/>
  <c r="AT344" i="5"/>
  <c r="AV444" i="5"/>
  <c r="AU448" i="5"/>
  <c r="AV268" i="5"/>
  <c r="AT414" i="5"/>
  <c r="AM400" i="5"/>
  <c r="AN347" i="5" s="1"/>
  <c r="AM396" i="5"/>
  <c r="AN343" i="5" s="1"/>
  <c r="AU396" i="5"/>
  <c r="AT402" i="5"/>
  <c r="AH227" i="5"/>
  <c r="V227" i="5"/>
  <c r="AC226" i="5"/>
  <c r="W227" i="5"/>
  <c r="K226" i="5"/>
  <c r="T227" i="5"/>
  <c r="AD227" i="5"/>
  <c r="AR91" i="5"/>
  <c r="AV468" i="5"/>
  <c r="AV377" i="5"/>
  <c r="AU133" i="5"/>
  <c r="AU450" i="5"/>
  <c r="AV459" i="5"/>
  <c r="AR474" i="5"/>
  <c r="AT36" i="5"/>
  <c r="AR140" i="5"/>
  <c r="AV135" i="5"/>
  <c r="AU401" i="5"/>
  <c r="AT421" i="5"/>
  <c r="AM416" i="5"/>
  <c r="AN363" i="5" s="1"/>
  <c r="AS405" i="5"/>
  <c r="AS398" i="5"/>
  <c r="AP409" i="5"/>
  <c r="AQ226" i="5"/>
  <c r="AU352" i="5"/>
  <c r="AR141" i="5"/>
  <c r="AU460" i="5"/>
  <c r="AU349" i="5"/>
  <c r="AS352" i="5"/>
  <c r="AR436" i="5"/>
  <c r="AV146" i="5"/>
  <c r="AT470" i="5"/>
  <c r="AU31" i="5"/>
  <c r="AT405" i="5"/>
  <c r="AJ388" i="5"/>
  <c r="AR410" i="5"/>
  <c r="AM426" i="5"/>
  <c r="AN373" i="5" s="1"/>
  <c r="AJ431" i="5"/>
  <c r="AO422" i="5"/>
  <c r="AS391" i="5"/>
  <c r="AT389" i="5"/>
  <c r="AU397" i="5"/>
  <c r="AU454" i="5"/>
  <c r="AR36" i="5"/>
  <c r="AU357" i="5"/>
  <c r="AV140" i="5"/>
  <c r="AS132" i="5"/>
  <c r="AR477" i="5"/>
  <c r="AT338" i="5"/>
  <c r="AS365" i="5"/>
  <c r="AT336" i="5"/>
  <c r="AT400" i="5"/>
  <c r="AP430" i="5"/>
  <c r="AL395" i="5"/>
  <c r="AJ418" i="5"/>
  <c r="AM408" i="5"/>
  <c r="AN355" i="5" s="1"/>
  <c r="AP411" i="5"/>
  <c r="AK227" i="5"/>
  <c r="AS350" i="5"/>
  <c r="AU348" i="5"/>
  <c r="AS338" i="5"/>
  <c r="AV355" i="5"/>
  <c r="AT141" i="5"/>
  <c r="AS371" i="5"/>
  <c r="AV441" i="5"/>
  <c r="AV347" i="5"/>
  <c r="AU138" i="5"/>
  <c r="AM420" i="5"/>
  <c r="AN367" i="5" s="1"/>
  <c r="AU393" i="5"/>
  <c r="AU399" i="5"/>
  <c r="AJ426" i="5"/>
  <c r="AM412" i="5"/>
  <c r="AN359" i="5" s="1"/>
  <c r="AL416" i="5"/>
  <c r="AR403" i="5"/>
  <c r="AV450" i="5"/>
  <c r="AU35" i="5"/>
  <c r="AS337" i="5"/>
  <c r="AU338" i="5"/>
  <c r="AV84" i="5"/>
  <c r="AT359" i="5"/>
  <c r="AU265" i="5"/>
  <c r="AU474" i="5"/>
  <c r="AU463" i="5"/>
  <c r="AM424" i="5"/>
  <c r="AN371" i="5" s="1"/>
  <c r="AS401" i="5"/>
  <c r="AL411" i="5"/>
  <c r="AP397" i="5"/>
  <c r="AO390" i="5"/>
  <c r="AM410" i="5"/>
  <c r="AN357" i="5" s="1"/>
  <c r="AP388" i="5"/>
  <c r="AT465" i="5"/>
  <c r="AV361" i="5"/>
  <c r="AS372" i="5"/>
  <c r="AT83" i="5"/>
  <c r="AS456" i="5"/>
  <c r="AU456" i="5"/>
  <c r="AS376" i="5"/>
  <c r="AS359" i="5"/>
  <c r="AQ404" i="5"/>
  <c r="AS409" i="5"/>
  <c r="AL400" i="5"/>
  <c r="AP404" i="5"/>
  <c r="AJ415" i="5"/>
  <c r="AQ391" i="5"/>
  <c r="AR432" i="5"/>
  <c r="AR426" i="5"/>
  <c r="AQ418" i="5"/>
  <c r="AM227" i="5"/>
  <c r="AT340" i="5"/>
  <c r="AS362" i="5"/>
  <c r="AV120" i="5"/>
  <c r="AV137" i="5"/>
  <c r="AT458" i="5"/>
  <c r="AT377" i="5"/>
  <c r="AV132" i="5"/>
  <c r="AT442" i="5"/>
  <c r="AV34" i="5"/>
  <c r="AU372" i="5"/>
  <c r="AL398" i="5"/>
  <c r="AU388" i="5"/>
  <c r="AL429" i="5"/>
  <c r="AT387" i="5"/>
  <c r="AQ392" i="5"/>
  <c r="AT423" i="5"/>
  <c r="AT265" i="5"/>
  <c r="AR440" i="5"/>
  <c r="AT31" i="5"/>
  <c r="AT467" i="5"/>
  <c r="AT457" i="5"/>
  <c r="AU339" i="5"/>
  <c r="AS377" i="5"/>
  <c r="AV451" i="5"/>
  <c r="AR33" i="5"/>
  <c r="AS469" i="5"/>
  <c r="AL409" i="5"/>
  <c r="AU409" i="5"/>
  <c r="AJ410" i="5"/>
  <c r="AP387" i="5"/>
  <c r="AM397" i="5"/>
  <c r="AN344" i="5" s="1"/>
  <c r="AP396" i="5"/>
  <c r="AJ396" i="5"/>
  <c r="AM429" i="5"/>
  <c r="AN376" i="5" s="1"/>
  <c r="AK226" i="5"/>
  <c r="X226" i="5"/>
  <c r="M226" i="5"/>
  <c r="U227" i="5"/>
  <c r="AA227" i="5"/>
  <c r="AG227" i="5"/>
  <c r="AF226" i="5"/>
  <c r="L227" i="5"/>
  <c r="AV465" i="5"/>
  <c r="AU337" i="5"/>
  <c r="AT350" i="5"/>
  <c r="AV449" i="5"/>
  <c r="AR470" i="5"/>
  <c r="AU455" i="5"/>
  <c r="AR465" i="5"/>
  <c r="AU334" i="5"/>
  <c r="AS466" i="5"/>
  <c r="AU426" i="5"/>
  <c r="AP429" i="5"/>
  <c r="AT403" i="5"/>
  <c r="AT426" i="5"/>
  <c r="AQ412" i="5"/>
  <c r="AT287" i="5"/>
  <c r="AT282" i="17" s="1"/>
  <c r="AS452" i="5"/>
  <c r="AR32" i="5"/>
  <c r="AS370" i="5"/>
  <c r="AU369" i="5"/>
  <c r="AV89" i="5"/>
  <c r="AS418" i="5"/>
  <c r="AO425" i="5"/>
  <c r="AP422" i="5"/>
  <c r="AL387" i="5"/>
  <c r="AT437" i="5"/>
  <c r="AS463" i="5"/>
  <c r="AT32" i="5"/>
  <c r="AU335" i="5"/>
  <c r="AU367" i="5"/>
  <c r="AS353" i="5"/>
  <c r="AU440" i="5"/>
  <c r="AR468" i="5"/>
  <c r="AT337" i="5"/>
  <c r="AU442" i="5"/>
  <c r="AU400" i="5"/>
  <c r="AQ393" i="5"/>
  <c r="AL426" i="5"/>
  <c r="AO411" i="5"/>
  <c r="AR417" i="5"/>
  <c r="AS459" i="5"/>
  <c r="AS341" i="5"/>
  <c r="AV353" i="5"/>
  <c r="AU358" i="5"/>
  <c r="AS139" i="5"/>
  <c r="AR139" i="5"/>
  <c r="AR469" i="5"/>
  <c r="AM402" i="5"/>
  <c r="AN349" i="5" s="1"/>
  <c r="AP432" i="5"/>
  <c r="AJ427" i="5"/>
  <c r="AM425" i="5"/>
  <c r="AN372" i="5" s="1"/>
  <c r="AM406" i="5"/>
  <c r="AN353" i="5" s="1"/>
  <c r="AO417" i="5"/>
  <c r="AL428" i="5"/>
  <c r="AJ399" i="5"/>
  <c r="AJ416" i="5"/>
  <c r="AT396" i="5"/>
  <c r="AT131" i="5"/>
  <c r="AU464" i="5"/>
  <c r="AS343" i="5"/>
  <c r="AV469" i="5"/>
  <c r="AT455" i="5"/>
  <c r="AS357" i="5"/>
  <c r="AS146" i="5"/>
  <c r="AS366" i="5"/>
  <c r="AO409" i="5"/>
  <c r="AJ404" i="5"/>
  <c r="AM405" i="5"/>
  <c r="AN352" i="5" s="1"/>
  <c r="AR402" i="5"/>
  <c r="AQ428" i="5"/>
  <c r="AL414" i="5"/>
  <c r="AQ400" i="5"/>
  <c r="AV473" i="5"/>
  <c r="AR31" i="5"/>
  <c r="AT471" i="5"/>
  <c r="AT342" i="5"/>
  <c r="AV358" i="5"/>
  <c r="AU140" i="5"/>
  <c r="AV466" i="5"/>
  <c r="AR35" i="5"/>
  <c r="AU113" i="5"/>
  <c r="AS428" i="5"/>
  <c r="AU429" i="5"/>
  <c r="AR409" i="5"/>
  <c r="AR390" i="5"/>
  <c r="AS394" i="5"/>
  <c r="AR415" i="5"/>
  <c r="AJ226" i="5"/>
  <c r="AS360" i="5"/>
  <c r="AS368" i="5"/>
  <c r="AS470" i="5"/>
  <c r="AU350" i="5"/>
  <c r="AS117" i="5"/>
  <c r="AT266" i="5"/>
  <c r="AU441" i="5"/>
  <c r="AV363" i="5"/>
  <c r="AJ414" i="5"/>
  <c r="AO431" i="5"/>
  <c r="AU432" i="5"/>
  <c r="AO394" i="5"/>
  <c r="AL396" i="5"/>
  <c r="AJ391" i="5"/>
  <c r="AT391" i="5"/>
  <c r="AR413" i="5"/>
  <c r="AU405" i="5"/>
  <c r="AR447" i="5"/>
  <c r="AT474" i="5"/>
  <c r="AU371" i="5"/>
  <c r="AR449" i="5"/>
  <c r="AS122" i="5"/>
  <c r="AO427" i="5"/>
  <c r="AM409" i="5"/>
  <c r="AN356" i="5" s="1"/>
  <c r="AU430" i="5"/>
  <c r="AJ432" i="5"/>
  <c r="AQ387" i="5"/>
  <c r="AJ411" i="5"/>
  <c r="AQ402" i="5"/>
  <c r="AO423" i="5"/>
  <c r="AR287" i="5"/>
  <c r="P227" i="5"/>
  <c r="AA226" i="5"/>
  <c r="Y226" i="5"/>
  <c r="U226" i="5"/>
  <c r="AE226" i="5"/>
  <c r="AC227" i="5"/>
  <c r="AV75" i="108"/>
  <c r="AR363" i="5"/>
  <c r="AR351" i="5"/>
  <c r="AR376" i="5"/>
  <c r="AR366" i="5"/>
  <c r="AR350" i="5"/>
  <c r="AR378" i="5"/>
  <c r="AR358" i="5"/>
  <c r="AR375" i="5"/>
  <c r="AR379" i="5"/>
  <c r="AR362" i="5"/>
  <c r="AR349" i="5"/>
  <c r="AR372" i="5"/>
  <c r="AR357" i="5"/>
  <c r="AR346" i="5"/>
  <c r="AR348" i="5"/>
  <c r="AR352" i="5"/>
  <c r="AR364" i="5"/>
  <c r="AR370" i="5"/>
  <c r="AR361" i="5"/>
  <c r="AR347" i="5"/>
  <c r="AR360" i="5"/>
  <c r="AR374" i="5"/>
  <c r="AR344" i="5"/>
  <c r="AR355" i="5"/>
  <c r="AR356" i="5"/>
  <c r="AR365" i="5"/>
  <c r="AR368" i="5"/>
  <c r="AR353" i="5"/>
  <c r="AR371" i="5"/>
  <c r="AR359" i="5"/>
  <c r="AR367" i="5"/>
  <c r="AR345" i="5"/>
  <c r="AR369" i="5"/>
  <c r="AR377" i="5"/>
  <c r="AR373" i="5"/>
  <c r="AT17" i="106"/>
  <c r="AO75" i="106"/>
  <c r="AT25" i="106"/>
  <c r="AV25" i="106"/>
  <c r="AT75" i="106"/>
  <c r="AU75" i="106"/>
  <c r="AQ75" i="106"/>
  <c r="AR75" i="106"/>
  <c r="AS75" i="106"/>
  <c r="AU25" i="106"/>
  <c r="AP75" i="106"/>
  <c r="AR25" i="106"/>
  <c r="AS25" i="106"/>
  <c r="E112" i="106"/>
  <c r="E370" i="5"/>
  <c r="E363" i="5"/>
  <c r="E105" i="106"/>
  <c r="E364" i="5"/>
  <c r="E106" i="106"/>
  <c r="E347" i="5"/>
  <c r="E89" i="106"/>
  <c r="E95" i="106"/>
  <c r="E353" i="5"/>
  <c r="E345" i="5"/>
  <c r="E87" i="106"/>
  <c r="E334" i="5"/>
  <c r="E76" i="106"/>
  <c r="E372" i="5"/>
  <c r="E114" i="106"/>
  <c r="E111" i="106"/>
  <c r="E369" i="5"/>
  <c r="E110" i="106"/>
  <c r="E368" i="5"/>
  <c r="E361" i="5"/>
  <c r="E103" i="106"/>
  <c r="E120" i="106"/>
  <c r="E378" i="5"/>
  <c r="E371" i="5"/>
  <c r="E113" i="106"/>
  <c r="E367" i="5"/>
  <c r="E109" i="106"/>
  <c r="E78" i="106"/>
  <c r="E336" i="5"/>
  <c r="E376" i="5"/>
  <c r="E118" i="106"/>
  <c r="E341" i="5"/>
  <c r="E83" i="106"/>
  <c r="E342" i="5"/>
  <c r="E84" i="106"/>
  <c r="E88" i="106"/>
  <c r="E346" i="5"/>
  <c r="E339" i="5"/>
  <c r="E81" i="106"/>
  <c r="E348" i="5"/>
  <c r="E90" i="106"/>
  <c r="E333" i="5"/>
  <c r="E75" i="106"/>
  <c r="E115" i="106"/>
  <c r="E373" i="5"/>
  <c r="E74" i="106"/>
  <c r="E332" i="5"/>
  <c r="E100" i="106"/>
  <c r="E358" i="5"/>
  <c r="E375" i="5"/>
  <c r="E117" i="106"/>
  <c r="E356" i="5"/>
  <c r="E98" i="106"/>
  <c r="E344" i="5"/>
  <c r="E86" i="106"/>
  <c r="E116" i="106"/>
  <c r="E374" i="5"/>
  <c r="E352" i="5"/>
  <c r="E94" i="106"/>
  <c r="E337" i="5"/>
  <c r="E79" i="106"/>
  <c r="E101" i="106"/>
  <c r="E359" i="5"/>
  <c r="E85" i="106"/>
  <c r="E343" i="5"/>
  <c r="E362" i="5"/>
  <c r="E104" i="106"/>
  <c r="E351" i="5"/>
  <c r="E93" i="106"/>
  <c r="E338" i="5"/>
  <c r="E80" i="106"/>
  <c r="E340" i="5"/>
  <c r="E82" i="106"/>
  <c r="E92" i="106"/>
  <c r="E350" i="5"/>
  <c r="E360" i="5"/>
  <c r="E102" i="106"/>
  <c r="E97" i="106"/>
  <c r="E355" i="5"/>
  <c r="E379" i="5"/>
  <c r="E121" i="106"/>
  <c r="E91" i="106"/>
  <c r="E349" i="5"/>
  <c r="E377" i="5"/>
  <c r="E119" i="106"/>
  <c r="E357" i="5"/>
  <c r="E99" i="106"/>
  <c r="E77" i="106"/>
  <c r="E335" i="5"/>
  <c r="E365" i="5"/>
  <c r="E107" i="106"/>
  <c r="E108" i="106"/>
  <c r="E366" i="5"/>
  <c r="AR338" i="5"/>
  <c r="AR342" i="5"/>
  <c r="AR337" i="5"/>
  <c r="AR340" i="5"/>
  <c r="AR341" i="5"/>
  <c r="AR339" i="5"/>
  <c r="AR334" i="5"/>
  <c r="AR343" i="5"/>
  <c r="AR335" i="5"/>
  <c r="AR336" i="5"/>
  <c r="AT76" i="6" l="1"/>
  <c r="AU76" i="6"/>
  <c r="AS76" i="6"/>
  <c r="AR76" i="6"/>
  <c r="AV76" i="6"/>
  <c r="AT151" i="5"/>
  <c r="AT149" i="5"/>
  <c r="AP351" i="5"/>
  <c r="AV151" i="5"/>
  <c r="AT124" i="5"/>
  <c r="AO369" i="5"/>
  <c r="AO377" i="5"/>
  <c r="AS124" i="5"/>
  <c r="AV124" i="5"/>
  <c r="AS149" i="5"/>
  <c r="AR149" i="5"/>
  <c r="AV144" i="5"/>
  <c r="AP334" i="5"/>
  <c r="AT143" i="5"/>
  <c r="AP371" i="5"/>
  <c r="AR282" i="17"/>
  <c r="AR151" i="5"/>
  <c r="AP374" i="5"/>
  <c r="AP360" i="5"/>
  <c r="AO364" i="5"/>
  <c r="AU143" i="5"/>
  <c r="AP359" i="5"/>
  <c r="AO362" i="5"/>
  <c r="AO343" i="5"/>
  <c r="AO378" i="5"/>
  <c r="AO356" i="5"/>
  <c r="AS151" i="5"/>
  <c r="AS144" i="5"/>
  <c r="AO341" i="5"/>
  <c r="AP341" i="5"/>
  <c r="AP355" i="5"/>
  <c r="AO336" i="5"/>
  <c r="AO368" i="5"/>
  <c r="AO337" i="5"/>
  <c r="AO358" i="5"/>
  <c r="AO373" i="5"/>
  <c r="AO345" i="5"/>
  <c r="AO350" i="5"/>
  <c r="AO363" i="5"/>
  <c r="AO374" i="5"/>
  <c r="AP340" i="5"/>
  <c r="AV149" i="5"/>
  <c r="AP367" i="5"/>
  <c r="AP344" i="5"/>
  <c r="AP358" i="5"/>
  <c r="AO349" i="5"/>
  <c r="AS143" i="5"/>
  <c r="AO339" i="5"/>
  <c r="AO351" i="5"/>
  <c r="AO344" i="5"/>
  <c r="AO357" i="5"/>
  <c r="AU144" i="5"/>
  <c r="AO379" i="5"/>
  <c r="AO367" i="5"/>
  <c r="AO375" i="5"/>
  <c r="AT144" i="5"/>
  <c r="AO348" i="5"/>
  <c r="AU149" i="5"/>
  <c r="AO376" i="5"/>
  <c r="AO372" i="5"/>
  <c r="AP353" i="5"/>
  <c r="AP347" i="5"/>
  <c r="AO371" i="5"/>
  <c r="AP343" i="5"/>
  <c r="AP373" i="5"/>
  <c r="AP361" i="5"/>
  <c r="AP349" i="5"/>
  <c r="AP376" i="5"/>
  <c r="AP357" i="5"/>
  <c r="AO370" i="5"/>
  <c r="AP369" i="5"/>
  <c r="AP356" i="5"/>
  <c r="AP364" i="5"/>
  <c r="AP379" i="5"/>
  <c r="AP335" i="5"/>
  <c r="AP350" i="5"/>
  <c r="AO340" i="5"/>
  <c r="AO359" i="5"/>
  <c r="AO347" i="5"/>
  <c r="AP339" i="5"/>
  <c r="AU151" i="5"/>
  <c r="AP368" i="5"/>
  <c r="AV143" i="5"/>
  <c r="AO355" i="5"/>
  <c r="AO353" i="5"/>
  <c r="AP370" i="5"/>
  <c r="AO346" i="5"/>
  <c r="AO342" i="5"/>
  <c r="AO366" i="5"/>
  <c r="AO338" i="5"/>
  <c r="AP345" i="5"/>
  <c r="AP337" i="5"/>
  <c r="AO365" i="5"/>
  <c r="AP336" i="5"/>
  <c r="AP342" i="5"/>
  <c r="AR143" i="5"/>
  <c r="AR144" i="5"/>
  <c r="AP338" i="5"/>
  <c r="AP346" i="5"/>
  <c r="AP378" i="5"/>
  <c r="AO334" i="5"/>
  <c r="AU333" i="5"/>
  <c r="AO386" i="5"/>
  <c r="AO360" i="5"/>
  <c r="AO361" i="5"/>
  <c r="AS386" i="5"/>
  <c r="AP372" i="5"/>
  <c r="AP366" i="5"/>
  <c r="AR386" i="5"/>
  <c r="AO335" i="5"/>
  <c r="AQ386" i="5"/>
  <c r="AT33" i="5"/>
  <c r="AP377" i="5"/>
  <c r="AP365" i="5"/>
  <c r="AP362" i="5"/>
  <c r="AS333" i="5"/>
  <c r="AT386" i="5"/>
  <c r="AP352" i="5"/>
  <c r="AP375" i="5"/>
  <c r="AP363" i="5"/>
  <c r="AO352" i="5"/>
  <c r="AV333" i="5"/>
  <c r="AP348" i="5"/>
  <c r="AU386" i="5"/>
  <c r="AP386" i="5"/>
  <c r="AT333" i="5"/>
  <c r="AR21" i="106"/>
  <c r="AT21" i="106"/>
  <c r="AR333" i="5"/>
  <c r="AV21" i="106"/>
  <c r="AT24" i="106"/>
  <c r="AU21" i="106"/>
  <c r="AR24" i="106"/>
  <c r="AS21" i="106"/>
  <c r="AT37" i="5" l="1"/>
  <c r="AR37" i="5"/>
  <c r="AV37" i="5"/>
  <c r="AU37" i="5"/>
  <c r="AP333" i="5"/>
  <c r="AO333" i="5"/>
  <c r="AT332" i="5"/>
  <c r="AS37" i="5"/>
  <c r="AS24" i="106"/>
  <c r="AU24" i="106"/>
  <c r="AV24" i="106"/>
  <c r="AR74" i="106"/>
  <c r="AQ74" i="106"/>
  <c r="AO74" i="106"/>
  <c r="AT74" i="106"/>
  <c r="AS74" i="106"/>
  <c r="AP74" i="106"/>
  <c r="AU74" i="106"/>
  <c r="AR332" i="5"/>
  <c r="AU332" i="5" l="1"/>
  <c r="AP385" i="5"/>
  <c r="AS332" i="5"/>
  <c r="AV332" i="5"/>
  <c r="AS385" i="5"/>
  <c r="AT385" i="5"/>
  <c r="AO385" i="5"/>
  <c r="AU385" i="5"/>
  <c r="AQ385" i="5"/>
  <c r="AR315" i="5" s="1" a="1"/>
  <c r="AR315" i="5" s="1"/>
  <c r="AR385" i="5"/>
  <c r="AR323" i="5" a="1"/>
  <c r="AR323" i="5" s="1"/>
  <c r="AS322" i="5" l="1" a="1"/>
  <c r="AS322" i="5" s="1"/>
  <c r="AR313" i="5" a="1"/>
  <c r="AR313" i="5" s="1"/>
  <c r="AS324" i="5" a="1"/>
  <c r="AS324" i="5" s="1"/>
  <c r="AP332" i="5"/>
  <c r="AO332" i="5"/>
  <c r="AP381" i="5" l="1"/>
  <c r="AV14" i="86" s="1"/>
  <c r="I14"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9" i="5" s="1"/>
  <c r="AR17" i="5"/>
  <c r="AR15" i="12" s="1"/>
  <c r="AR16" i="5"/>
  <c r="AR18" i="5"/>
  <c r="AR249" i="5" s="1"/>
  <c r="AS17" i="5"/>
  <c r="AS16" i="5"/>
  <c r="AS18" i="5"/>
  <c r="AS249" i="5" s="1"/>
  <c r="AT17" i="5"/>
  <c r="AT16" i="5"/>
  <c r="AT18" i="5"/>
  <c r="AT249" i="5" s="1"/>
  <c r="AU17" i="5"/>
  <c r="AU16" i="5"/>
  <c r="AU14" i="12" s="1"/>
  <c r="AU18" i="5"/>
  <c r="AU249" i="5" s="1"/>
  <c r="AV17" i="5"/>
  <c r="AV16" i="5"/>
  <c r="AV18" i="5"/>
  <c r="AV249"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AV40" i="12"/>
  <c r="E156" i="12"/>
  <c r="E67" i="12"/>
  <c r="E211" i="12"/>
  <c r="K211" i="12" s="1"/>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L21" i="32" l="1"/>
  <c r="O21" i="32"/>
  <c r="M26" i="32"/>
  <c r="AA39" i="32"/>
  <c r="Z39" i="32"/>
  <c r="AI21" i="32"/>
  <c r="AI39" i="32"/>
  <c r="AA21" i="32"/>
  <c r="M42" i="32"/>
  <c r="Y39" i="32"/>
  <c r="Z21" i="32"/>
  <c r="AT21" i="32"/>
  <c r="Y42" i="32"/>
  <c r="AL42" i="32"/>
  <c r="B2" i="126"/>
  <c r="T21" i="32"/>
  <c r="T39" i="32"/>
  <c r="V21" i="32"/>
  <c r="U21" i="32"/>
  <c r="V42" i="32"/>
  <c r="W21" i="32"/>
  <c r="W39" i="32"/>
  <c r="S42" i="32"/>
  <c r="O29" i="32"/>
  <c r="P30" i="32" s="1"/>
  <c r="O23" i="32"/>
  <c r="O39" i="32"/>
  <c r="X42" i="32"/>
  <c r="X21" i="32"/>
  <c r="AC39" i="32"/>
  <c r="AE42" i="32"/>
  <c r="U39" i="32"/>
  <c r="O26" i="32"/>
  <c r="P27" i="32" s="1"/>
  <c r="P189" i="5" s="1"/>
  <c r="O42" i="32"/>
  <c r="AE21" i="32"/>
  <c r="AK39" i="32"/>
  <c r="AK42" i="32"/>
  <c r="S21" i="32"/>
  <c r="N40" i="32"/>
  <c r="N23" i="32"/>
  <c r="O24" i="32" s="1"/>
  <c r="O188" i="5" s="1"/>
  <c r="M39" i="32"/>
  <c r="S39" i="32"/>
  <c r="O40" i="32"/>
  <c r="N29" i="32"/>
  <c r="S29" i="32"/>
  <c r="N21" i="32"/>
  <c r="AR60" i="101"/>
  <c r="AQ60" i="101"/>
  <c r="AS60" i="101"/>
  <c r="AT60" i="101"/>
  <c r="AV60" i="101"/>
  <c r="AU60" i="101"/>
  <c r="B2" i="125"/>
  <c r="AM1" i="125"/>
  <c r="AL1" i="108"/>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08"/>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N30" i="32" s="1"/>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N24" i="32" l="1"/>
  <c r="N188" i="5" s="1"/>
  <c r="O27" i="32"/>
  <c r="O189" i="5" s="1"/>
  <c r="S30" i="32"/>
  <c r="O30" i="32"/>
  <c r="M212" i="12"/>
  <c r="AJ37" i="13"/>
  <c r="AU150" i="5"/>
  <c r="AS150" i="5"/>
  <c r="AT150" i="5"/>
  <c r="AR150" i="5"/>
  <c r="AV150" i="5"/>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I195" i="5"/>
  <c r="AD195" i="5"/>
  <c r="AF8" i="106"/>
  <c r="AF8" i="108" s="1"/>
  <c r="AH8" i="106"/>
  <c r="AL195" i="5"/>
  <c r="AB195" i="5"/>
  <c r="AK195" i="5"/>
  <c r="AE195" i="5"/>
  <c r="AM195" i="5"/>
  <c r="AA8" i="106"/>
  <c r="AJ195" i="5"/>
  <c r="AM8" i="106"/>
  <c r="AG195" i="5"/>
  <c r="AA195" i="5"/>
  <c r="AB8" i="106"/>
  <c r="AN195" i="5"/>
  <c r="Z195" i="5"/>
  <c r="AC195" i="5"/>
  <c r="AF195" i="5"/>
  <c r="AH195" i="5"/>
  <c r="AG8" i="106"/>
  <c r="AC8" i="106"/>
  <c r="AJ8" i="106"/>
  <c r="AI8" i="106"/>
  <c r="X8" i="106"/>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08"/>
  <c r="U8" i="108"/>
  <c r="K8" i="108"/>
  <c r="N8" i="108"/>
  <c r="V8" i="108"/>
  <c r="L8" i="108"/>
  <c r="O8" i="108"/>
  <c r="W8" i="108"/>
  <c r="M8" i="108"/>
  <c r="Q8" i="108"/>
  <c r="P8" i="108"/>
  <c r="R8" i="108"/>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L196" i="5" l="1"/>
  <c r="AK8" i="108"/>
  <c r="AG8" i="108"/>
  <c r="AE8" i="108"/>
  <c r="AB8" i="108"/>
  <c r="AJ8" i="108"/>
  <c r="AA8" i="108"/>
  <c r="AM196" i="5"/>
  <c r="AM8" i="108"/>
  <c r="X8" i="108"/>
  <c r="AD8" i="108"/>
  <c r="Z8" i="108"/>
  <c r="AH8" i="108"/>
  <c r="E217" i="12"/>
  <c r="AN8" i="108"/>
  <c r="AC8" i="108"/>
  <c r="Y8" i="108"/>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L8" i="108" s="1"/>
  <c r="AS163" i="5"/>
  <c r="AV164" i="5"/>
  <c r="AS200" i="5"/>
  <c r="AS82" i="17" s="1"/>
  <c r="AI8" i="108"/>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S181" i="106"/>
  <c r="AT181" i="106"/>
  <c r="AV181" i="106"/>
  <c r="AU181" i="106"/>
  <c r="AO8" i="108"/>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08"/>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V18" i="16"/>
  <c r="AS18" i="16"/>
  <c r="AT18" i="16"/>
  <c r="AU18" i="1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I241"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C229" i="5"/>
  <c r="AC24" i="12" s="1"/>
  <c r="R229" i="5"/>
  <c r="R24" i="12" s="1"/>
  <c r="N230" i="5"/>
  <c r="P229" i="5"/>
  <c r="P24" i="12" s="1"/>
  <c r="I219" i="5"/>
  <c r="AH229" i="5"/>
  <c r="AH24" i="12" s="1"/>
  <c r="R230" i="5"/>
  <c r="U230" i="5"/>
  <c r="X229" i="5"/>
  <c r="X24" i="12" s="1"/>
  <c r="T230" i="5"/>
  <c r="L229" i="5"/>
  <c r="L24" i="12" s="1"/>
  <c r="T229" i="5"/>
  <c r="T24" i="12" s="1"/>
  <c r="AD229" i="5"/>
  <c r="AD24" i="12" s="1"/>
  <c r="S229" i="5"/>
  <c r="S24" i="12" s="1"/>
  <c r="AC230" i="5"/>
  <c r="O229" i="5"/>
  <c r="O24" i="12" s="1"/>
  <c r="AH230" i="5"/>
  <c r="AG230" i="5"/>
  <c r="U229" i="5"/>
  <c r="U24" i="12" s="1"/>
  <c r="AD230"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S260"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s="1"/>
  <c r="N343" i="33" s="1"/>
  <c r="N344" i="33" s="1"/>
  <c r="N345" i="33" s="1"/>
  <c r="N346" i="33" s="1"/>
  <c r="N347" i="33" s="1"/>
  <c r="N348" i="33" s="1"/>
  <c r="N349" i="33" s="1"/>
  <c r="N350" i="33" s="1"/>
  <c r="N351" i="33" s="1"/>
  <c r="N352" i="33" s="1"/>
  <c r="E140" i="12" l="1"/>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O140" i="12" l="1"/>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8" i="108" l="1"/>
  <c r="AR26" i="126"/>
  <c r="AR146" i="126" s="1"/>
  <c r="AR68" i="126"/>
  <c r="AR152" i="126" s="1"/>
  <c r="AR135" i="126"/>
  <c r="AR166" i="126" s="1"/>
  <c r="AP8" i="106"/>
  <c r="AQ8" i="106"/>
  <c r="AR15" i="15"/>
  <c r="AR16" i="101"/>
  <c r="AR17" i="17"/>
  <c r="M316" i="33"/>
  <c r="M317" i="33" s="1"/>
  <c r="AP194" i="5"/>
  <c r="AQ194" i="5"/>
  <c r="AP16" i="101" l="1"/>
  <c r="AP12" i="126"/>
  <c r="AP13" i="126" s="1"/>
  <c r="AQ12" i="126"/>
  <c r="AQ13" i="126" s="1"/>
  <c r="AP8" i="108"/>
  <c r="AQ8" i="108"/>
  <c r="AQ16" i="101"/>
  <c r="AR202" i="17"/>
  <c r="AR251" i="17"/>
  <c r="AR30" i="17"/>
  <c r="AP17" i="17"/>
  <c r="AR22" i="101"/>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08" l="1"/>
  <c r="AS196" i="5"/>
  <c r="AS314" i="17"/>
  <c r="AS15" i="15"/>
  <c r="AS16" i="101"/>
  <c r="AS17" i="17"/>
  <c r="AT29" i="32"/>
  <c r="M332" i="33"/>
  <c r="M333" i="33" s="1"/>
  <c r="M334" i="33" s="1"/>
  <c r="M335" i="33" s="1"/>
  <c r="M336" i="33" s="1"/>
  <c r="M337" i="33" s="1"/>
  <c r="M338" i="33" s="1"/>
  <c r="AT188" i="5"/>
  <c r="AS251" i="17" l="1"/>
  <c r="AS202" i="17"/>
  <c r="AS30" i="17"/>
  <c r="AT114" i="17"/>
  <c r="AT30" i="32"/>
  <c r="AT32" i="32"/>
  <c r="AT17" i="101"/>
  <c r="AS66" i="101" s="1"/>
  <c r="AU40" i="32"/>
  <c r="AU45" i="32" s="1"/>
  <c r="M339" i="33"/>
  <c r="AT8" i="106" l="1"/>
  <c r="AT8" i="108" s="1"/>
  <c r="AT43" i="32"/>
  <c r="AT46" i="32" s="1"/>
  <c r="AT194" i="5"/>
  <c r="AT12" i="126" s="1"/>
  <c r="AT13" i="126" s="1"/>
  <c r="M340" i="33"/>
  <c r="M341" i="33" s="1"/>
  <c r="AT195" i="5" l="1"/>
  <c r="AT196" i="5" s="1"/>
  <c r="AT15" i="15"/>
  <c r="AT16" i="101"/>
  <c r="AT17" i="17"/>
  <c r="AU23" i="32"/>
  <c r="AU24" i="32" s="1"/>
  <c r="M342" i="33"/>
  <c r="M343" i="33" s="1"/>
  <c r="AT314" i="17" l="1"/>
  <c r="AT202" i="17"/>
  <c r="AT251" i="17"/>
  <c r="AT30" i="17"/>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314" i="17" l="1"/>
  <c r="AU196" i="5"/>
  <c r="AU8" i="108"/>
  <c r="AU15" i="15"/>
  <c r="AU16" i="101"/>
  <c r="AU17" i="17"/>
  <c r="AV43" i="32"/>
  <c r="AV46" i="32" s="1"/>
  <c r="AV23" i="32"/>
  <c r="AV24" i="32" s="1"/>
  <c r="AV195" i="5" l="1"/>
  <c r="AV196" i="5" s="1"/>
  <c r="AU251" i="17"/>
  <c r="AU202" i="17"/>
  <c r="AU30" i="17"/>
  <c r="AV29" i="32"/>
  <c r="AV188" i="5"/>
  <c r="AV314" i="17" l="1"/>
  <c r="AV114" i="17"/>
  <c r="AV32" i="32"/>
  <c r="AV30" i="32"/>
  <c r="AV17" i="101"/>
  <c r="AU66" i="101" s="1"/>
  <c r="AV8" i="106" l="1"/>
  <c r="AV194" i="5"/>
  <c r="AV12" i="126" s="1"/>
  <c r="AV13" i="126" s="1"/>
  <c r="AV8" i="108" l="1"/>
  <c r="AV15" i="15"/>
  <c r="AV16" i="101"/>
  <c r="AV17" i="17"/>
  <c r="AV202" i="17" l="1"/>
  <c r="AV251" i="17"/>
  <c r="AV30"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U78" i="101"/>
  <c r="AS78" i="101"/>
  <c r="AT78" i="101"/>
  <c r="AR78" i="101"/>
  <c r="AV306"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6" i="5"/>
  <c r="AS305"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6" i="5"/>
  <c r="AR305"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6" i="5"/>
  <c r="AV305"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6" i="5"/>
  <c r="AU305"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380" i="5"/>
  <c r="AT305" i="5"/>
  <c r="AV310"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10"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380"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8" i="5"/>
  <c r="AV307" i="5"/>
  <c r="AU309" i="5"/>
  <c r="AU308" i="5"/>
  <c r="AS304" i="5"/>
  <c r="AU310" i="5"/>
  <c r="AU56" i="12"/>
  <c r="AT57" i="12"/>
  <c r="O211" i="12"/>
  <c r="P211" i="12" s="1"/>
  <c r="AV309" i="5"/>
  <c r="AS307" i="5"/>
  <c r="AU304" i="5"/>
  <c r="AR310"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4" i="5"/>
  <c r="AT304"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9" i="5"/>
  <c r="AT307" i="5"/>
  <c r="AR308" i="5"/>
  <c r="M154" i="12"/>
  <c r="N154" i="12" s="1"/>
  <c r="AR309" i="5"/>
  <c r="AT308" i="5"/>
  <c r="V217" i="12"/>
  <c r="W217" i="12" s="1"/>
  <c r="L193" i="12"/>
  <c r="AU307" i="5"/>
  <c r="AQ58" i="101"/>
  <c r="AR59" i="15"/>
  <c r="AQ74" i="101"/>
  <c r="AQ76" i="101" s="1"/>
  <c r="AR45" i="101" l="1"/>
  <c r="AR52" i="101" s="1"/>
  <c r="AI234" i="12"/>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380" i="5"/>
  <c r="AT380"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14" i="5" a="1"/>
  <c r="AU314" i="5" s="1"/>
  <c r="AU42" i="5" s="1"/>
  <c r="AU13" i="2" s="1"/>
  <c r="AU315" i="5" a="1"/>
  <c r="AU315" i="5" s="1"/>
  <c r="AU43" i="5" s="1"/>
  <c r="AU14" i="2" s="1"/>
  <c r="AV324" i="5" a="1"/>
  <c r="AV324" i="5" s="1"/>
  <c r="AV53" i="5" s="1"/>
  <c r="AV25" i="2" s="1"/>
  <c r="AV66" i="2" s="1"/>
  <c r="AR325" i="5" a="1"/>
  <c r="AR325" i="5" s="1"/>
  <c r="AR54" i="5" s="1"/>
  <c r="AR26" i="2" s="1"/>
  <c r="AR314" i="5" a="1"/>
  <c r="AR314" i="5" s="1"/>
  <c r="AR42" i="5" s="1"/>
  <c r="AR13" i="2" s="1"/>
  <c r="AT319" i="5" a="1"/>
  <c r="AT319" i="5" s="1"/>
  <c r="AT47" i="5" s="1"/>
  <c r="AT18" i="2" s="1"/>
  <c r="AT315" i="5" a="1"/>
  <c r="AT315" i="5" s="1"/>
  <c r="AT43" i="5" s="1"/>
  <c r="AT14" i="2" s="1"/>
  <c r="AS53" i="5"/>
  <c r="AS25" i="2" s="1"/>
  <c r="AS66" i="2" s="1"/>
  <c r="AS313" i="5" a="1"/>
  <c r="AS313" i="5" s="1"/>
  <c r="AS41" i="5" s="1"/>
  <c r="AS12" i="2" s="1"/>
  <c r="AU316" i="5" a="1"/>
  <c r="AU316" i="5" s="1"/>
  <c r="AU44" i="5" s="1"/>
  <c r="AU15" i="2" s="1"/>
  <c r="AV326" i="5" a="1"/>
  <c r="AV326" i="5" s="1"/>
  <c r="AV55" i="5" s="1"/>
  <c r="AV27" i="2" s="1"/>
  <c r="AV68" i="2" s="1"/>
  <c r="AR328" i="5" a="1"/>
  <c r="AR328" i="5" s="1"/>
  <c r="AR57" i="5" s="1"/>
  <c r="AR29" i="2" s="1"/>
  <c r="AR324" i="5" a="1"/>
  <c r="AR324" i="5" s="1"/>
  <c r="AR53" i="5" s="1"/>
  <c r="AR25" i="2" s="1"/>
  <c r="AT328" i="5" a="1"/>
  <c r="AT328" i="5" s="1"/>
  <c r="AT57" i="5" s="1"/>
  <c r="AT29" i="2" s="1"/>
  <c r="AT70" i="2" s="1"/>
  <c r="AS328" i="5" a="1"/>
  <c r="AS328" i="5" s="1"/>
  <c r="AS57" i="5" s="1"/>
  <c r="AS29" i="2" s="1"/>
  <c r="AS70" i="2" s="1"/>
  <c r="AS314" i="5" a="1"/>
  <c r="AS314" i="5" s="1"/>
  <c r="AS42" i="5" s="1"/>
  <c r="AS13" i="2" s="1"/>
  <c r="AU326" i="5" a="1"/>
  <c r="AU326" i="5" s="1"/>
  <c r="AU55" i="5" s="1"/>
  <c r="AU27" i="2" s="1"/>
  <c r="AU68" i="2" s="1"/>
  <c r="AV328" i="5" a="1"/>
  <c r="AV328" i="5" s="1"/>
  <c r="AV57" i="5" s="1"/>
  <c r="AV29" i="2" s="1"/>
  <c r="AV70" i="2" s="1"/>
  <c r="AV314" i="5" a="1"/>
  <c r="AV314" i="5" s="1"/>
  <c r="AV42" i="5" s="1"/>
  <c r="AV13" i="2" s="1"/>
  <c r="AR52" i="5"/>
  <c r="AR24" i="2" s="1"/>
  <c r="AR41" i="5"/>
  <c r="AT314" i="5" a="1"/>
  <c r="AT314" i="5" s="1"/>
  <c r="AT42" i="5" s="1"/>
  <c r="AT13" i="2" s="1"/>
  <c r="AS317" i="5" a="1"/>
  <c r="AS317" i="5" s="1"/>
  <c r="AS45" i="5" s="1"/>
  <c r="AS16" i="2" s="1"/>
  <c r="AS51" i="5"/>
  <c r="AS23" i="2" s="1"/>
  <c r="AU322" i="5" a="1"/>
  <c r="AU322" i="5" s="1"/>
  <c r="AU51" i="5" s="1"/>
  <c r="AU23" i="2" s="1"/>
  <c r="AU318" i="5" a="1"/>
  <c r="AU318" i="5" s="1"/>
  <c r="AU46" i="5" s="1"/>
  <c r="AU17" i="2" s="1"/>
  <c r="AV316" i="5" a="1"/>
  <c r="AV316" i="5" s="1"/>
  <c r="AV44" i="5" s="1"/>
  <c r="AV15" i="2" s="1"/>
  <c r="AV317" i="5" a="1"/>
  <c r="AV317" i="5" s="1"/>
  <c r="AV45" i="5" s="1"/>
  <c r="AV16" i="2" s="1"/>
  <c r="AR326" i="5" a="1"/>
  <c r="AR326" i="5" s="1"/>
  <c r="AR55" i="5" s="1"/>
  <c r="AR27" i="2" s="1"/>
  <c r="AR43" i="5"/>
  <c r="AR14" i="2" s="1"/>
  <c r="AT323" i="5" a="1"/>
  <c r="AT323" i="5" s="1"/>
  <c r="AT52" i="5" s="1"/>
  <c r="AT24" i="2" s="1"/>
  <c r="AT65" i="2" s="1"/>
  <c r="AT317" i="5" a="1"/>
  <c r="AT317" i="5" s="1"/>
  <c r="AT45" i="5" s="1"/>
  <c r="AT16" i="2" s="1"/>
  <c r="AS315" i="5" a="1"/>
  <c r="AS315" i="5" s="1"/>
  <c r="AS43" i="5" s="1"/>
  <c r="AS14" i="2" s="1"/>
  <c r="AU319" i="5" a="1"/>
  <c r="AU319" i="5" s="1"/>
  <c r="AU47" i="5" s="1"/>
  <c r="AU18" i="2" s="1"/>
  <c r="AU317" i="5" a="1"/>
  <c r="AU317" i="5" s="1"/>
  <c r="AU45" i="5" s="1"/>
  <c r="AU16" i="2" s="1"/>
  <c r="AV319" i="5" a="1"/>
  <c r="AV319" i="5" s="1"/>
  <c r="AV47" i="5" s="1"/>
  <c r="AV18" i="2" s="1"/>
  <c r="AV313" i="5" a="1"/>
  <c r="AV313" i="5" s="1"/>
  <c r="AV41" i="5" s="1"/>
  <c r="AV12" i="2" s="1"/>
  <c r="AR327" i="5" a="1"/>
  <c r="AR327" i="5" s="1"/>
  <c r="AR56" i="5" s="1"/>
  <c r="AR28" i="2" s="1"/>
  <c r="AT324" i="5" a="1"/>
  <c r="AT324" i="5" s="1"/>
  <c r="AT53" i="5" s="1"/>
  <c r="AT25" i="2" s="1"/>
  <c r="AT66" i="2" s="1"/>
  <c r="AT313" i="5" a="1"/>
  <c r="AT313" i="5" s="1"/>
  <c r="AT41" i="5" s="1"/>
  <c r="AT12" i="2" s="1"/>
  <c r="AS325" i="5" a="1"/>
  <c r="AS325" i="5" s="1"/>
  <c r="AS54" i="5" s="1"/>
  <c r="AS26" i="2" s="1"/>
  <c r="AS67" i="2" s="1"/>
  <c r="AU328" i="5" a="1"/>
  <c r="AU328" i="5" s="1"/>
  <c r="AU57" i="5" s="1"/>
  <c r="AU29" i="2" s="1"/>
  <c r="AU70" i="2" s="1"/>
  <c r="AU323" i="5" a="1"/>
  <c r="AU323" i="5" s="1"/>
  <c r="AU52" i="5" s="1"/>
  <c r="AU24" i="2" s="1"/>
  <c r="AU65" i="2" s="1"/>
  <c r="AV327" i="5" a="1"/>
  <c r="AV327" i="5" s="1"/>
  <c r="AV56" i="5" s="1"/>
  <c r="AV28" i="2" s="1"/>
  <c r="AV69" i="2" s="1"/>
  <c r="AV315" i="5" a="1"/>
  <c r="AV315" i="5" s="1"/>
  <c r="AV43" i="5" s="1"/>
  <c r="AV14" i="2" s="1"/>
  <c r="AR317" i="5" a="1"/>
  <c r="AR317" i="5" s="1"/>
  <c r="AR45" i="5" s="1"/>
  <c r="AR16" i="2" s="1"/>
  <c r="AT318" i="5" a="1"/>
  <c r="AT318" i="5" s="1"/>
  <c r="AT46" i="5" s="1"/>
  <c r="AT17" i="2" s="1"/>
  <c r="AT326" i="5" a="1"/>
  <c r="AT326" i="5" s="1"/>
  <c r="AT55" i="5" s="1"/>
  <c r="AT27" i="2" s="1"/>
  <c r="AT68" i="2" s="1"/>
  <c r="AS326" i="5" a="1"/>
  <c r="AS326" i="5" s="1"/>
  <c r="AS55" i="5" s="1"/>
  <c r="AS27" i="2" s="1"/>
  <c r="AS68" i="2" s="1"/>
  <c r="AS319" i="5" a="1"/>
  <c r="AS319" i="5" s="1"/>
  <c r="AS47" i="5" s="1"/>
  <c r="AS18" i="2" s="1"/>
  <c r="AU324" i="5" a="1"/>
  <c r="AU324" i="5" s="1"/>
  <c r="AU53" i="5" s="1"/>
  <c r="AU25" i="2" s="1"/>
  <c r="AU66" i="2" s="1"/>
  <c r="AU325" i="5" a="1"/>
  <c r="AU325" i="5" s="1"/>
  <c r="AU54" i="5" s="1"/>
  <c r="AU26" i="2" s="1"/>
  <c r="AU67" i="2" s="1"/>
  <c r="AV318" i="5" a="1"/>
  <c r="AV318" i="5" s="1"/>
  <c r="AV46" i="5" s="1"/>
  <c r="AV17" i="2" s="1"/>
  <c r="AV322" i="5" a="1"/>
  <c r="AV322" i="5" s="1"/>
  <c r="AV51" i="5" s="1"/>
  <c r="AV23" i="2" s="1"/>
  <c r="AV64" i="2" s="1"/>
  <c r="AR316" i="5" a="1"/>
  <c r="AR316" i="5" s="1"/>
  <c r="AR44" i="5" s="1"/>
  <c r="AR15" i="2" s="1"/>
  <c r="AR319" i="5" a="1"/>
  <c r="AR319" i="5" s="1"/>
  <c r="AR47" i="5" s="1"/>
  <c r="AR18" i="2" s="1"/>
  <c r="AT325" i="5" a="1"/>
  <c r="AT325" i="5" s="1"/>
  <c r="AT54" i="5" s="1"/>
  <c r="AT26" i="2" s="1"/>
  <c r="AT67" i="2" s="1"/>
  <c r="AT322" i="5" a="1"/>
  <c r="AT322" i="5" s="1"/>
  <c r="AT51" i="5" s="1"/>
  <c r="AT23" i="2" s="1"/>
  <c r="AS318" i="5" a="1"/>
  <c r="AS318" i="5" s="1"/>
  <c r="AS46" i="5" s="1"/>
  <c r="AS17" i="2" s="1"/>
  <c r="AS327" i="5" a="1"/>
  <c r="AS327" i="5" s="1"/>
  <c r="AS56" i="5" s="1"/>
  <c r="AS28" i="2" s="1"/>
  <c r="AS69" i="2" s="1"/>
  <c r="AU313" i="5" a="1"/>
  <c r="AU313" i="5" s="1"/>
  <c r="AU41" i="5" s="1"/>
  <c r="AU12" i="2" s="1"/>
  <c r="AU327" i="5" a="1"/>
  <c r="AU327" i="5" s="1"/>
  <c r="AU56" i="5" s="1"/>
  <c r="AU28" i="2" s="1"/>
  <c r="AU69" i="2" s="1"/>
  <c r="AV323" i="5" a="1"/>
  <c r="AV323" i="5" s="1"/>
  <c r="AV52" i="5" s="1"/>
  <c r="AV24" i="2" s="1"/>
  <c r="AV325" i="5" a="1"/>
  <c r="AV325" i="5" s="1"/>
  <c r="AV54" i="5" s="1"/>
  <c r="AV26" i="2" s="1"/>
  <c r="AV67" i="2" s="1"/>
  <c r="AR318" i="5" a="1"/>
  <c r="AR318" i="5" s="1"/>
  <c r="AR46" i="5" s="1"/>
  <c r="AR17" i="2" s="1"/>
  <c r="AR322" i="5" a="1"/>
  <c r="AR322" i="5" s="1"/>
  <c r="AR51" i="5" s="1"/>
  <c r="AR23" i="2" s="1"/>
  <c r="AT327" i="5" a="1"/>
  <c r="AT327" i="5" s="1"/>
  <c r="AT56" i="5" s="1"/>
  <c r="AT28" i="2" s="1"/>
  <c r="AT69" i="2" s="1"/>
  <c r="AT316" i="5" a="1"/>
  <c r="AT316" i="5" s="1"/>
  <c r="AT44" i="5" s="1"/>
  <c r="AT15" i="2" s="1"/>
  <c r="AS323" i="5" a="1"/>
  <c r="AS323" i="5" s="1"/>
  <c r="AS52" i="5" s="1"/>
  <c r="AS24" i="2" s="1"/>
  <c r="AS65" i="2" s="1"/>
  <c r="AS316" i="5" a="1"/>
  <c r="AS316" i="5" s="1"/>
  <c r="AS44" i="5" s="1"/>
  <c r="AS15" i="2" s="1"/>
  <c r="AU172" i="5"/>
  <c r="AU169" i="5"/>
  <c r="AU173" i="5" s="1"/>
  <c r="AU179" i="5" s="1"/>
  <c r="AT17" i="16"/>
  <c r="AU202" i="12"/>
  <c r="AT172" i="5"/>
  <c r="AT169" i="5"/>
  <c r="AT173" i="5" s="1"/>
  <c r="AT179" i="5" s="1"/>
  <c r="AV34" i="15"/>
  <c r="AV17" i="16"/>
  <c r="AR34" i="15"/>
  <c r="AR17" i="16"/>
  <c r="Q154" i="12"/>
  <c r="P193" i="12"/>
  <c r="AQ63" i="101"/>
  <c r="AQ95" i="101"/>
  <c r="AU33" i="17"/>
  <c r="AS380" i="5"/>
  <c r="AU17" i="16"/>
  <c r="O193" i="12"/>
  <c r="AR69" i="101"/>
  <c r="AR50" i="101" s="1"/>
  <c r="AS172" i="5"/>
  <c r="AV172" i="5"/>
  <c r="AV169" i="5"/>
  <c r="AV173" i="5" s="1"/>
  <c r="AV179" i="5" s="1"/>
  <c r="AS17" i="16"/>
  <c r="AS34" i="15"/>
  <c r="AT33" i="17"/>
  <c r="AV201" i="12"/>
  <c r="AV55" i="12"/>
  <c r="AV202" i="12" s="1"/>
  <c r="AR12" i="2" l="1"/>
  <c r="AV40" i="2"/>
  <c r="AV57" i="2"/>
  <c r="AV81" i="2" s="1"/>
  <c r="AS39" i="2"/>
  <c r="AS56" i="2"/>
  <c r="AS80" i="2" s="1"/>
  <c r="AU38" i="2"/>
  <c r="AU55" i="2"/>
  <c r="AU79" i="2" s="1"/>
  <c r="AV37" i="2"/>
  <c r="AV54" i="2"/>
  <c r="AV78" i="2" s="1"/>
  <c r="AV35" i="2"/>
  <c r="AV52" i="2"/>
  <c r="AT30" i="2"/>
  <c r="AT64" i="2"/>
  <c r="AT71" i="2" s="1"/>
  <c r="AS40" i="2"/>
  <c r="AS57" i="2"/>
  <c r="AS81" i="2" s="1"/>
  <c r="AU40" i="2"/>
  <c r="AU57" i="2"/>
  <c r="AU81" i="2" s="1"/>
  <c r="AU39" i="2"/>
  <c r="AU56" i="2"/>
  <c r="AU80" i="2" s="1"/>
  <c r="AU37" i="2"/>
  <c r="AU54" i="2"/>
  <c r="AU78" i="2" s="1"/>
  <c r="AU36" i="2"/>
  <c r="AU53" i="2"/>
  <c r="AU77" i="2" s="1"/>
  <c r="AS36" i="2"/>
  <c r="AS53" i="2"/>
  <c r="AS77" i="2" s="1"/>
  <c r="AU30" i="2"/>
  <c r="AU64" i="2"/>
  <c r="AU71" i="2" s="1"/>
  <c r="AS19" i="2"/>
  <c r="AS34" i="2"/>
  <c r="AS51" i="2"/>
  <c r="AU35" i="2"/>
  <c r="AU52" i="2"/>
  <c r="AU76" i="2" s="1"/>
  <c r="AT19" i="2"/>
  <c r="AT34" i="2"/>
  <c r="AT51" i="2"/>
  <c r="AT38" i="2"/>
  <c r="AT55" i="2"/>
  <c r="AT79" i="2" s="1"/>
  <c r="AS30" i="2"/>
  <c r="AS64" i="2"/>
  <c r="AS71" i="2" s="1"/>
  <c r="AS35" i="2"/>
  <c r="AS52" i="2"/>
  <c r="AS76" i="2" s="1"/>
  <c r="AT37" i="2"/>
  <c r="AT54" i="2"/>
  <c r="AT78" i="2" s="1"/>
  <c r="AV30" i="2"/>
  <c r="AV65" i="2"/>
  <c r="AV71" i="2" s="1"/>
  <c r="AT39" i="2"/>
  <c r="AT56" i="2"/>
  <c r="AT80" i="2" s="1"/>
  <c r="AS38" i="2"/>
  <c r="AS55" i="2"/>
  <c r="AS79" i="2" s="1"/>
  <c r="AT36" i="2"/>
  <c r="AT53" i="2"/>
  <c r="AT77" i="2" s="1"/>
  <c r="AV38" i="2"/>
  <c r="AV55" i="2"/>
  <c r="AV79" i="2" s="1"/>
  <c r="AS37" i="2"/>
  <c r="AS54" i="2"/>
  <c r="AS78" i="2" s="1"/>
  <c r="AT35" i="2"/>
  <c r="AT52" i="2"/>
  <c r="AT76" i="2" s="1"/>
  <c r="AT40" i="2"/>
  <c r="AT57" i="2"/>
  <c r="AT81" i="2" s="1"/>
  <c r="AU34" i="2"/>
  <c r="AU19" i="2"/>
  <c r="AU51" i="2"/>
  <c r="AV39" i="2"/>
  <c r="AV56" i="2"/>
  <c r="AV80" i="2" s="1"/>
  <c r="AV36" i="2"/>
  <c r="AV53" i="2"/>
  <c r="AV77" i="2" s="1"/>
  <c r="AV34" i="2"/>
  <c r="AV19" i="2"/>
  <c r="AV51" i="2"/>
  <c r="AR51" i="10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AR33" i="17"/>
  <c r="AS298" i="5"/>
  <c r="AR299" i="5"/>
  <c r="AR297" i="5"/>
  <c r="AT296" i="5"/>
  <c r="AT301" i="5"/>
  <c r="AU295" i="5"/>
  <c r="AV300" i="5"/>
  <c r="AV297" i="5"/>
  <c r="AV295" i="5"/>
  <c r="AR296" i="5"/>
  <c r="AT298" i="5"/>
  <c r="AV301" i="5"/>
  <c r="AS300" i="5"/>
  <c r="AU299" i="5"/>
  <c r="AV298" i="5"/>
  <c r="AV296" i="5"/>
  <c r="Q208" i="12"/>
  <c r="Q204" i="12" s="1"/>
  <c r="Q30" i="12" s="1"/>
  <c r="AS33" i="17"/>
  <c r="AU301" i="5"/>
  <c r="AU300" i="5"/>
  <c r="AU298" i="5"/>
  <c r="AU297" i="5"/>
  <c r="Q193" i="12"/>
  <c r="AR300" i="5"/>
  <c r="AS297" i="5"/>
  <c r="AS295" i="5"/>
  <c r="AU296" i="5"/>
  <c r="R154" i="12"/>
  <c r="AR301" i="5"/>
  <c r="AT295" i="5"/>
  <c r="AT299" i="5"/>
  <c r="AS296" i="5"/>
  <c r="AV33" i="17"/>
  <c r="AS299" i="5"/>
  <c r="AT297" i="5"/>
  <c r="AU23" i="126" l="1"/>
  <c r="AU16" i="126"/>
  <c r="AT23" i="126"/>
  <c r="AT16" i="126"/>
  <c r="AS23" i="126"/>
  <c r="AS16" i="126"/>
  <c r="AV23" i="126"/>
  <c r="AV16" i="126"/>
  <c r="AS41" i="2"/>
  <c r="AS42" i="2" s="1"/>
  <c r="AU41" i="2"/>
  <c r="AU42" i="2" s="1"/>
  <c r="AV41" i="2"/>
  <c r="AV42" i="2" s="1"/>
  <c r="AT58" i="2"/>
  <c r="AT75" i="2"/>
  <c r="AT82" i="2" s="1"/>
  <c r="AT41" i="2"/>
  <c r="AT42" i="2" s="1"/>
  <c r="AV76" i="2"/>
  <c r="AU58" i="2"/>
  <c r="AU75" i="2"/>
  <c r="AU82" i="2" s="1"/>
  <c r="AV75" i="2"/>
  <c r="AV58" i="2"/>
  <c r="AS75" i="2"/>
  <c r="AS82" i="2" s="1"/>
  <c r="AS58" i="2"/>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S119" i="17"/>
  <c r="AS122" i="17" s="1"/>
  <c r="AS154" i="17" s="1"/>
  <c r="AV119" i="17"/>
  <c r="AV122" i="17" s="1"/>
  <c r="AV154" i="17" s="1"/>
  <c r="AR23" i="126" l="1"/>
  <c r="AR16" i="126"/>
  <c r="AS83" i="2"/>
  <c r="AT83" i="2"/>
  <c r="AU83" i="2"/>
  <c r="AV82" i="2"/>
  <c r="AV83" i="2" s="1"/>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U25" i="126" s="1"/>
  <c r="AU26" i="126" s="1"/>
  <c r="AU146" i="126" s="1"/>
  <c r="AS24" i="126" a="1"/>
  <c r="AS24" i="126" s="1"/>
  <c r="AS25" i="126" s="1"/>
  <c r="AS26" i="126" s="1"/>
  <c r="AS146" i="126" s="1"/>
  <c r="AT24" i="126" a="1"/>
  <c r="AT24" i="126" s="1"/>
  <c r="AT25" i="126" s="1"/>
  <c r="AT26" i="126" s="1"/>
  <c r="AT146" i="126" s="1"/>
  <c r="AV24" i="126" a="1"/>
  <c r="AV24" i="126" s="1"/>
  <c r="AV25" i="126" s="1"/>
  <c r="AV26" i="126" s="1"/>
  <c r="AV146"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22"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AT68" i="5"/>
  <c r="V193" i="12"/>
  <c r="W154" i="12"/>
  <c r="E432" i="5"/>
  <c r="E395" i="5"/>
  <c r="E402" i="5"/>
  <c r="E413" i="5"/>
  <c r="E388" i="5"/>
  <c r="E386" i="5"/>
  <c r="E422" i="5"/>
  <c r="E418" i="5"/>
  <c r="E385" i="5"/>
  <c r="E410" i="5"/>
  <c r="E415" i="5"/>
  <c r="E424" i="5"/>
  <c r="AV316" i="17"/>
  <c r="E399" i="5"/>
  <c r="E398" i="5"/>
  <c r="AT316" i="17"/>
  <c r="AR79" i="5"/>
  <c r="E408" i="5"/>
  <c r="E428" i="5"/>
  <c r="E405" i="5"/>
  <c r="E396" i="5"/>
  <c r="E412" i="5"/>
  <c r="E406" i="5"/>
  <c r="AS79" i="5"/>
  <c r="AR68" i="5"/>
  <c r="AR49" i="2"/>
  <c r="AR53" i="2" s="1"/>
  <c r="E419" i="5"/>
  <c r="E404" i="5"/>
  <c r="E393" i="5"/>
  <c r="E403" i="5"/>
  <c r="E414" i="5"/>
  <c r="E391" i="5"/>
  <c r="E427" i="5"/>
  <c r="E421" i="5"/>
  <c r="AR316" i="17"/>
  <c r="AU316" i="17"/>
  <c r="AU79" i="5"/>
  <c r="E397" i="5"/>
  <c r="E420" i="5"/>
  <c r="E416" i="5"/>
  <c r="AS68" i="5"/>
  <c r="E431" i="5"/>
  <c r="AS316" i="17"/>
  <c r="AU68" i="5"/>
  <c r="AV79" i="5"/>
  <c r="E426" i="5"/>
  <c r="E394" i="5"/>
  <c r="E392" i="5"/>
  <c r="E417" i="5"/>
  <c r="E389" i="5"/>
  <c r="E390" i="5"/>
  <c r="E430" i="5"/>
  <c r="E425" i="5"/>
  <c r="E423" i="5"/>
  <c r="AV68" i="5"/>
  <c r="AU320" i="17"/>
  <c r="AT79" i="5"/>
  <c r="E411" i="5"/>
  <c r="E429" i="5"/>
  <c r="E409" i="5"/>
  <c r="E387" i="5"/>
  <c r="E401" i="5"/>
  <c r="E400" i="5"/>
  <c r="K40" i="12"/>
  <c r="AO40" i="12"/>
  <c r="AL40" i="12"/>
  <c r="AM40" i="12"/>
  <c r="AN40" i="12"/>
  <c r="AJ40" i="12"/>
  <c r="AQ40" i="12"/>
  <c r="AP40" i="12"/>
  <c r="AK40" i="12"/>
  <c r="AR56" i="2" l="1"/>
  <c r="AR55" i="2"/>
  <c r="AR52" i="2"/>
  <c r="AR51" i="2"/>
  <c r="AR57" i="2"/>
  <c r="AR54" i="2"/>
  <c r="AR70" i="2"/>
  <c r="AR69" i="2"/>
  <c r="AR68" i="2"/>
  <c r="AR67" i="2"/>
  <c r="AR65" i="2"/>
  <c r="AR66" i="2"/>
  <c r="AR64" i="2"/>
  <c r="AT22" i="101"/>
  <c r="AS45" i="10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R81" i="2" l="1"/>
  <c r="AR28" i="15" s="1"/>
  <c r="AS26" i="15"/>
  <c r="AU26" i="15"/>
  <c r="AS25" i="15"/>
  <c r="AO73" i="13"/>
  <c r="AV73" i="13"/>
  <c r="AN73" i="13"/>
  <c r="AU73" i="13"/>
  <c r="AM73" i="13"/>
  <c r="AT73" i="13"/>
  <c r="AL73" i="13"/>
  <c r="AJ73" i="13"/>
  <c r="AS73" i="13"/>
  <c r="AK73" i="13"/>
  <c r="AR73" i="13"/>
  <c r="AQ73" i="13"/>
  <c r="AP73" i="13"/>
  <c r="AR76" i="2"/>
  <c r="AR23" i="15" s="1"/>
  <c r="AU25" i="15"/>
  <c r="AU23" i="15"/>
  <c r="AV25" i="15"/>
  <c r="AV28" i="15"/>
  <c r="AR77" i="2"/>
  <c r="AR24" i="15" s="1"/>
  <c r="AR80" i="2"/>
  <c r="AR27" i="15" s="1"/>
  <c r="AS27" i="15"/>
  <c r="AV27" i="15"/>
  <c r="AR79" i="2"/>
  <c r="AR26" i="15" s="1"/>
  <c r="AT26" i="15"/>
  <c r="AT23" i="15"/>
  <c r="AS23" i="15"/>
  <c r="AT24" i="15"/>
  <c r="AU28" i="15"/>
  <c r="AV24" i="15"/>
  <c r="AV23" i="15"/>
  <c r="AT28" i="15"/>
  <c r="AS24" i="15"/>
  <c r="AU24" i="15"/>
  <c r="AT25" i="15"/>
  <c r="AT45" i="101"/>
  <c r="AU22" i="101"/>
  <c r="AV22" i="101"/>
  <c r="AS52" i="101"/>
  <c r="T27" i="12"/>
  <c r="I124" i="12"/>
  <c r="I98" i="12"/>
  <c r="I130" i="12"/>
  <c r="I89" i="12"/>
  <c r="AT22" i="15"/>
  <c r="I78" i="12"/>
  <c r="AS22" i="15"/>
  <c r="Q27" i="12"/>
  <c r="AA210" i="12"/>
  <c r="Z208" i="12"/>
  <c r="Z204" i="12" s="1"/>
  <c r="Z30" i="12" s="1"/>
  <c r="I134" i="12"/>
  <c r="S27" i="12"/>
  <c r="L27" i="12"/>
  <c r="V27" i="12"/>
  <c r="I71" i="12"/>
  <c r="AT309" i="5"/>
  <c r="AT300" i="5"/>
  <c r="I110" i="12"/>
  <c r="I102" i="12"/>
  <c r="AV102" i="12" s="1"/>
  <c r="I146" i="12"/>
  <c r="AV146" i="12" s="1"/>
  <c r="AU26" i="6"/>
  <c r="AV22" i="15"/>
  <c r="AV308" i="5"/>
  <c r="AV299" i="5"/>
  <c r="I144" i="12"/>
  <c r="I100" i="12"/>
  <c r="AU27" i="15"/>
  <c r="AT26" i="6"/>
  <c r="I103" i="12"/>
  <c r="I147" i="12"/>
  <c r="AS26" i="6"/>
  <c r="AB261" i="12"/>
  <c r="AB255" i="12" s="1"/>
  <c r="AB31" i="12" s="1"/>
  <c r="AC263" i="12"/>
  <c r="X193" i="12"/>
  <c r="Y154" i="12"/>
  <c r="AR71" i="2"/>
  <c r="AV26" i="6"/>
  <c r="AR304" i="5"/>
  <c r="AR295" i="5"/>
  <c r="AR34" i="2"/>
  <c r="I101" i="12"/>
  <c r="AU101" i="12" s="1"/>
  <c r="AV101" i="12" s="1"/>
  <c r="I145" i="12"/>
  <c r="AS301" i="5"/>
  <c r="AS310" i="5"/>
  <c r="AR37" i="2"/>
  <c r="AR307" i="5"/>
  <c r="AR298" i="5"/>
  <c r="I99" i="12"/>
  <c r="I143" i="12"/>
  <c r="AR26" i="6" l="1"/>
  <c r="AV45" i="101"/>
  <c r="AU45" i="101"/>
  <c r="AU52" i="101" s="1"/>
  <c r="AU13" i="6"/>
  <c r="AT52" i="101"/>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S143" i="12"/>
  <c r="AT143" i="12" s="1"/>
  <c r="AU143" i="12" s="1"/>
  <c r="AV143" i="12" s="1"/>
  <c r="AU145" i="12"/>
  <c r="AV145" i="12" s="1"/>
  <c r="I92" i="12"/>
  <c r="I136" i="12"/>
  <c r="AR28" i="6"/>
  <c r="AU28" i="6"/>
  <c r="AS99" i="12"/>
  <c r="AT99" i="12" s="1"/>
  <c r="AU99" i="12" s="1"/>
  <c r="AV99" i="12" s="1"/>
  <c r="I73" i="12"/>
  <c r="R27" i="12"/>
  <c r="I117" i="12"/>
  <c r="AV28" i="6"/>
  <c r="I120" i="12"/>
  <c r="U27" i="12"/>
  <c r="I76" i="12"/>
  <c r="I93" i="12"/>
  <c r="I137" i="12"/>
  <c r="AT28" i="6"/>
  <c r="O27" i="12"/>
  <c r="I114" i="12"/>
  <c r="I70" i="12"/>
  <c r="X78" i="12"/>
  <c r="Y78" i="12" s="1"/>
  <c r="Z124" i="12"/>
  <c r="AA124" i="12" s="1"/>
  <c r="I141" i="12"/>
  <c r="I97" i="12"/>
  <c r="I132" i="12"/>
  <c r="AG27" i="12"/>
  <c r="I88" i="12"/>
  <c r="AJ134" i="12"/>
  <c r="Y193" i="12"/>
  <c r="Z154" i="12"/>
  <c r="AS28" i="6"/>
  <c r="I84" i="12"/>
  <c r="I128" i="12"/>
  <c r="AC27" i="12"/>
  <c r="AI89" i="12"/>
  <c r="AJ89" i="12" s="1"/>
  <c r="I66" i="12"/>
  <c r="K27" i="12"/>
  <c r="AR19" i="2"/>
  <c r="I126" i="12"/>
  <c r="I82" i="12"/>
  <c r="AA27" i="12"/>
  <c r="AR98" i="12"/>
  <c r="AS98" i="12" s="1"/>
  <c r="I81" i="12"/>
  <c r="I125" i="12"/>
  <c r="Z27" i="12"/>
  <c r="AD27" i="12"/>
  <c r="I129" i="12"/>
  <c r="I85" i="12"/>
  <c r="I138" i="12"/>
  <c r="I94" i="12"/>
  <c r="I96" i="12"/>
  <c r="I140" i="12"/>
  <c r="AT100" i="12"/>
  <c r="AU100" i="12" s="1"/>
  <c r="AV100" i="12" s="1"/>
  <c r="I113" i="12"/>
  <c r="I69" i="12"/>
  <c r="N27" i="12"/>
  <c r="AB27" i="12"/>
  <c r="I83" i="12"/>
  <c r="I127" i="12"/>
  <c r="AU22" i="15"/>
  <c r="I91" i="12"/>
  <c r="I135" i="12"/>
  <c r="Q71" i="12"/>
  <c r="R71" i="12" s="1"/>
  <c r="AC261" i="12"/>
  <c r="AC255" i="12" s="1"/>
  <c r="AC31" i="12" s="1"/>
  <c r="AD263" i="12"/>
  <c r="AT144" i="12"/>
  <c r="AU144" i="12" s="1"/>
  <c r="AV144" i="12" s="1"/>
  <c r="I95" i="12"/>
  <c r="I139" i="12"/>
  <c r="AF27" i="12"/>
  <c r="I131" i="12"/>
  <c r="I87" i="12"/>
  <c r="I79" i="12"/>
  <c r="X27" i="12"/>
  <c r="I123" i="12"/>
  <c r="AU29" i="15" l="1"/>
  <c r="AU40" i="15"/>
  <c r="AU41" i="15"/>
  <c r="AU49" i="15" s="1"/>
  <c r="AU101" i="15" s="1"/>
  <c r="AU42" i="15"/>
  <c r="AU38" i="15"/>
  <c r="AU43" i="15"/>
  <c r="AU39" i="15"/>
  <c r="AU47" i="15" s="1"/>
  <c r="AU78" i="15" s="1"/>
  <c r="AV52" i="101"/>
  <c r="AR78" i="2"/>
  <c r="AR25" i="15" s="1"/>
  <c r="AR75" i="2"/>
  <c r="AU15" i="6"/>
  <c r="AV15" i="16"/>
  <c r="AR41" i="2"/>
  <c r="U192" i="12"/>
  <c r="T192" i="12"/>
  <c r="K192" i="12"/>
  <c r="L192" i="12"/>
  <c r="Y192" i="12"/>
  <c r="S192" i="12"/>
  <c r="N192" i="12"/>
  <c r="R192" i="12"/>
  <c r="Q192" i="12"/>
  <c r="O192" i="12"/>
  <c r="W192" i="12"/>
  <c r="P192" i="12"/>
  <c r="V192" i="12"/>
  <c r="M192" i="12"/>
  <c r="AK89" i="12"/>
  <c r="AL89" i="12" s="1"/>
  <c r="AB208" i="12"/>
  <c r="AB204" i="12" s="1"/>
  <c r="AB30" i="12" s="1"/>
  <c r="AC210" i="12"/>
  <c r="AC80" i="12"/>
  <c r="AD80" i="12" s="1"/>
  <c r="Y77" i="12"/>
  <c r="Z77" i="12" s="1"/>
  <c r="AH86" i="12"/>
  <c r="AI86" i="12" s="1"/>
  <c r="AJ86" i="12" s="1"/>
  <c r="W75" i="12"/>
  <c r="X75" i="12" s="1"/>
  <c r="Y75" i="12" s="1"/>
  <c r="Z75" i="12" s="1"/>
  <c r="AA75" i="12" s="1"/>
  <c r="Z78" i="12"/>
  <c r="AA78" i="12" s="1"/>
  <c r="AT98" i="12"/>
  <c r="AU98" i="12" s="1"/>
  <c r="AV98" i="12" s="1"/>
  <c r="AL90" i="12"/>
  <c r="AM90" i="12" s="1"/>
  <c r="AH130" i="12"/>
  <c r="AI130" i="12" s="1"/>
  <c r="AJ130" i="12" s="1"/>
  <c r="AK130" i="12" s="1"/>
  <c r="AB126" i="12"/>
  <c r="AC126" i="12" s="1"/>
  <c r="O113" i="12"/>
  <c r="P113" i="12" s="1"/>
  <c r="AE129" i="12"/>
  <c r="AF129" i="12" s="1"/>
  <c r="AO139" i="12"/>
  <c r="AP139" i="12" s="1"/>
  <c r="AR58" i="2"/>
  <c r="Z193" i="12"/>
  <c r="Z192" i="12"/>
  <c r="AA154" i="12"/>
  <c r="AK134" i="12"/>
  <c r="AQ141" i="12"/>
  <c r="AR141" i="12" s="1"/>
  <c r="N67" i="12"/>
  <c r="O67" i="12" s="1"/>
  <c r="AB124" i="12"/>
  <c r="AC124" i="12" s="1"/>
  <c r="P70" i="12"/>
  <c r="Q70" i="12" s="1"/>
  <c r="R70" i="12" s="1"/>
  <c r="S70" i="12" s="1"/>
  <c r="T70" i="12" s="1"/>
  <c r="U70" i="12" s="1"/>
  <c r="S117" i="12"/>
  <c r="AU31" i="17"/>
  <c r="AR14" i="6"/>
  <c r="AR38" i="6" s="1"/>
  <c r="L110" i="12"/>
  <c r="AH132" i="12"/>
  <c r="P114" i="12"/>
  <c r="Q114" i="12" s="1"/>
  <c r="R114" i="12" s="1"/>
  <c r="AU12" i="86"/>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S32" i="6"/>
  <c r="AT32" i="6"/>
  <c r="AM137" i="12"/>
  <c r="AN137" i="12" s="1"/>
  <c r="AV32" i="6"/>
  <c r="AR32" i="6"/>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U32" i="6"/>
  <c r="AL92" i="12"/>
  <c r="AM92" i="12" s="1"/>
  <c r="AS14" i="6"/>
  <c r="AS38" i="6"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AV13" i="86"/>
  <c r="AT13" i="86"/>
  <c r="V76" i="12"/>
  <c r="W76" i="12" s="1"/>
  <c r="N111" i="12"/>
  <c r="AS13" i="86"/>
  <c r="AG87" i="12"/>
  <c r="AH87" i="12" s="1"/>
  <c r="AC83" i="12"/>
  <c r="AD83" i="12" s="1"/>
  <c r="AE83" i="12" s="1"/>
  <c r="AF83" i="12" s="1"/>
  <c r="AK133" i="12"/>
  <c r="AL133" i="12" s="1"/>
  <c r="AM133" i="12" s="1"/>
  <c r="AH88" i="12"/>
  <c r="AI88" i="12" s="1"/>
  <c r="AJ88" i="12" s="1"/>
  <c r="AQ97" i="12"/>
  <c r="AR97" i="12" s="1"/>
  <c r="AS97" i="12" s="1"/>
  <c r="Z122" i="12"/>
  <c r="V120" i="12"/>
  <c r="I191" i="12"/>
  <c r="Z191" i="12" s="1"/>
  <c r="AU51" i="15" l="1"/>
  <c r="AU46" i="15"/>
  <c r="AU65" i="15" s="1"/>
  <c r="AU48" i="15"/>
  <c r="AU91" i="15" s="1"/>
  <c r="AU44" i="15"/>
  <c r="AU18" i="86" s="1"/>
  <c r="AU23" i="125"/>
  <c r="AU45" i="6"/>
  <c r="AU46" i="6" s="1"/>
  <c r="AU59" i="6" s="1"/>
  <c r="AT45" i="6"/>
  <c r="AT46" i="6" s="1"/>
  <c r="AT59" i="6" s="1"/>
  <c r="AS45" i="6"/>
  <c r="AS46" i="6" s="1"/>
  <c r="AS59" i="6" s="1"/>
  <c r="AV45" i="6"/>
  <c r="AV46" i="6" s="1"/>
  <c r="AV59" i="6" s="1"/>
  <c r="AR45" i="6"/>
  <c r="AR46" i="6" s="1"/>
  <c r="AR59" i="6" s="1"/>
  <c r="AR42" i="2"/>
  <c r="AR13" i="86" s="1"/>
  <c r="AJ56" i="13"/>
  <c r="AU19" i="6"/>
  <c r="AU39" i="6" s="1"/>
  <c r="AU40" i="6" s="1"/>
  <c r="AU52" i="6" s="1"/>
  <c r="AR15" i="16"/>
  <c r="AS15" i="16"/>
  <c r="AU15" i="16"/>
  <c r="AT15" i="16"/>
  <c r="AV249" i="17"/>
  <c r="AE80" i="12"/>
  <c r="AF80" i="12" s="1"/>
  <c r="AG80" i="12" s="1"/>
  <c r="AT249" i="17"/>
  <c r="AN90" i="12"/>
  <c r="AO90" i="12" s="1"/>
  <c r="AP90" i="12" s="1"/>
  <c r="AA77" i="12"/>
  <c r="AB77" i="12" s="1"/>
  <c r="AC77" i="12" s="1"/>
  <c r="AD77" i="12" s="1"/>
  <c r="AE77" i="12" s="1"/>
  <c r="AR249" i="17"/>
  <c r="AS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AS13" i="6"/>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V13" i="6"/>
  <c r="AP94" i="12"/>
  <c r="AQ94" i="12" s="1"/>
  <c r="AR13" i="6"/>
  <c r="U116" i="12"/>
  <c r="AI87" i="12"/>
  <c r="AS28" i="15"/>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AR82" i="2"/>
  <c r="AR22" i="15"/>
  <c r="X119" i="12"/>
  <c r="Y119" i="12" s="1"/>
  <c r="Z119" i="12" s="1"/>
  <c r="AE74" i="12"/>
  <c r="AF74" i="12" s="1"/>
  <c r="AT13" i="6"/>
  <c r="AV26" i="15"/>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AT27" i="15"/>
  <c r="T117" i="12"/>
  <c r="AL134" i="12"/>
  <c r="AM134" i="12" s="1"/>
  <c r="AV29" i="15" l="1"/>
  <c r="AV39" i="15"/>
  <c r="AV42" i="15"/>
  <c r="AV40" i="15"/>
  <c r="AV41" i="15"/>
  <c r="AV38" i="15"/>
  <c r="AV43" i="15"/>
  <c r="AT29" i="15"/>
  <c r="AT42" i="15"/>
  <c r="AT40" i="15"/>
  <c r="AT38" i="15"/>
  <c r="AT43" i="15"/>
  <c r="AT41" i="15"/>
  <c r="AT39" i="15"/>
  <c r="AR29" i="15"/>
  <c r="AR40" i="15"/>
  <c r="AR38" i="15"/>
  <c r="AR39" i="15"/>
  <c r="AR43" i="15"/>
  <c r="AR42" i="15"/>
  <c r="AR41" i="15"/>
  <c r="AS29" i="15"/>
  <c r="AS40" i="15"/>
  <c r="AS38" i="15"/>
  <c r="AS43" i="15"/>
  <c r="AS41" i="15"/>
  <c r="AS39" i="15"/>
  <c r="AS42" i="15"/>
  <c r="AT12" i="86"/>
  <c r="AV12" i="86"/>
  <c r="AR83" i="2"/>
  <c r="AR12" i="86" s="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AT31" i="17"/>
  <c r="AT15" i="6"/>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U249" i="17"/>
  <c r="AS139" i="12"/>
  <c r="P111" i="12"/>
  <c r="AM135" i="12"/>
  <c r="Q66" i="12"/>
  <c r="AN134" i="12"/>
  <c r="AO134" i="12" s="1"/>
  <c r="AP134" i="12" s="1"/>
  <c r="AQ134" i="12" s="1"/>
  <c r="AR134" i="12" s="1"/>
  <c r="I13" i="86"/>
  <c r="AB121" i="12"/>
  <c r="AC121" i="12" s="1"/>
  <c r="AD121" i="12" s="1"/>
  <c r="AL118" i="12"/>
  <c r="AK82" i="12"/>
  <c r="AL82" i="12" s="1"/>
  <c r="S112" i="12"/>
  <c r="AV15" i="6"/>
  <c r="AM131" i="12"/>
  <c r="AN131" i="12" s="1"/>
  <c r="AO131" i="12" s="1"/>
  <c r="AP131" i="12" s="1"/>
  <c r="AQ131" i="12" s="1"/>
  <c r="AR131" i="12" s="1"/>
  <c r="AS131" i="12" s="1"/>
  <c r="AT131" i="12" s="1"/>
  <c r="AU131" i="12" s="1"/>
  <c r="AV131" i="12" s="1"/>
  <c r="AH127" i="12"/>
  <c r="AF261" i="12"/>
  <c r="AF255" i="12" s="1"/>
  <c r="AF31" i="12" s="1"/>
  <c r="AG263" i="12"/>
  <c r="AF84" i="12"/>
  <c r="AS31" i="17"/>
  <c r="AS12" i="86"/>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S15" i="6"/>
  <c r="AN71" i="12"/>
  <c r="AO71" i="12" s="1"/>
  <c r="AP71" i="12" s="1"/>
  <c r="AQ71" i="12" s="1"/>
  <c r="AR71" i="12" s="1"/>
  <c r="AS71" i="12" s="1"/>
  <c r="AT71" i="12" s="1"/>
  <c r="AU71" i="12" s="1"/>
  <c r="AV71" i="12" s="1"/>
  <c r="AV31" i="17"/>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AR31" i="17"/>
  <c r="U115" i="12"/>
  <c r="V115" i="12" s="1"/>
  <c r="AA73" i="12"/>
  <c r="AB73" i="12" s="1"/>
  <c r="AJ87" i="12"/>
  <c r="AR15" i="6"/>
  <c r="AV141" i="12"/>
  <c r="I187" i="12" s="1"/>
  <c r="AB187" i="12" s="1"/>
  <c r="AV51" i="15" l="1"/>
  <c r="AV46" i="15"/>
  <c r="AV65" i="15" s="1"/>
  <c r="AV49" i="15"/>
  <c r="AV101" i="15" s="1"/>
  <c r="AV48" i="15"/>
  <c r="AV91" i="15" s="1"/>
  <c r="AV47" i="15"/>
  <c r="AV78" i="15" s="1"/>
  <c r="AR49" i="15"/>
  <c r="AR101" i="15" s="1"/>
  <c r="AR46" i="15"/>
  <c r="AR65" i="15" s="1"/>
  <c r="AS47" i="15"/>
  <c r="AS78" i="15" s="1"/>
  <c r="AR48" i="15"/>
  <c r="AR91" i="15" s="1"/>
  <c r="AR93" i="15" s="1"/>
  <c r="AT46" i="15"/>
  <c r="AT65" i="15" s="1"/>
  <c r="AR51" i="15"/>
  <c r="AT49" i="15"/>
  <c r="AT101" i="15" s="1"/>
  <c r="AV44" i="15"/>
  <c r="AV18" i="86" s="1"/>
  <c r="AS46" i="15"/>
  <c r="AS65" i="15" s="1"/>
  <c r="AT48" i="15"/>
  <c r="AT91" i="15" s="1"/>
  <c r="AR44" i="15"/>
  <c r="AR18" i="86" s="1"/>
  <c r="AT51" i="15"/>
  <c r="AT47" i="15"/>
  <c r="AT78" i="15" s="1"/>
  <c r="AS48" i="15"/>
  <c r="AS91" i="15" s="1"/>
  <c r="AS44" i="15"/>
  <c r="AS18" i="86" s="1"/>
  <c r="AS49" i="15"/>
  <c r="AS101" i="15" s="1"/>
  <c r="AR47" i="15"/>
  <c r="AR78" i="15" s="1"/>
  <c r="AT44" i="15"/>
  <c r="AT18" i="86" s="1"/>
  <c r="AS51" i="15"/>
  <c r="AR23" i="125"/>
  <c r="AV23" i="125"/>
  <c r="AT23" i="125"/>
  <c r="AS23" i="125"/>
  <c r="AS136" i="12"/>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R19" i="6"/>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AT19" i="6"/>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S19" i="6"/>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V19" i="6"/>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AU93" i="15" l="1"/>
  <c r="AU110" i="15" s="1"/>
  <c r="AT93" i="15"/>
  <c r="AT110" i="15" s="1"/>
  <c r="AS93" i="15"/>
  <c r="AS110" i="15" s="1"/>
  <c r="AV93" i="15"/>
  <c r="AV110" i="15" s="1"/>
  <c r="I182" i="12"/>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I12" i="86"/>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R39" i="6"/>
  <c r="AR40" i="6" s="1"/>
  <c r="AR52" i="6" s="1"/>
  <c r="AS39" i="6"/>
  <c r="AS40" i="6" s="1"/>
  <c r="AS52" i="6" s="1"/>
  <c r="AH126" i="12"/>
  <c r="AI126" i="12" s="1"/>
  <c r="AJ126" i="12" s="1"/>
  <c r="R110" i="12"/>
  <c r="S110" i="12" s="1"/>
  <c r="T110" i="12" s="1"/>
  <c r="U110" i="12" s="1"/>
  <c r="AT103" i="15"/>
  <c r="AT111" i="15" s="1"/>
  <c r="AU103" i="15"/>
  <c r="AU111" i="15" s="1"/>
  <c r="AS103" i="15"/>
  <c r="AS111" i="15" s="1"/>
  <c r="AV103" i="15"/>
  <c r="AV111" i="15"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T39" i="6"/>
  <c r="AT40" i="6" s="1"/>
  <c r="AT52" i="6"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AV39" i="6"/>
  <c r="AV40" i="6" s="1"/>
  <c r="AV52" i="6"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AR110" i="15"/>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AR102" i="15"/>
  <c r="AR104" i="15" s="1"/>
  <c r="AS100" i="15" s="1"/>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R92" i="15" s="1"/>
  <c r="AR94" i="15" s="1"/>
  <c r="AS90" i="15" s="1"/>
  <c r="AS92" i="15" s="1"/>
  <c r="AS94" i="15" s="1"/>
  <c r="AT90" i="15" s="1"/>
  <c r="AT92" i="15" s="1"/>
  <c r="AT94" i="15" s="1"/>
  <c r="AU90" i="15" s="1"/>
  <c r="AU92" i="15" s="1"/>
  <c r="AU94" i="15" s="1"/>
  <c r="AV90" i="15" s="1"/>
  <c r="AV92" i="15" s="1"/>
  <c r="AV94" i="15" s="1"/>
  <c r="I18" i="86"/>
  <c r="I44"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AS102" i="15" l="1"/>
  <c r="AS104" i="15" s="1"/>
  <c r="AT100" i="15" s="1"/>
  <c r="L163" i="12"/>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T102" i="15" l="1"/>
  <c r="AT104" i="15" s="1"/>
  <c r="AU100" i="15" s="1"/>
  <c r="AQ246" i="12"/>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U102" i="15"/>
  <c r="AU104" i="15" s="1"/>
  <c r="AV100" i="15" s="1"/>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V102" i="15"/>
  <c r="AV104" i="15"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N59" i="12"/>
  <c r="AN29" i="12" s="1"/>
  <c r="AT210" i="12"/>
  <c r="AR76" i="15"/>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L64" i="13"/>
  <c r="AL66" i="13" s="1"/>
  <c r="AM63" i="13" s="1"/>
  <c r="AL41" i="13"/>
  <c r="AN43" i="12"/>
  <c r="AO46" i="12" s="1"/>
  <c r="AO61" i="13" s="1"/>
  <c r="AN65" i="13"/>
  <c r="AN45" i="13" s="1"/>
  <c r="AR235" i="12"/>
  <c r="AQ208" i="12"/>
  <c r="AQ204" i="12" s="1"/>
  <c r="AQ30" i="12" s="1"/>
  <c r="AR55" i="13"/>
  <c r="AN32" i="12"/>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O65" i="13"/>
  <c r="AO45" i="13" s="1"/>
  <c r="AM64" i="13"/>
  <c r="AM66" i="13" s="1"/>
  <c r="AN63" i="13" s="1"/>
  <c r="AM41" i="13"/>
  <c r="AS235" i="12"/>
  <c r="AR208" i="12"/>
  <c r="AR204" i="12" s="1"/>
  <c r="AR30" i="12" s="1"/>
  <c r="AR56" i="13"/>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P65" i="13"/>
  <c r="AP45" i="13" s="1"/>
  <c r="AN64" i="13"/>
  <c r="AN66" i="13" s="1"/>
  <c r="AO63" i="13" s="1"/>
  <c r="AN41" i="13"/>
  <c r="AT235" i="12"/>
  <c r="AS208" i="12"/>
  <c r="AS204" i="12" s="1"/>
  <c r="AS30" i="12" s="1"/>
  <c r="AP43" i="12"/>
  <c r="AQ46" i="12" s="1"/>
  <c r="AQ61" i="13" s="1"/>
  <c r="AP32" i="12"/>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Q43" i="12"/>
  <c r="AR46" i="12" s="1"/>
  <c r="AR61" i="13" s="1"/>
  <c r="AQ32" i="12"/>
  <c r="AR59" i="12"/>
  <c r="AR29" i="12" s="1"/>
  <c r="AN46" i="13" l="1"/>
  <c r="AO43" i="13" s="1"/>
  <c r="AP64" i="13"/>
  <c r="AP66" i="13" s="1"/>
  <c r="AQ63" i="13" s="1"/>
  <c r="AP41" i="13"/>
  <c r="AU208" i="12"/>
  <c r="AU204" i="12" s="1"/>
  <c r="AU30" i="12" s="1"/>
  <c r="AV235" i="12"/>
  <c r="AV208" i="12" s="1"/>
  <c r="AV204" i="12" s="1"/>
  <c r="AV30" i="12"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O46" i="13" l="1"/>
  <c r="AP43" i="13" s="1"/>
  <c r="AQ64" i="13"/>
  <c r="AQ66" i="13" s="1"/>
  <c r="AQ41" i="13"/>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T59" i="12"/>
  <c r="AT29" i="12" s="1"/>
  <c r="AR9" i="16"/>
  <c r="AP46" i="13" l="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59" i="12" l="1"/>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61" i="6"/>
  <c r="AU62" i="6"/>
  <c r="AV62" i="6"/>
  <c r="AV61" i="6"/>
  <c r="AU53" i="6"/>
  <c r="AT62" i="6"/>
  <c r="AT61" i="6"/>
  <c r="AV53" i="6"/>
  <c r="AS61" i="6"/>
  <c r="AS62" i="6"/>
  <c r="AT55" i="6"/>
  <c r="AT54" i="6"/>
  <c r="AS53" i="6"/>
  <c r="AR61" i="6" l="1"/>
  <c r="AR62" i="6"/>
  <c r="AS55" i="6"/>
  <c r="AS68" i="6" s="1"/>
  <c r="AS54" i="6"/>
  <c r="AS66" i="6" s="1"/>
  <c r="AT66" i="6"/>
  <c r="AU55" i="6"/>
  <c r="AU68" i="6" s="1"/>
  <c r="AU54" i="6"/>
  <c r="AU66" i="6" s="1"/>
  <c r="AT68" i="6"/>
  <c r="AV55" i="6"/>
  <c r="AV68" i="6" s="1"/>
  <c r="AV54" i="6"/>
  <c r="AV66" i="6" s="1"/>
  <c r="AV70" i="6" l="1"/>
  <c r="AV26" i="12"/>
  <c r="AS70" i="6"/>
  <c r="AS26" i="12"/>
  <c r="AU8" i="16"/>
  <c r="AT26" i="12"/>
  <c r="AT70" i="6"/>
  <c r="AT8" i="16"/>
  <c r="AU26" i="12"/>
  <c r="AU70" i="6"/>
  <c r="AS8" i="16"/>
  <c r="AV8" i="16"/>
  <c r="I300" i="12" l="1" a="1"/>
  <c r="I300" i="12" s="1"/>
  <c r="AV27" i="12"/>
  <c r="AV57" i="13" s="1"/>
  <c r="AV44" i="13" s="1"/>
  <c r="AT27" i="12"/>
  <c r="AT57" i="13" s="1"/>
  <c r="AT44" i="13" s="1"/>
  <c r="I298" i="12" a="1"/>
  <c r="I298" i="12" s="1"/>
  <c r="I299" i="12" a="1"/>
  <c r="I299" i="12" s="1"/>
  <c r="AV299" i="12" s="1"/>
  <c r="AU27" i="12"/>
  <c r="AU57" i="13" s="1"/>
  <c r="AU44" i="13" s="1"/>
  <c r="AS27" i="12"/>
  <c r="AS57" i="13" s="1"/>
  <c r="AS44" i="13" s="1"/>
  <c r="I297" i="12" a="1"/>
  <c r="I297" i="12" s="1"/>
  <c r="AT297" i="12" l="1"/>
  <c r="AU298" i="12"/>
  <c r="AV298" i="12" s="1"/>
  <c r="AU297" i="12" l="1"/>
  <c r="AV297" i="12" l="1"/>
  <c r="AR53" i="6" l="1"/>
  <c r="AR54" i="6" l="1"/>
  <c r="AR66" i="6" s="1"/>
  <c r="AR55" i="6"/>
  <c r="AR68" i="6" s="1"/>
  <c r="AR8" i="16" l="1"/>
  <c r="AR70" i="6"/>
  <c r="AR26" i="12"/>
  <c r="I296" i="12" l="1" a="1"/>
  <c r="I296" i="12" s="1"/>
  <c r="AR27" i="12"/>
  <c r="AT42" i="12" l="1"/>
  <c r="AU45" i="12" s="1"/>
  <c r="AU53" i="13" s="1"/>
  <c r="AR42" i="12"/>
  <c r="AS45" i="12" s="1"/>
  <c r="AS53" i="13" s="1"/>
  <c r="AU42" i="12"/>
  <c r="AV45" i="12" s="1"/>
  <c r="AV53" i="13" s="1"/>
  <c r="AR57" i="13"/>
  <c r="AS42" i="12"/>
  <c r="AT45" i="12" s="1"/>
  <c r="AT53" i="13" s="1"/>
  <c r="AV42" i="12"/>
  <c r="AS296" i="12"/>
  <c r="AS261" i="12" s="1"/>
  <c r="AS255" i="12" s="1"/>
  <c r="AS31" i="12" s="1"/>
  <c r="AT296" i="12" l="1"/>
  <c r="AT261" i="12" s="1"/>
  <c r="AT255" i="12" s="1"/>
  <c r="AT31" i="12" s="1"/>
  <c r="AT32" i="12" s="1"/>
  <c r="AR44" i="13"/>
  <c r="AR58" i="13"/>
  <c r="AR69" i="13" s="1"/>
  <c r="AS65" i="13"/>
  <c r="AS32" i="12"/>
  <c r="AS43" i="12"/>
  <c r="AT46" i="12" s="1"/>
  <c r="AT61" i="13" s="1"/>
  <c r="AR46" i="13" l="1"/>
  <c r="AT43" i="12"/>
  <c r="AU46" i="12" s="1"/>
  <c r="AU61" i="13" s="1"/>
  <c r="AT65" i="13"/>
  <c r="AT45" i="13" s="1"/>
  <c r="AU296" i="12"/>
  <c r="AU261" i="12" s="1"/>
  <c r="AU255" i="12" s="1"/>
  <c r="AU31" i="12" s="1"/>
  <c r="AU65" i="13" s="1"/>
  <c r="AU45" i="13" s="1"/>
  <c r="AS55" i="13"/>
  <c r="AS66" i="13"/>
  <c r="AT63" i="13" s="1"/>
  <c r="AT64" i="13" s="1"/>
  <c r="AS45" i="13"/>
  <c r="AT66" i="13" l="1"/>
  <c r="AU63" i="13" s="1"/>
  <c r="AU64" i="13" s="1"/>
  <c r="AU66" i="13" s="1"/>
  <c r="AT9" i="16"/>
  <c r="AU43" i="12"/>
  <c r="AV46" i="12" s="1"/>
  <c r="AV61" i="13" s="1"/>
  <c r="AV296" i="12"/>
  <c r="AV261" i="12" s="1"/>
  <c r="AV255" i="12" s="1"/>
  <c r="AV31" i="12" s="1"/>
  <c r="AV65" i="13" s="1"/>
  <c r="AV45" i="13" s="1"/>
  <c r="AU32" i="12"/>
  <c r="AS56" i="13"/>
  <c r="AS58" i="13" s="1"/>
  <c r="AS41" i="13"/>
  <c r="AS43" i="13" s="1"/>
  <c r="AU9" i="16"/>
  <c r="AR313" i="17"/>
  <c r="AR317" i="17" s="1"/>
  <c r="AR319" i="17" s="1"/>
  <c r="AR321" i="17" s="1"/>
  <c r="AR15" i="13"/>
  <c r="AR17" i="13" s="1"/>
  <c r="AR21" i="13" s="1"/>
  <c r="AR23" i="13" s="1"/>
  <c r="AR190" i="17"/>
  <c r="AR194" i="17" s="1"/>
  <c r="AR34" i="17" s="1"/>
  <c r="AS9" i="16"/>
  <c r="AV9" i="16" l="1"/>
  <c r="AS20" i="13"/>
  <c r="AS46" i="13"/>
  <c r="AV63" i="13"/>
  <c r="AV64" i="13" s="1"/>
  <c r="AV66" i="13" s="1"/>
  <c r="AV32" i="12"/>
  <c r="AV43" i="12"/>
  <c r="AS69" i="13"/>
  <c r="AT55" i="13"/>
  <c r="AR14" i="125"/>
  <c r="AR27" i="13"/>
  <c r="AR30" i="13" l="1"/>
  <c r="AR10" i="16" s="1"/>
  <c r="AR15" i="125"/>
  <c r="AT56" i="13"/>
  <c r="AT58" i="13" s="1"/>
  <c r="AT41" i="13"/>
  <c r="AS55" i="17" l="1"/>
  <c r="AT69" i="13"/>
  <c r="AU55" i="13"/>
  <c r="AS313" i="17"/>
  <c r="AS317" i="17" s="1"/>
  <c r="AS319" i="17" s="1"/>
  <c r="AS321" i="17" s="1"/>
  <c r="AS190" i="17"/>
  <c r="AS194" i="17" s="1"/>
  <c r="AS34" i="17" s="1"/>
  <c r="AS15" i="13"/>
  <c r="AS17" i="13" s="1"/>
  <c r="AT43" i="13"/>
  <c r="AT20" i="13" l="1"/>
  <c r="AS21" i="13"/>
  <c r="AS23" i="13" s="1"/>
  <c r="AT46" i="13"/>
  <c r="AU56" i="13"/>
  <c r="AU58" i="13" s="1"/>
  <c r="AU41" i="13"/>
  <c r="AS69" i="17"/>
  <c r="AS71" i="17" s="1"/>
  <c r="AS178" i="17" s="1"/>
  <c r="AS76" i="17"/>
  <c r="AS93" i="17"/>
  <c r="AS26" i="17"/>
  <c r="AS27" i="13" l="1"/>
  <c r="AS14" i="125"/>
  <c r="AS15" i="125" s="1"/>
  <c r="AU69" i="13"/>
  <c r="AV55" i="13"/>
  <c r="AS30" i="13" l="1"/>
  <c r="AS10" i="16" s="1"/>
  <c r="AV56" i="13"/>
  <c r="AV58" i="13" s="1"/>
  <c r="AV69" i="13" s="1"/>
  <c r="AV41" i="13"/>
  <c r="AT55" i="17"/>
  <c r="AT313" i="17"/>
  <c r="AT317" i="17" s="1"/>
  <c r="AT319" i="17" s="1"/>
  <c r="AT321" i="17" s="1"/>
  <c r="AU43" i="13"/>
  <c r="AT15" i="13"/>
  <c r="AT17" i="13" s="1"/>
  <c r="AT190" i="17"/>
  <c r="AT194" i="17" s="1"/>
  <c r="AT34" i="17" s="1"/>
  <c r="AU20" i="13" l="1"/>
  <c r="AT21" i="13"/>
  <c r="AT23" i="13" s="1"/>
  <c r="AU46" i="13"/>
  <c r="AT76" i="17"/>
  <c r="AT69" i="17"/>
  <c r="AT71" i="17" s="1"/>
  <c r="AT178" i="17" s="1"/>
  <c r="AT93" i="17"/>
  <c r="AT26" i="17"/>
  <c r="AT27" i="13" l="1"/>
  <c r="AT14" i="125"/>
  <c r="AT15" i="125" s="1"/>
  <c r="AT30" i="13" l="1"/>
  <c r="AT10" i="16" s="1"/>
  <c r="AU55" i="17"/>
  <c r="AU313" i="17"/>
  <c r="AU317" i="17" s="1"/>
  <c r="AU319" i="17" s="1"/>
  <c r="AU321" i="17" s="1"/>
  <c r="AU15" i="13"/>
  <c r="AU17" i="13" s="1"/>
  <c r="AV43" i="13"/>
  <c r="AU190" i="17"/>
  <c r="AU194" i="17" s="1"/>
  <c r="AU34" i="17" s="1"/>
  <c r="AV20" i="13" l="1"/>
  <c r="AU21" i="13"/>
  <c r="AU23" i="13" s="1"/>
  <c r="AV46" i="13"/>
  <c r="AU69" i="17"/>
  <c r="AU71" i="17" s="1"/>
  <c r="AU178" i="17" s="1"/>
  <c r="AU76" i="17"/>
  <c r="AU26" i="17"/>
  <c r="AU93" i="17"/>
  <c r="AU27" i="13" l="1"/>
  <c r="AU14" i="125"/>
  <c r="AU15" i="125" s="1"/>
  <c r="AU30" i="13" l="1"/>
  <c r="AU10" i="16" s="1"/>
  <c r="AV313" i="17"/>
  <c r="AV317" i="17" s="1"/>
  <c r="AV319" i="17" s="1"/>
  <c r="AV321" i="17" s="1"/>
  <c r="AV190" i="17"/>
  <c r="AV194" i="17" s="1"/>
  <c r="AV34" i="17" s="1"/>
  <c r="AV15" i="13"/>
  <c r="AV17" i="13" s="1"/>
  <c r="AV55" i="17"/>
  <c r="AV21" i="13" l="1"/>
  <c r="AV23" i="13" s="1"/>
  <c r="AV69" i="17"/>
  <c r="AV71" i="17" s="1"/>
  <c r="AV178" i="17" s="1"/>
  <c r="AV76" i="17"/>
  <c r="AV93" i="17"/>
  <c r="AV26" i="17"/>
  <c r="AV14" i="125" l="1"/>
  <c r="AV15" i="125" s="1"/>
  <c r="AV27" i="13"/>
  <c r="AV30" i="13" l="1"/>
  <c r="AV10" i="16" s="1"/>
  <c r="I17" i="125"/>
  <c r="I19" i="125" s="1"/>
  <c r="AS62" i="125" s="1"/>
  <c r="AR62" i="125" l="1"/>
  <c r="AU62" i="125"/>
  <c r="AT62" i="125"/>
  <c r="AV62" i="125"/>
  <c r="AU111" i="5" l="1"/>
  <c r="AR111" i="5"/>
  <c r="AT111" i="5"/>
  <c r="AS111" i="5"/>
  <c r="AV111" i="5"/>
  <c r="AR16" i="16" l="1"/>
  <c r="AS16" i="16"/>
  <c r="AV16" i="16"/>
  <c r="AT16" i="16"/>
  <c r="AU16" i="16"/>
  <c r="AV24" i="125" l="1"/>
  <c r="AV25" i="125" s="1"/>
  <c r="AV68" i="125" s="1"/>
  <c r="AU24" i="125"/>
  <c r="AU25" i="125" s="1"/>
  <c r="AU68" i="125" s="1"/>
  <c r="AR24" i="125"/>
  <c r="AR25" i="125" s="1"/>
  <c r="AR68" i="125" s="1"/>
  <c r="AS24" i="125"/>
  <c r="AS25" i="125" s="1"/>
  <c r="AS68" i="125" s="1"/>
  <c r="AT24" i="125"/>
  <c r="AT25" i="125" s="1"/>
  <c r="AT68" i="125" s="1"/>
  <c r="I72" i="125" l="1"/>
  <c r="I27" i="125"/>
  <c r="I40" i="125" s="1"/>
  <c r="I49" i="125" l="1"/>
  <c r="I52" i="125" s="1"/>
  <c r="I42" i="125"/>
  <c r="I43" i="125"/>
  <c r="I51" i="125" l="1"/>
  <c r="I54" i="125" s="1"/>
  <c r="I45" i="125"/>
  <c r="I60" i="125" l="1"/>
  <c r="AT64" i="125" s="1"/>
  <c r="AT69" i="125" s="1"/>
  <c r="AT70" i="125" s="1"/>
  <c r="AU64" i="125" l="1"/>
  <c r="AU69" i="125" s="1"/>
  <c r="AU70" i="125" s="1"/>
  <c r="AR64" i="125"/>
  <c r="AR69" i="125" s="1"/>
  <c r="AR70" i="125" s="1"/>
  <c r="AS64" i="125"/>
  <c r="AS69" i="125" s="1"/>
  <c r="AS70" i="125" s="1"/>
  <c r="AV64" i="125"/>
  <c r="AV69" i="125" s="1"/>
  <c r="AV70" i="125" s="1"/>
  <c r="I73" i="125" l="1"/>
  <c r="I74" i="125" s="1"/>
  <c r="AR61" i="101" l="1"/>
  <c r="AR62" i="101" s="1"/>
  <c r="AS61" i="101" l="1"/>
  <c r="AS62" i="101" s="1"/>
  <c r="AT51" i="101" l="1"/>
  <c r="I7" i="86" l="1"/>
  <c r="I6" i="86" s="1"/>
  <c r="AM3" i="126" l="1"/>
  <c r="AM3" i="101"/>
  <c r="AM3" i="2"/>
  <c r="AM3" i="13"/>
  <c r="AM3" i="5"/>
  <c r="AM3" i="86"/>
  <c r="AM3" i="16"/>
  <c r="F8" i="21"/>
  <c r="AM3" i="17"/>
  <c r="AM3" i="15"/>
  <c r="AM3" i="6"/>
  <c r="AM3" i="125"/>
  <c r="AM3" i="12"/>
  <c r="AS151" i="106" l="1"/>
  <c r="AS89" i="5" s="1"/>
  <c r="AS147" i="106"/>
  <c r="AS85" i="5" s="1"/>
  <c r="AT147" i="106"/>
  <c r="AT85" i="5" s="1"/>
  <c r="AU147" i="106"/>
  <c r="AU85" i="5" s="1"/>
  <c r="AR151" i="106"/>
  <c r="AR89" i="5" s="1"/>
  <c r="AR147" i="106"/>
  <c r="AR85" i="5" s="1"/>
  <c r="AV147" i="106"/>
  <c r="AV85" i="5" s="1"/>
  <c r="AV150" i="106" l="1"/>
  <c r="AV88" i="5" s="1"/>
  <c r="AV149" i="106"/>
  <c r="AV87" i="5" s="1"/>
  <c r="AU150" i="106"/>
  <c r="AU88" i="5" s="1"/>
  <c r="AU149" i="106"/>
  <c r="AU87" i="5" s="1"/>
  <c r="AS150" i="106"/>
  <c r="AS88" i="5" s="1"/>
  <c r="AS149" i="106"/>
  <c r="AS87" i="5" s="1"/>
  <c r="AT149" i="106"/>
  <c r="AT87" i="5" s="1"/>
  <c r="AT150" i="106"/>
  <c r="AT88" i="5" s="1"/>
  <c r="AR150" i="106" l="1"/>
  <c r="AR88" i="5" s="1"/>
  <c r="AR149" i="106"/>
  <c r="AR87" i="5" s="1"/>
  <c r="AT148" i="106" l="1"/>
  <c r="AT86" i="5" s="1"/>
  <c r="AT97" i="5" s="1"/>
  <c r="AS148" i="106"/>
  <c r="AS86" i="5" s="1"/>
  <c r="AS97" i="5" s="1"/>
  <c r="AV148" i="106"/>
  <c r="AV86" i="5" s="1"/>
  <c r="AV97" i="5" s="1"/>
  <c r="AU148" i="106"/>
  <c r="AU86" i="5" s="1"/>
  <c r="AU97" i="5" s="1"/>
  <c r="AV33" i="15" l="1"/>
  <c r="AV50" i="15" s="1"/>
  <c r="AV205" i="17" s="1"/>
  <c r="AV254" i="17" s="1"/>
  <c r="AV11" i="16"/>
  <c r="AV12" i="16" s="1"/>
  <c r="AV32" i="17"/>
  <c r="AU33" i="15"/>
  <c r="AU50" i="15" s="1"/>
  <c r="AU205" i="17" s="1"/>
  <c r="AU254" i="17" s="1"/>
  <c r="AU11" i="16"/>
  <c r="AU12" i="16" s="1"/>
  <c r="AU32" i="17"/>
  <c r="AS11" i="16"/>
  <c r="AS12" i="16" s="1"/>
  <c r="AS33" i="15"/>
  <c r="AS50" i="15" s="1"/>
  <c r="AS205" i="17" s="1"/>
  <c r="AS254" i="17" s="1"/>
  <c r="AS32" i="17"/>
  <c r="AT33" i="15"/>
  <c r="AT50" i="15" s="1"/>
  <c r="AT205" i="17" s="1"/>
  <c r="AT254" i="17" s="1"/>
  <c r="AT11" i="16"/>
  <c r="AT12" i="16" s="1"/>
  <c r="AT32" i="17"/>
  <c r="AR148" i="106"/>
  <c r="AR86" i="5" s="1"/>
  <c r="AR97" i="5" s="1"/>
  <c r="AR33" i="15" l="1"/>
  <c r="AR50" i="15" s="1"/>
  <c r="AR205" i="17" s="1"/>
  <c r="AR254" i="17" s="1"/>
  <c r="AR32" i="17"/>
  <c r="AR11" i="16"/>
  <c r="AR12" i="16" s="1"/>
  <c r="AS75" i="101"/>
  <c r="AS76" i="101" s="1"/>
  <c r="AV75" i="101"/>
  <c r="AV76" i="101" s="1"/>
  <c r="AU75" i="101"/>
  <c r="AU76" i="101" s="1"/>
  <c r="AT75" i="101"/>
  <c r="AT76" i="101" s="1"/>
  <c r="AU79" i="101" l="1"/>
  <c r="AU80" i="101" s="1"/>
  <c r="AU86" i="101" s="1"/>
  <c r="AU87" i="101" s="1"/>
  <c r="AV89" i="101" s="1"/>
  <c r="AR75" i="101"/>
  <c r="AR76" i="101" s="1"/>
  <c r="AR19" i="16"/>
  <c r="AV79" i="101"/>
  <c r="AV80" i="101" s="1"/>
  <c r="AV86" i="101" s="1"/>
  <c r="AV87" i="101" s="1"/>
  <c r="AS79" i="101"/>
  <c r="AS80" i="101" s="1"/>
  <c r="AS86" i="101" s="1"/>
  <c r="AS87" i="101" s="1"/>
  <c r="AT79" i="101"/>
  <c r="AT80" i="101" s="1"/>
  <c r="AT86" i="101" s="1"/>
  <c r="AT87" i="101" s="1"/>
  <c r="AU89" i="101" s="1"/>
  <c r="AU81" i="101" l="1"/>
  <c r="AT81" i="101"/>
  <c r="AV81" i="101"/>
  <c r="AR79" i="101"/>
  <c r="AR80" i="101" s="1"/>
  <c r="AR86" i="101" s="1"/>
  <c r="AR87" i="101" s="1"/>
  <c r="AR29" i="17"/>
  <c r="AR36" i="17" s="1"/>
  <c r="AR201" i="17"/>
  <c r="AS81" i="101"/>
  <c r="AR81" i="101" l="1"/>
  <c r="AR248" i="17"/>
  <c r="AR127" i="17"/>
  <c r="AR129" i="17" s="1"/>
  <c r="AR137" i="17" l="1"/>
  <c r="AR140" i="17" s="1"/>
  <c r="AR144" i="17"/>
  <c r="AR153" i="17"/>
  <c r="AR158" i="17" l="1"/>
  <c r="AR156" i="17"/>
  <c r="AR147" i="17"/>
  <c r="AR167" i="17" s="1"/>
  <c r="AR149" i="17"/>
  <c r="AR131" i="17" l="1"/>
  <c r="AR164" i="17"/>
  <c r="AR170" i="17" s="1"/>
  <c r="AR204" i="17" l="1"/>
  <c r="AR253" i="17" s="1"/>
  <c r="AR171" i="17"/>
  <c r="AR38" i="17"/>
  <c r="AR169" i="17"/>
  <c r="AR203" i="17" l="1"/>
  <c r="AR37" i="17"/>
  <c r="AR326" i="17" l="1"/>
  <c r="AR327" i="17" s="1"/>
  <c r="AR331" i="17" s="1"/>
  <c r="AR333" i="17" s="1"/>
  <c r="AR217" i="17" s="1"/>
  <c r="AR264" i="17" s="1"/>
  <c r="AR252" i="17"/>
  <c r="AV278" i="106" l="1"/>
  <c r="AV282" i="5" s="1"/>
  <c r="AV281" i="17" s="1"/>
  <c r="AU278" i="106"/>
  <c r="AU282" i="5" s="1"/>
  <c r="AU281" i="17" s="1"/>
  <c r="AT278" i="106"/>
  <c r="AT282" i="5" s="1"/>
  <c r="AT281" i="17" s="1"/>
  <c r="AS278" i="106"/>
  <c r="AS282" i="5" s="1"/>
  <c r="AS281" i="17" s="1"/>
  <c r="AR278" i="106"/>
  <c r="AR282" i="5" s="1"/>
  <c r="AR281" i="17" s="1"/>
  <c r="AV265" i="17" l="1"/>
  <c r="AV286" i="17"/>
  <c r="AV284" i="17"/>
  <c r="AV288" i="17" s="1"/>
  <c r="AV292" i="17" s="1"/>
  <c r="AR265" i="17"/>
  <c r="AR286" i="17"/>
  <c r="AR284" i="17"/>
  <c r="AR288" i="17" s="1"/>
  <c r="AR292" i="17" s="1"/>
  <c r="AS265" i="17"/>
  <c r="AS286" i="17"/>
  <c r="AS288" i="17" s="1"/>
  <c r="AS292" i="17" s="1"/>
  <c r="AS284" i="17"/>
  <c r="AT265" i="17"/>
  <c r="AT286" i="17"/>
  <c r="AT284" i="17"/>
  <c r="AT288" i="17" s="1"/>
  <c r="AT292" i="17" s="1"/>
  <c r="AU265" i="17"/>
  <c r="AU286" i="17"/>
  <c r="AU284" i="17"/>
  <c r="AU288" i="17" l="1"/>
  <c r="AU292" i="17" s="1"/>
  <c r="AR283" i="106"/>
  <c r="AR64" i="15" s="1"/>
  <c r="AR66" i="15" s="1"/>
  <c r="AR67" i="15" l="1"/>
  <c r="AR108" i="15" s="1"/>
  <c r="AR68" i="15" l="1"/>
  <c r="AS63" i="15" s="1"/>
  <c r="AR284" i="106"/>
  <c r="AR77" i="15" s="1"/>
  <c r="AR79" i="15" s="1"/>
  <c r="AR80" i="15" l="1"/>
  <c r="AR109" i="15" s="1"/>
  <c r="AR112" i="15" s="1"/>
  <c r="AR206" i="17" s="1"/>
  <c r="AS283" i="106"/>
  <c r="AS64" i="15" s="1"/>
  <c r="AS66" i="15" s="1"/>
  <c r="AR81" i="15" l="1"/>
  <c r="AS76" i="15" s="1"/>
  <c r="AS67" i="15"/>
  <c r="AS108" i="15" s="1"/>
  <c r="AR255" i="17"/>
  <c r="AR207" i="17"/>
  <c r="AS68" i="15" l="1"/>
  <c r="AT63" i="15" s="1"/>
  <c r="AR216" i="17"/>
  <c r="AR294" i="17"/>
  <c r="AS284" i="106"/>
  <c r="AS77" i="15" s="1"/>
  <c r="AS79" i="15" s="1"/>
  <c r="AS80" i="15" l="1"/>
  <c r="AS109" i="15" s="1"/>
  <c r="AS112" i="15" s="1"/>
  <c r="AS206" i="17" s="1"/>
  <c r="AS255" i="17" s="1"/>
  <c r="AR296" i="17"/>
  <c r="AR297" i="17" s="1"/>
  <c r="AR299" i="17" s="1"/>
  <c r="AT283" i="106"/>
  <c r="AT64" i="15" s="1"/>
  <c r="AT66" i="15" s="1"/>
  <c r="AS81" i="15" l="1"/>
  <c r="AT76" i="15" s="1"/>
  <c r="AT67" i="15"/>
  <c r="AT108" i="15" s="1"/>
  <c r="AR218" i="17"/>
  <c r="AR303" i="17"/>
  <c r="AR307" i="17" s="1"/>
  <c r="AR236" i="17" s="1"/>
  <c r="AT68" i="15" l="1"/>
  <c r="AU63" i="15" s="1"/>
  <c r="AR219" i="17"/>
  <c r="AR225" i="17" s="1"/>
  <c r="AR227" i="17" s="1"/>
  <c r="AR231" i="17" s="1"/>
  <c r="AR235" i="17" s="1"/>
  <c r="AR237" i="17" s="1"/>
  <c r="AT284" i="106"/>
  <c r="AT77" i="15" s="1"/>
  <c r="AT79" i="15" s="1"/>
  <c r="AR220" i="17" l="1"/>
  <c r="AS215" i="17" s="1"/>
  <c r="AT80" i="15"/>
  <c r="AT109" i="15" s="1"/>
  <c r="AT112" i="15" s="1"/>
  <c r="AT206" i="17" s="1"/>
  <c r="AT255" i="17" s="1"/>
  <c r="AR240" i="17"/>
  <c r="AR20" i="16" s="1"/>
  <c r="AR22" i="16" s="1"/>
  <c r="AR49" i="101" s="1"/>
  <c r="AR53" i="101" s="1"/>
  <c r="AR58" i="101" s="1"/>
  <c r="AR239" i="17"/>
  <c r="AU283" i="106"/>
  <c r="AU64" i="15" s="1"/>
  <c r="AU66" i="15" s="1"/>
  <c r="AT81" i="15" l="1"/>
  <c r="AU76" i="15" s="1"/>
  <c r="AR93" i="101"/>
  <c r="AR94" i="101" s="1"/>
  <c r="AS69" i="101"/>
  <c r="AS50" i="101" s="1"/>
  <c r="AR63" i="101"/>
  <c r="AU67" i="15"/>
  <c r="AU108" i="15" s="1"/>
  <c r="AR39" i="17"/>
  <c r="AR250" i="17"/>
  <c r="AR256" i="17" s="1"/>
  <c r="AR266" i="17" l="1"/>
  <c r="AR272" i="17" s="1"/>
  <c r="AR274" i="17" s="1"/>
  <c r="AR40" i="17" s="1"/>
  <c r="AR41" i="17" s="1"/>
  <c r="AS25" i="17" s="1"/>
  <c r="AS45" i="17" s="1"/>
  <c r="AS53" i="17" s="1"/>
  <c r="AS57" i="17" s="1"/>
  <c r="AS78" i="17" s="1"/>
  <c r="AS80" i="17" s="1"/>
  <c r="AS84" i="17" s="1"/>
  <c r="AS86" i="17" s="1"/>
  <c r="AR263" i="17"/>
  <c r="AU68" i="15"/>
  <c r="AV63" i="15" s="1"/>
  <c r="AR95" i="101"/>
  <c r="AR100" i="101"/>
  <c r="AR101" i="101" s="1"/>
  <c r="AS51" i="101" s="1"/>
  <c r="AU284" i="106"/>
  <c r="AU77" i="15" s="1"/>
  <c r="AU79" i="15" s="1"/>
  <c r="AR267" i="17" l="1"/>
  <c r="AS262" i="17" s="1"/>
  <c r="AU80" i="15"/>
  <c r="AU109" i="15" s="1"/>
  <c r="AU112" i="15" s="1"/>
  <c r="AU206" i="17" s="1"/>
  <c r="AU255" i="17" s="1"/>
  <c r="AS179" i="17"/>
  <c r="AS180" i="17" s="1"/>
  <c r="AS184" i="17" s="1"/>
  <c r="AS27" i="17"/>
  <c r="AS28" i="17" s="1"/>
  <c r="AV283" i="106"/>
  <c r="AV64" i="15" s="1"/>
  <c r="AV66" i="15" s="1"/>
  <c r="AU81" i="15" l="1"/>
  <c r="AV76" i="15" s="1"/>
  <c r="AV67" i="15"/>
  <c r="AV108" i="15" s="1"/>
  <c r="AS126" i="17"/>
  <c r="AS46" i="17"/>
  <c r="AS92" i="17" s="1"/>
  <c r="AS95" i="17" s="1"/>
  <c r="AS35" i="17"/>
  <c r="AS185" i="17"/>
  <c r="AS14" i="16" s="1"/>
  <c r="AS19" i="16" s="1"/>
  <c r="AV68" i="15" l="1"/>
  <c r="AS201" i="17"/>
  <c r="AS29" i="17"/>
  <c r="AS36" i="17" s="1"/>
  <c r="AS127" i="17" s="1"/>
  <c r="AS129" i="17" s="1"/>
  <c r="AV284" i="106" l="1"/>
  <c r="AV77" i="15" s="1"/>
  <c r="AV79" i="15" s="1"/>
  <c r="AS137" i="17"/>
  <c r="AS140" i="17" s="1"/>
  <c r="AS153" i="17"/>
  <c r="AS144" i="17"/>
  <c r="AS248" i="17"/>
  <c r="AV80" i="15" l="1"/>
  <c r="AV109" i="15" s="1"/>
  <c r="AV112" i="15" s="1"/>
  <c r="AV206" i="17" s="1"/>
  <c r="AV255" i="17" s="1"/>
  <c r="AS158" i="17"/>
  <c r="AS156" i="17"/>
  <c r="AS147" i="17"/>
  <c r="AS149" i="17"/>
  <c r="AV81" i="15" l="1"/>
  <c r="AS167" i="17"/>
  <c r="AS164" i="17"/>
  <c r="AS170" i="17" s="1"/>
  <c r="AS38" i="17" l="1"/>
  <c r="AS171" i="17"/>
  <c r="AS204" i="17"/>
  <c r="AS253" i="17" s="1"/>
  <c r="AS131" i="17"/>
  <c r="AS169" i="17"/>
  <c r="AS37" i="17" l="1"/>
  <c r="AS203" i="17"/>
  <c r="AS326" i="17" l="1"/>
  <c r="AS327" i="17" s="1"/>
  <c r="AS331" i="17" s="1"/>
  <c r="AS333" i="17" s="1"/>
  <c r="AS217" i="17" s="1"/>
  <c r="AS264" i="17" s="1"/>
  <c r="AS252" i="17"/>
  <c r="AS207" i="17"/>
  <c r="AS216" i="17" l="1"/>
  <c r="AS294" i="17"/>
  <c r="AS296" i="17" l="1"/>
  <c r="AS297" i="17" s="1"/>
  <c r="AS299" i="17" s="1"/>
  <c r="AS303" i="17" l="1"/>
  <c r="AS307" i="17" s="1"/>
  <c r="AS236" i="17" s="1"/>
  <c r="AS218" i="17"/>
  <c r="AS219" i="17" l="1"/>
  <c r="AS225" i="17" s="1"/>
  <c r="AS227" i="17" s="1"/>
  <c r="AS231" i="17" s="1"/>
  <c r="AS235" i="17" s="1"/>
  <c r="AS237" i="17" s="1"/>
  <c r="AS220" i="17" l="1"/>
  <c r="AT215" i="17" s="1"/>
  <c r="AS239" i="17"/>
  <c r="AS240" i="17"/>
  <c r="AS20" i="16" s="1"/>
  <c r="AS22" i="16" s="1"/>
  <c r="AS49" i="101" s="1"/>
  <c r="AS53" i="101" s="1"/>
  <c r="AS58" i="101" s="1"/>
  <c r="AS93" i="101" l="1"/>
  <c r="AS94" i="101" s="1"/>
  <c r="AT69" i="101"/>
  <c r="AT50" i="101" s="1"/>
  <c r="AS63" i="101"/>
  <c r="AS250" i="17"/>
  <c r="AS256" i="17" s="1"/>
  <c r="AS39" i="17"/>
  <c r="AS266" i="17" l="1"/>
  <c r="AS272" i="17" s="1"/>
  <c r="AS274" i="17" s="1"/>
  <c r="AS40" i="17" s="1"/>
  <c r="AS41" i="17" s="1"/>
  <c r="AT25" i="17" s="1"/>
  <c r="AT45" i="17" s="1"/>
  <c r="AT53" i="17" s="1"/>
  <c r="AT57" i="17" s="1"/>
  <c r="AT78" i="17" s="1"/>
  <c r="AT80" i="17" s="1"/>
  <c r="AT84" i="17" s="1"/>
  <c r="AT86" i="17" s="1"/>
  <c r="AS263" i="17"/>
  <c r="AS100" i="101"/>
  <c r="AS101" i="101" s="1"/>
  <c r="AS95" i="101"/>
  <c r="AS267" i="17" l="1"/>
  <c r="AT262" i="17" s="1"/>
  <c r="AT179" i="17"/>
  <c r="AT180" i="17" s="1"/>
  <c r="AT184" i="17" s="1"/>
  <c r="AT27" i="17"/>
  <c r="AT28" i="17" s="1"/>
  <c r="AT126" i="17" l="1"/>
  <c r="AT46" i="17"/>
  <c r="AT92" i="17" s="1"/>
  <c r="AT95" i="17" s="1"/>
  <c r="AT185" i="17"/>
  <c r="AT14" i="16" s="1"/>
  <c r="AT19" i="16" s="1"/>
  <c r="AT35" i="17"/>
  <c r="AT201" i="17" l="1"/>
  <c r="AT29" i="17"/>
  <c r="AT36" i="17" s="1"/>
  <c r="AT127" i="17" s="1"/>
  <c r="AT129" i="17" s="1"/>
  <c r="AT144" i="17" l="1"/>
  <c r="AT137" i="17"/>
  <c r="AT140" i="17" s="1"/>
  <c r="AT153" i="17"/>
  <c r="AT248" i="17"/>
  <c r="AT156" i="17" l="1"/>
  <c r="AT158" i="17"/>
  <c r="AT149" i="17"/>
  <c r="AT147" i="17"/>
  <c r="AT167" i="17" s="1"/>
  <c r="AT131" i="17" l="1"/>
  <c r="AT164" i="17"/>
  <c r="AT170" i="17" s="1"/>
  <c r="AT38" i="17" l="1"/>
  <c r="AT204" i="17"/>
  <c r="AT253" i="17" s="1"/>
  <c r="AT171" i="17"/>
  <c r="AT169" i="17"/>
  <c r="AT203" i="17" l="1"/>
  <c r="AT37" i="17"/>
  <c r="AT252" i="17" l="1"/>
  <c r="AT326" i="17"/>
  <c r="AT327" i="17" s="1"/>
  <c r="AT331" i="17" s="1"/>
  <c r="AT333" i="17" s="1"/>
  <c r="AT217" i="17" s="1"/>
  <c r="AT264" i="17" s="1"/>
  <c r="AT207" i="17"/>
  <c r="AT216" i="17" l="1"/>
  <c r="AT294" i="17"/>
  <c r="AT296" i="17" s="1"/>
  <c r="AT297" i="17" s="1"/>
  <c r="AT299" i="17" s="1"/>
  <c r="AT218" i="17" l="1"/>
  <c r="AT219" i="17" s="1"/>
  <c r="AT225" i="17" s="1"/>
  <c r="AT227" i="17" s="1"/>
  <c r="AT231" i="17" s="1"/>
  <c r="AT235" i="17" s="1"/>
  <c r="AT303" i="17"/>
  <c r="AT307" i="17" s="1"/>
  <c r="AT236" i="17" s="1"/>
  <c r="AT220" i="17" l="1"/>
  <c r="AU215" i="17" s="1"/>
  <c r="AT237" i="17"/>
  <c r="AT240" i="17" l="1"/>
  <c r="AT20" i="16" s="1"/>
  <c r="AT22" i="16" s="1"/>
  <c r="AT49" i="101" s="1"/>
  <c r="AT53" i="101" s="1"/>
  <c r="AT58" i="101" s="1"/>
  <c r="AT239" i="17"/>
  <c r="AT39" i="17" l="1"/>
  <c r="AT250" i="17"/>
  <c r="AT256" i="17" s="1"/>
  <c r="AT93" i="101"/>
  <c r="AT94" i="101" s="1"/>
  <c r="AT61" i="101"/>
  <c r="AT62" i="101" s="1"/>
  <c r="AT95" i="101" l="1"/>
  <c r="AT63" i="101"/>
  <c r="AU69" i="101"/>
  <c r="AU50" i="101" s="1"/>
  <c r="AT100" i="101"/>
  <c r="AT101" i="101" s="1"/>
  <c r="AU103" i="101" s="1"/>
  <c r="AU105" i="101" s="1"/>
  <c r="AU51" i="101" s="1"/>
  <c r="AT266" i="17"/>
  <c r="AT272" i="17" s="1"/>
  <c r="AT274" i="17" s="1"/>
  <c r="AT40" i="17" s="1"/>
  <c r="AT41" i="17" s="1"/>
  <c r="AU25" i="17" s="1"/>
  <c r="AU45" i="17" s="1"/>
  <c r="AU53" i="17" s="1"/>
  <c r="AU57" i="17" s="1"/>
  <c r="AU78" i="17" s="1"/>
  <c r="AU80" i="17" s="1"/>
  <c r="AU84" i="17" s="1"/>
  <c r="AU86" i="17" s="1"/>
  <c r="AT263" i="17"/>
  <c r="AT267" i="17" l="1"/>
  <c r="AU262" i="17" s="1"/>
  <c r="AU27" i="17"/>
  <c r="AU28" i="17" s="1"/>
  <c r="AU179" i="17"/>
  <c r="AU180" i="17" s="1"/>
  <c r="AU184" i="17" s="1"/>
  <c r="AU185" i="17" l="1"/>
  <c r="AU14" i="16" s="1"/>
  <c r="AU19" i="16" s="1"/>
  <c r="AU35" i="17"/>
  <c r="AU126" i="17"/>
  <c r="AU46" i="17"/>
  <c r="AU92" i="17" s="1"/>
  <c r="AU95" i="17" s="1"/>
  <c r="AU201" i="17" l="1"/>
  <c r="AU29" i="17"/>
  <c r="AU36" i="17" s="1"/>
  <c r="AU127" i="17" s="1"/>
  <c r="AU129" i="17" s="1"/>
  <c r="AU144" i="17" l="1"/>
  <c r="AU137" i="17"/>
  <c r="AU140" i="17" s="1"/>
  <c r="AU153" i="17"/>
  <c r="AU248" i="17"/>
  <c r="AU158" i="17" l="1"/>
  <c r="AU156" i="17"/>
  <c r="AU147" i="17"/>
  <c r="AU149" i="17"/>
  <c r="AU167" i="17" l="1"/>
  <c r="AU131" i="17"/>
  <c r="AU164" i="17"/>
  <c r="AU170" i="17" s="1"/>
  <c r="AU38" i="17" l="1"/>
  <c r="AU204" i="17"/>
  <c r="AU253" i="17" s="1"/>
  <c r="AU171" i="17"/>
  <c r="AU169" i="17"/>
  <c r="AU37" i="17" l="1"/>
  <c r="AU203" i="17"/>
  <c r="AU326" i="17" l="1"/>
  <c r="AU327" i="17" s="1"/>
  <c r="AU331" i="17" s="1"/>
  <c r="AU333" i="17" s="1"/>
  <c r="AU217" i="17" s="1"/>
  <c r="AU264" i="17" s="1"/>
  <c r="AU252" i="17"/>
  <c r="AU207" i="17"/>
  <c r="AU216" i="17" l="1"/>
  <c r="AU294" i="17"/>
  <c r="AU296" i="17" l="1"/>
  <c r="AU297" i="17"/>
  <c r="AU299" i="17" s="1"/>
  <c r="AU218" i="17" l="1"/>
  <c r="AU303" i="17"/>
  <c r="AU307" i="17" s="1"/>
  <c r="AU236" i="17" s="1"/>
  <c r="AU219" i="17" l="1"/>
  <c r="AU225" i="17" s="1"/>
  <c r="AU227" i="17" s="1"/>
  <c r="AU231" i="17" s="1"/>
  <c r="AU235" i="17" s="1"/>
  <c r="AU237" i="17" s="1"/>
  <c r="AU220" i="17" l="1"/>
  <c r="AV215" i="17" s="1"/>
  <c r="AU239" i="17"/>
  <c r="AU240" i="17"/>
  <c r="AU20" i="16" s="1"/>
  <c r="AU22" i="16" s="1"/>
  <c r="AU49" i="101" s="1"/>
  <c r="AU53" i="101" s="1"/>
  <c r="AU58" i="101" s="1"/>
  <c r="AU61" i="101" l="1"/>
  <c r="AU62" i="101" s="1"/>
  <c r="AU93" i="101"/>
  <c r="AU94" i="101" s="1"/>
  <c r="AU63" i="101"/>
  <c r="AV69" i="101"/>
  <c r="AV50" i="101" s="1"/>
  <c r="AU39" i="17"/>
  <c r="AU250" i="17"/>
  <c r="AU256" i="17" s="1"/>
  <c r="AU100" i="101" l="1"/>
  <c r="AU101" i="101" s="1"/>
  <c r="AV103" i="101" s="1"/>
  <c r="AV105" i="101" s="1"/>
  <c r="AV51" i="101" s="1"/>
  <c r="AU266" i="17"/>
  <c r="AU272" i="17" s="1"/>
  <c r="AU274" i="17" s="1"/>
  <c r="AU40" i="17" s="1"/>
  <c r="AU41" i="17" s="1"/>
  <c r="AV25" i="17" s="1"/>
  <c r="AV45" i="17" s="1"/>
  <c r="AV53" i="17" s="1"/>
  <c r="AV57" i="17" s="1"/>
  <c r="AV78" i="17" s="1"/>
  <c r="AV80" i="17" s="1"/>
  <c r="AV84" i="17" s="1"/>
  <c r="AV86" i="17" s="1"/>
  <c r="AU263" i="17"/>
  <c r="AU95" i="101"/>
  <c r="AU267" i="17" l="1"/>
  <c r="AV262" i="17" s="1"/>
  <c r="AV179" i="17"/>
  <c r="AV180" i="17" s="1"/>
  <c r="AV184" i="17" s="1"/>
  <c r="AV27" i="17"/>
  <c r="AV28" i="17" s="1"/>
  <c r="AV46" i="17" l="1"/>
  <c r="AV92" i="17" s="1"/>
  <c r="AV95" i="17" s="1"/>
  <c r="AV126" i="17"/>
  <c r="AV35" i="17"/>
  <c r="AV185" i="17"/>
  <c r="AV14" i="16" s="1"/>
  <c r="AV19" i="16" s="1"/>
  <c r="AV201" i="17" l="1"/>
  <c r="AV29" i="17"/>
  <c r="AV36" i="17" s="1"/>
  <c r="AV127" i="17" s="1"/>
  <c r="AV129" i="17" s="1"/>
  <c r="AV137" i="17" l="1"/>
  <c r="AV140" i="17" s="1"/>
  <c r="AV153" i="17"/>
  <c r="AV144" i="17"/>
  <c r="AV248" i="17"/>
  <c r="AV147" i="17" l="1"/>
  <c r="AV149" i="17"/>
  <c r="AV158" i="17"/>
  <c r="AV156" i="17"/>
  <c r="AV164" i="17" l="1"/>
  <c r="AV170" i="17" s="1"/>
  <c r="AV38" i="17" s="1"/>
  <c r="AV204" i="17"/>
  <c r="AV253" i="17" s="1"/>
  <c r="AV167" i="17"/>
  <c r="AV131" i="17" l="1"/>
  <c r="AV169" i="17"/>
  <c r="AV171" i="17"/>
  <c r="AV203" i="17" l="1"/>
  <c r="AV37" i="17"/>
  <c r="AV326" i="17" l="1"/>
  <c r="AV327" i="17" s="1"/>
  <c r="AV331" i="17" s="1"/>
  <c r="AV333" i="17" s="1"/>
  <c r="AV217" i="17" s="1"/>
  <c r="AV264" i="17" s="1"/>
  <c r="AV252" i="17"/>
  <c r="AV207" i="17"/>
  <c r="AV294" i="17" l="1"/>
  <c r="AV296" i="17" s="1"/>
  <c r="AV297" i="17" s="1"/>
  <c r="AV299" i="17" s="1"/>
  <c r="AV216" i="17"/>
  <c r="AV218" i="17" l="1"/>
  <c r="AV219" i="17" s="1"/>
  <c r="AV225" i="17" s="1"/>
  <c r="AV227" i="17" s="1"/>
  <c r="AV231" i="17" s="1"/>
  <c r="AV235" i="17" s="1"/>
  <c r="AV303" i="17"/>
  <c r="AV307" i="17" s="1"/>
  <c r="AV236" i="17" s="1"/>
  <c r="AV237" i="17" l="1"/>
  <c r="AV220" i="17"/>
  <c r="AV240" i="17" l="1"/>
  <c r="AV20" i="16" s="1"/>
  <c r="AV22" i="16" s="1"/>
  <c r="AV49" i="101" s="1"/>
  <c r="AV53" i="101" s="1"/>
  <c r="AV58" i="101" s="1"/>
  <c r="AV239" i="17"/>
  <c r="AV250" i="17" l="1"/>
  <c r="AV256" i="17" s="1"/>
  <c r="AV39" i="17"/>
  <c r="AV61" i="101"/>
  <c r="AV62" i="101" s="1"/>
  <c r="AV63" i="101" s="1"/>
  <c r="AV93" i="101"/>
  <c r="AV94" i="101" s="1"/>
  <c r="AV100" i="101" l="1"/>
  <c r="AV101" i="101" s="1"/>
  <c r="AV95" i="101"/>
  <c r="AV266" i="17"/>
  <c r="AV272" i="17" s="1"/>
  <c r="AV274" i="17" s="1"/>
  <c r="AV40" i="17" s="1"/>
  <c r="AV41" i="17" s="1"/>
  <c r="AV263" i="17"/>
  <c r="AV267" i="1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<sst xmlns="http://schemas.openxmlformats.org/spreadsheetml/2006/main" count="4572" uniqueCount="1400">
  <si>
    <t>Combined RPI-CPIH price index (financial year end)</t>
  </si>
  <si>
    <t>Real to nominal prices conversion factor (splice index for RIIO-2)</t>
  </si>
  <si>
    <t>Forecast cost of debt (RPI index-linked)</t>
  </si>
  <si>
    <t>Other revenue allowances</t>
  </si>
  <si>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</si>
  <si>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</si>
  <si>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</si>
  <si>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</si>
  <si>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</si>
  <si>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</si>
  <si>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</si>
  <si>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</si>
  <si>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</si>
  <si>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</si>
  <si>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</si>
  <si>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</si>
  <si>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</si>
  <si>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</si>
  <si>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</si>
  <si>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</si>
  <si>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</si>
  <si>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</si>
  <si>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</si>
  <si>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</si>
  <si>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</si>
  <si>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</si>
  <si>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</si>
  <si>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</si>
  <si>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</si>
  <si>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</si>
  <si>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</si>
  <si>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</si>
  <si>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</si>
  <si>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</si>
  <si>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</si>
  <si>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</si>
  <si>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</si>
  <si>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</si>
  <si>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</si>
  <si>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</si>
  <si>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</si>
  <si>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</si>
  <si>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</si>
  <si>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</si>
  <si>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</si>
  <si>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</si>
  <si>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</si>
  <si>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</si>
  <si>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</si>
  <si>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</si>
  <si>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</si>
  <si>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</si>
  <si>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</si>
  <si>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</si>
  <si>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</si>
  <si>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</si>
  <si>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</si>
  <si>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</si>
  <si>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</si>
  <si>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</si>
  <si>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</si>
  <si>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</si>
  <si>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</si>
  <si>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</si>
  <si>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</si>
  <si>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</si>
  <si>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</si>
  <si>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</si>
  <si>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</si>
  <si>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</si>
  <si>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</si>
  <si>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</si>
  <si>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</si>
  <si>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</si>
  <si>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</si>
  <si>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</si>
  <si>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</si>
  <si>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</si>
  <si>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</si>
  <si>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</si>
  <si>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</si>
  <si>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</si>
  <si>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</si>
  <si>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</si>
  <si>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</si>
  <si>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</si>
  <si>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</si>
  <si>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</si>
  <si>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</si>
  <si>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</si>
  <si>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</si>
  <si>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</si>
  <si>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</si>
  <si>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</si>
  <si>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</si>
  <si>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</si>
  <si>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</si>
  <si>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</si>
  <si>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</si>
  <si>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</si>
  <si>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</si>
  <si>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</si>
  <si>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</si>
  <si>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</si>
  <si>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</si>
  <si>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</si>
  <si>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</si>
  <si>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</si>
  <si>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</si>
  <si>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</si>
  <si>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</si>
  <si>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</si>
  <si>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</si>
  <si>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</si>
  <si>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</si>
  <si>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</si>
  <si>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</si>
  <si>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</si>
  <si>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</si>
  <si>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</si>
  <si>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</si>
  <si>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</si>
  <si>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</si>
  <si>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</si>
  <si>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</si>
  <si>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</si>
  <si>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</si>
  <si>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</si>
  <si>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</si>
  <si>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</si>
  <si>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</si>
  <si>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</si>
  <si>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</si>
  <si>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</si>
  <si>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</si>
  <si>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</si>
  <si>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</si>
  <si>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</si>
  <si>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</si>
  <si>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</si>
  <si>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</si>
  <si>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</si>
  <si>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</si>
  <si>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</si>
  <si>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</si>
  <si>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</si>
  <si>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</si>
  <si>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</si>
  <si>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</si>
  <si>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</si>
  <si>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</si>
  <si>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</si>
  <si>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</si>
  <si>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</si>
  <si>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</si>
  <si>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</si>
  <si>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</si>
  <si>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</si>
  <si>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</si>
  <si>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</si>
  <si>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</si>
  <si>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</si>
  <si>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</si>
  <si>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</si>
  <si>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</si>
  <si>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</si>
  <si>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</si>
  <si>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</si>
  <si>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</si>
  <si>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</si>
  <si>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</si>
  <si>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</si>
  <si>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</si>
  <si>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</si>
  <si>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</si>
  <si>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</si>
  <si>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</si>
  <si>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</si>
  <si>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</si>
  <si>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</si>
  <si>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</si>
  <si>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</si>
  <si>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</si>
  <si>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</si>
  <si>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</si>
  <si>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</si>
  <si>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</si>
  <si>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</si>
  <si>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</si>
  <si>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</si>
  <si>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</si>
  <si>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</si>
  <si>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</si>
  <si>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</si>
  <si>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</si>
  <si>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</si>
  <si>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</si>
  <si>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</si>
  <si>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</si>
  <si>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</si>
  <si>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</si>
  <si>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</si>
  <si>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</si>
  <si>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</si>
  <si>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</si>
  <si>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</si>
  <si>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</si>
  <si>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</si>
  <si>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</si>
  <si>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</si>
  <si>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</si>
  <si>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</si>
  <si>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</si>
  <si>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</si>
  <si>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</si>
  <si>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</si>
  <si>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</si>
  <si>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</si>
  <si>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</si>
  <si>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</si>
  <si>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</si>
  <si>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</si>
  <si>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</si>
  <si>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</si>
  <si>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</si>
  <si>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</si>
  <si>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</si>
  <si>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</si>
  <si>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</si>
  <si>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</si>
  <si>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</si>
  <si>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</si>
  <si>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</si>
  <si>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</si>
  <si>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</si>
  <si>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</si>
  <si>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</si>
  <si>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</si>
  <si>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</si>
  <si>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</si>
  <si>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</si>
  <si>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</si>
  <si>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</si>
  <si>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</si>
  <si>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</si>
  <si>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</si>
  <si>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</si>
  <si>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</si>
  <si>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</si>
  <si>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</si>
  <si>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</si>
  <si>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</si>
  <si>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</si>
  <si>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</si>
  <si>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</si>
  <si>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</si>
  <si>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</si>
  <si>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</si>
  <si>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</si>
  <si>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</si>
  <si>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</si>
  <si>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</si>
  <si>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</si>
  <si>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</si>
  <si>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</si>
  <si>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</si>
  <si>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</si>
  <si>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</si>
  <si>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</si>
  <si>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</si>
  <si>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</si>
  <si>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</si>
  <si>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</si>
  <si>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</si>
  <si>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</si>
  <si>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</si>
  <si>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</si>
  <si>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</si>
  <si>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</si>
  <si>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</si>
  <si>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</si>
  <si>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</si>
  <si>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</si>
  <si>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</si>
  <si>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</si>
  <si>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</si>
  <si>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</si>
  <si>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</si>
  <si>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</si>
  <si>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</si>
  <si>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</si>
  <si>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</si>
  <si>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</si>
  <si>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</si>
  <si>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</si>
  <si>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</si>
  <si>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</si>
  <si>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</si>
  <si>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</si>
  <si>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</si>
  <si>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Calculated base revenue (last year of RIIO-1, per RIIO-1 definition) (for use in Correction term)</t>
  </si>
  <si>
    <t>£m real</t>
  </si>
  <si>
    <t>ED1BRt</t>
  </si>
  <si>
    <t>Revenue as billed (ignoring bad debt)</t>
  </si>
  <si>
    <t>£m nominal</t>
  </si>
  <si>
    <t>BILLRt</t>
  </si>
  <si>
    <t>Allowed Revenue (as published)</t>
  </si>
  <si>
    <t>AR*t</t>
  </si>
  <si>
    <t>Base Revenue (as published)</t>
  </si>
  <si>
    <t>BRt</t>
  </si>
  <si>
    <t>Valid Bad Debt Claim</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</si>
  <si>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</si>
  <si>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</si>
  <si>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</si>
  <si>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</si>
  <si>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</si>
  <si>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</si>
  <si>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</si>
  <si>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</si>
  <si>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</si>
  <si>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</si>
  <si>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</si>
  <si>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</si>
  <si>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</si>
  <si>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</si>
  <si>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</si>
  <si>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</si>
  <si>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</si>
  <si>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</si>
  <si>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</si>
  <si>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</si>
  <si>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</si>
  <si>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</si>
  <si>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</si>
  <si>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</si>
  <si>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</si>
  <si>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</si>
  <si>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</si>
  <si>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</si>
  <si>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</si>
  <si>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</si>
  <si>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</si>
  <si>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</si>
  <si>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</si>
  <si>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</si>
  <si>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</si>
  <si>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</si>
  <si>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</si>
  <si>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</si>
  <si>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</si>
  <si>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</si>
  <si>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</si>
  <si>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</si>
  <si>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</si>
  <si>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</si>
  <si>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</si>
  <si>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</si>
  <si>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</si>
  <si>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</si>
  <si>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</si>
  <si>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</si>
  <si>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</si>
  <si>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</si>
  <si>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</si>
  <si>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</si>
  <si>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</si>
  <si>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</si>
  <si>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</si>
  <si>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</si>
  <si>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</si>
  <si>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</si>
  <si>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</si>
  <si>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</si>
  <si>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</si>
  <si>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</si>
  <si>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</si>
  <si>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</si>
  <si>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</si>
  <si>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</si>
  <si>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</si>
  <si>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</si>
  <si>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</si>
  <si>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</si>
  <si>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</si>
  <si>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</si>
  <si>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</si>
  <si>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</si>
  <si>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</si>
  <si>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</si>
  <si>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</si>
  <si>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</si>
  <si>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</si>
  <si>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</si>
  <si>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</si>
  <si>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</si>
  <si>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</si>
  <si>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</si>
  <si>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</si>
  <si>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</si>
  <si>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</si>
  <si>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</si>
  <si>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</si>
  <si>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</si>
  <si>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</si>
  <si>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</si>
  <si>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</si>
  <si>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</si>
  <si>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</si>
  <si>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</si>
  <si>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</si>
  <si>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</si>
  <si>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</si>
  <si>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</si>
  <si>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</si>
  <si>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</si>
  <si>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</si>
  <si>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</si>
  <si>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</si>
  <si>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</si>
  <si>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</si>
  <si>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</si>
  <si>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</si>
  <si>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</si>
  <si>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</si>
  <si>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</si>
  <si>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</si>
  <si>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</si>
  <si>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</si>
  <si>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</si>
  <si>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</si>
  <si>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</si>
  <si>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</si>
  <si>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</si>
  <si>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</si>
  <si>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</si>
  <si>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</si>
  <si>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</si>
  <si>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</si>
  <si>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</si>
  <si>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</si>
  <si>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</si>
  <si>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</si>
  <si>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</si>
  <si>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</si>
  <si>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</si>
  <si>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</si>
  <si>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</si>
  <si>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</si>
  <si>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</si>
  <si>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</si>
  <si>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</si>
  <si>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</si>
  <si>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</si>
  <si>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</si>
  <si>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</si>
  <si>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</si>
  <si>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</si>
  <si>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</si>
  <si>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</si>
  <si>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</si>
  <si>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</si>
  <si>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</si>
  <si>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</si>
  <si>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</si>
  <si>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</si>
  <si>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</si>
  <si>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</si>
  <si>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</si>
  <si>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</si>
  <si>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</si>
  <si>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</si>
  <si>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</si>
  <si>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</si>
  <si>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</si>
  <si>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</si>
  <si>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</si>
  <si>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</si>
  <si>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</si>
  <si>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</si>
  <si>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</si>
  <si>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</si>
  <si>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</si>
  <si>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</si>
  <si>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</si>
  <si>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</si>
  <si>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</si>
  <si>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</si>
  <si>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</si>
  <si>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</si>
  <si>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</si>
  <si>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</si>
  <si>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</si>
  <si>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</si>
  <si>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</si>
  <si>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</si>
  <si>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</si>
  <si>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</si>
  <si>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</si>
  <si>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</si>
  <si>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</si>
  <si>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</si>
  <si>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</si>
  <si>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</si>
  <si>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</si>
  <si>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</si>
  <si>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</si>
  <si>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</si>
  <si>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</si>
  <si>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</si>
  <si>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</si>
  <si>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</si>
  <si>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</si>
  <si>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</si>
  <si>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</si>
  <si>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</si>
  <si>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</si>
  <si>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</si>
  <si>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</si>
  <si>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</si>
  <si>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</si>
  <si>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</si>
  <si>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</si>
  <si>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</si>
  <si>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</si>
  <si>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</si>
  <si>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</si>
  <si>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</si>
  <si>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</si>
  <si>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Fast pot expenditure</t>
  </si>
  <si>
    <t>£m 12/13 prices</t>
  </si>
  <si>
    <t>Return</t>
  </si>
  <si>
    <t>Equity issuance cost</t>
  </si>
  <si>
    <t>Additional income</t>
  </si>
  <si>
    <t>Tax allowance</t>
  </si>
  <si>
    <t>Recalculated base revenue</t>
  </si>
  <si>
    <t>Add net impact of DARTs on core net debt</t>
  </si>
  <si>
    <t>Add net DART impact on tax calculation</t>
  </si>
  <si>
    <t>Less actual totex</t>
  </si>
  <si>
    <t>Less revenue tax pool additions</t>
  </si>
  <si>
    <t>Less capital allowances</t>
  </si>
  <si>
    <t>index value</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</si>
  <si>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</si>
  <si>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</si>
  <si>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</si>
  <si>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</si>
  <si>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</si>
  <si>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</si>
  <si>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</si>
  <si>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</si>
  <si>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</si>
  <si>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</si>
  <si>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</si>
  <si>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</si>
  <si>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</si>
  <si>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</si>
  <si>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</si>
  <si>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</si>
  <si>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</si>
  <si>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</si>
  <si>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</si>
  <si>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</si>
  <si>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</si>
  <si>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</si>
  <si>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</si>
  <si>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</si>
  <si>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</si>
  <si>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</si>
  <si>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</si>
  <si>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</si>
  <si>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</si>
  <si>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</si>
  <si>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</si>
  <si>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</si>
  <si>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</si>
  <si>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</si>
  <si>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</si>
  <si>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</si>
  <si>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</si>
  <si>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</si>
  <si>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</si>
  <si>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</si>
  <si>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</si>
  <si>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</si>
  <si>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</si>
  <si>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</si>
  <si>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</si>
  <si>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</si>
  <si>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</si>
  <si>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</si>
  <si>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</si>
  <si>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</si>
  <si>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</si>
  <si>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</si>
  <si>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</si>
  <si>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</si>
  <si>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</si>
  <si>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</si>
  <si>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</si>
  <si>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</si>
  <si>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</si>
  <si>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</si>
  <si>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</si>
  <si>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</si>
  <si>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</si>
  <si>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</si>
  <si>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</si>
  <si>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</si>
  <si>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</si>
  <si>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</si>
  <si>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</si>
  <si>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</si>
  <si>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</si>
  <si>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</si>
  <si>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</si>
  <si>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</si>
  <si>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</si>
  <si>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</si>
  <si>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</si>
  <si>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</si>
  <si>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RRt</t>
  </si>
  <si>
    <t>Tax</t>
  </si>
  <si>
    <t>Tax policy</t>
  </si>
  <si>
    <t>Capital allowances and tax losses</t>
  </si>
  <si>
    <t>Tax trigger and tax clawback</t>
  </si>
  <si>
    <t>Allocation to "General" pool</t>
  </si>
  <si>
    <t>Allocation to "Special Rate" pool</t>
  </si>
  <si>
    <t>Allocation to "Deferred Revenue" pool</t>
  </si>
  <si>
    <t>Allocation to "Structures and Buildings" pool</t>
  </si>
  <si>
    <t>Allocation to "Revenue" pool</t>
  </si>
  <si>
    <t>Allocation to "Non Qualifying" pool</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</si>
  <si>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</si>
  <si>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</si>
  <si>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</si>
  <si>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</si>
  <si>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</si>
  <si>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</si>
  <si>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</si>
  <si>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</si>
  <si>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</si>
  <si>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</si>
  <si>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</si>
  <si>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</si>
  <si>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</si>
  <si>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</si>
  <si>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</si>
  <si>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</si>
  <si>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</si>
  <si>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</si>
  <si>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</si>
  <si>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</si>
  <si>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</si>
  <si>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</si>
  <si>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</si>
  <si>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</si>
  <si>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</si>
  <si>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</si>
  <si>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</si>
  <si>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</si>
  <si>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</si>
  <si>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</si>
  <si>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</si>
  <si>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</si>
  <si>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</si>
  <si>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</si>
  <si>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</si>
  <si>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</si>
  <si>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</si>
  <si>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</si>
  <si>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</si>
  <si>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</si>
  <si>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</si>
  <si>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</si>
  <si>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</si>
  <si>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</si>
  <si>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</si>
  <si>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</si>
  <si>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</si>
  <si>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</si>
  <si>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</si>
  <si>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</si>
  <si>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</si>
  <si>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</si>
  <si>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</si>
  <si>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</si>
  <si>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</si>
  <si>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</si>
  <si>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</si>
  <si>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</si>
  <si>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</si>
  <si>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</si>
  <si>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</si>
  <si>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</si>
  <si>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</si>
  <si>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</si>
  <si>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</si>
  <si>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</si>
  <si>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</si>
  <si>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</si>
  <si>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</si>
  <si>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</si>
  <si>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</si>
  <si>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</si>
  <si>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</si>
  <si>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</si>
  <si>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</si>
  <si>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</si>
  <si>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</si>
  <si>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</si>
  <si>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</si>
  <si>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</si>
  <si>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</si>
  <si>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</si>
  <si>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</si>
  <si>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</si>
  <si>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</si>
  <si>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</si>
  <si>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</si>
  <si>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</si>
  <si>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</si>
  <si>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</si>
  <si>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</si>
  <si>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</si>
  <si>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</si>
  <si>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</si>
  <si>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</si>
  <si>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</si>
  <si>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</si>
  <si>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</si>
  <si>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</si>
  <si>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</si>
  <si>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</si>
  <si>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</si>
  <si>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</si>
  <si>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</si>
  <si>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</si>
  <si>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</si>
  <si>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</si>
  <si>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</si>
  <si>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</si>
  <si>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</si>
  <si>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</si>
  <si>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</si>
  <si>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</si>
  <si>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</si>
  <si>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</si>
  <si>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</si>
  <si>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</si>
  <si>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</si>
  <si>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</si>
  <si>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</si>
  <si>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</si>
  <si>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</si>
  <si>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</si>
  <si>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</si>
  <si>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</si>
  <si>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</si>
  <si>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</si>
  <si>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</si>
  <si>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</si>
  <si>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</si>
  <si>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</si>
  <si>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</si>
  <si>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</si>
  <si>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</si>
  <si>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</si>
  <si>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</si>
  <si>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</si>
  <si>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</si>
  <si>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</si>
  <si>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</si>
  <si>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</si>
  <si>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</si>
  <si>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</si>
  <si>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</si>
  <si>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</si>
  <si>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</si>
  <si>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</si>
  <si>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</si>
  <si>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</si>
  <si>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</si>
  <si>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</si>
  <si>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</si>
  <si>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</si>
  <si>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</si>
  <si>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</si>
  <si>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</si>
  <si>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</si>
  <si>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</si>
  <si>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</si>
  <si>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</si>
  <si>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</si>
  <si>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</si>
  <si>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</si>
  <si>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</si>
  <si>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</si>
  <si>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</si>
  <si>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</si>
  <si>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</si>
  <si>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</si>
  <si>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</si>
  <si>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</si>
  <si>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</si>
  <si>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</si>
  <si>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</si>
  <si>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</si>
  <si>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</si>
  <si>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</si>
  <si>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</si>
  <si>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</si>
  <si>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</si>
  <si>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</si>
  <si>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</si>
  <si>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</si>
  <si>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</si>
  <si>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</si>
  <si>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</si>
  <si>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</si>
  <si>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</si>
  <si>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</si>
  <si>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</si>
  <si>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</si>
  <si>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</si>
  <si>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</si>
  <si>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</si>
  <si>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</si>
  <si>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</si>
  <si>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</si>
  <si>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</si>
  <si>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</si>
  <si>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</si>
  <si>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</si>
  <si>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</si>
  <si>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</si>
  <si>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</si>
  <si>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</si>
  <si>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</si>
  <si>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</si>
  <si>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</si>
  <si>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</si>
  <si>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</si>
  <si>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</si>
  <si>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</si>
  <si>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</si>
  <si>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</si>
  <si>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</si>
  <si>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</si>
  <si>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</si>
  <si>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</si>
  <si>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</si>
  <si>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</si>
  <si>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</si>
  <si>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</si>
  <si>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</si>
  <si>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</si>
  <si>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</si>
  <si>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</si>
  <si>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</si>
  <si>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</si>
  <si>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</si>
  <si>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Slow pot expenditure</t>
  </si>
  <si>
    <t xml:space="preserve">RIIO-2 allocation 2 capitalisation </t>
  </si>
  <si>
    <t>Totex after capitalisation</t>
  </si>
  <si>
    <t>Calculated output capitalisation rate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</si>
  <si>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</si>
  <si>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</si>
  <si>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</si>
  <si>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</si>
  <si>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</si>
  <si>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</si>
  <si>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</si>
  <si>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</si>
  <si>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</si>
  <si>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</si>
  <si>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</si>
  <si>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</si>
  <si>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</si>
  <si>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</si>
  <si>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</si>
  <si>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</si>
  <si>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</si>
  <si>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</si>
  <si>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</si>
  <si>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</si>
  <si>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</si>
  <si>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</si>
  <si>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</si>
  <si>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</si>
  <si>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</si>
  <si>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</si>
  <si>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</si>
  <si>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</si>
  <si>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</si>
  <si>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</si>
  <si>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</si>
  <si>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</si>
  <si>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</si>
  <si>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</si>
  <si>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</si>
  <si>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</si>
  <si>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</si>
  <si>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</si>
  <si>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</si>
  <si>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</si>
  <si>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</si>
  <si>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</si>
  <si>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</si>
  <si>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</si>
  <si>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</si>
  <si>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</si>
  <si>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</si>
  <si>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</si>
  <si>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</si>
  <si>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</si>
  <si>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</si>
  <si>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</si>
  <si>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</si>
  <si>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</si>
  <si>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</si>
  <si>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</si>
  <si>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</si>
  <si>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</si>
  <si>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</si>
  <si>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</si>
  <si>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</si>
  <si>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</si>
  <si>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</si>
  <si>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</si>
  <si>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</si>
  <si>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</si>
  <si>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</si>
  <si>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</si>
  <si>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</si>
  <si>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</si>
  <si>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</si>
  <si>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</si>
  <si>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</si>
  <si>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</si>
  <si>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</si>
  <si>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</si>
  <si>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</si>
  <si>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</si>
  <si>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</si>
  <si>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</si>
  <si>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</si>
  <si>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</si>
  <si>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</si>
  <si>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</si>
  <si>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</si>
  <si>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</si>
  <si>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</si>
  <si>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</si>
  <si>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</si>
  <si>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</si>
  <si>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</si>
  <si>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</si>
  <si>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</si>
  <si>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</si>
  <si>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</si>
  <si>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</si>
  <si>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</si>
  <si>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</si>
  <si>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</si>
  <si>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</si>
  <si>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</si>
  <si>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</si>
  <si>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</si>
  <si>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</si>
  <si>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</si>
  <si>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</si>
  <si>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</si>
  <si>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</si>
  <si>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</si>
  <si>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</si>
  <si>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</si>
  <si>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</si>
  <si>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</si>
  <si>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</si>
  <si>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</si>
  <si>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</si>
  <si>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</si>
  <si>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</si>
  <si>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</si>
  <si>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</si>
  <si>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</si>
  <si>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</si>
  <si>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</si>
  <si>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</si>
  <si>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</si>
  <si>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</si>
  <si>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</si>
  <si>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</si>
  <si>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</si>
  <si>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</si>
  <si>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</si>
  <si>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</si>
  <si>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</si>
  <si>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</si>
  <si>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</si>
  <si>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</si>
  <si>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</si>
  <si>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</si>
  <si>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</si>
  <si>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</si>
  <si>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</si>
  <si>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</si>
  <si>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</si>
  <si>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</si>
  <si>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</si>
  <si>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</si>
  <si>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</si>
  <si>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</si>
  <si>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</si>
  <si>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</si>
  <si>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</si>
  <si>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</si>
  <si>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</si>
  <si>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</si>
  <si>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</si>
  <si>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</si>
  <si>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</si>
  <si>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</si>
  <si>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</si>
  <si>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</si>
  <si>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</si>
  <si>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</si>
  <si>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</si>
  <si>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</si>
  <si>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</si>
  <si>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</si>
  <si>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</si>
  <si>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</si>
  <si>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</si>
  <si>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</si>
  <si>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</si>
  <si>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</si>
  <si>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</si>
  <si>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</si>
  <si>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</si>
  <si>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</si>
  <si>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</si>
  <si>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</si>
  <si>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</si>
  <si>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</si>
  <si>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</si>
  <si>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</si>
  <si>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</si>
  <si>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</si>
  <si>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</si>
  <si>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</si>
  <si>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</si>
  <si>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</si>
  <si>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</si>
  <si>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</si>
  <si>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</si>
  <si>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</si>
  <si>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</si>
  <si>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</si>
  <si>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</si>
  <si>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</si>
  <si>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</si>
  <si>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</si>
  <si>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</si>
  <si>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</si>
  <si>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</si>
  <si>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</si>
  <si>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</si>
  <si>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</si>
  <si>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</si>
  <si>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</si>
  <si>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</si>
  <si>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</si>
  <si>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</si>
  <si>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</si>
  <si>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</si>
  <si>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</si>
  <si>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</si>
  <si>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</si>
  <si>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</si>
  <si>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</si>
  <si>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</si>
  <si>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</si>
  <si>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</si>
  <si>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</si>
  <si>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</si>
  <si>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</si>
  <si>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</si>
  <si>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</si>
  <si>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</si>
  <si>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</si>
  <si>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</si>
  <si>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</si>
  <si>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</si>
  <si>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</si>
  <si>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</si>
  <si>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</si>
  <si>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</si>
  <si>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</si>
  <si>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</si>
  <si>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</si>
  <si>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</si>
  <si>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</si>
  <si>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</si>
  <si>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</si>
  <si>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</si>
  <si>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</si>
  <si>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</si>
  <si>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</si>
  <si>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</si>
  <si>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</si>
  <si>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</si>
  <si>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</si>
  <si>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</si>
  <si>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</si>
  <si>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</si>
  <si>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</si>
  <si>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</si>
  <si>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</si>
  <si>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</si>
  <si>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</si>
  <si>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</si>
  <si>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</si>
  <si>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</si>
  <si>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</si>
  <si>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</si>
  <si>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</si>
  <si>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</si>
  <si>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</si>
  <si>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</si>
  <si>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</si>
  <si>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</si>
  <si>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</si>
  <si>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</si>
  <si>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</si>
  <si>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</si>
  <si>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</si>
  <si>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</si>
  <si>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</si>
  <si>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</si>
  <si>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</si>
  <si>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</si>
  <si>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</si>
  <si>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</si>
  <si>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</si>
  <si>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</si>
  <si>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</si>
  <si>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</si>
  <si>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</si>
  <si>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</si>
  <si>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</si>
  <si>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</si>
  <si>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</si>
  <si>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</si>
  <si>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</si>
  <si>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</si>
  <si>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</si>
  <si>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</si>
  <si>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</si>
  <si>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</si>
  <si>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</si>
  <si>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</si>
  <si>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</si>
  <si>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</si>
  <si>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</si>
  <si>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</si>
  <si>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</si>
  <si>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</si>
  <si>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</si>
  <si>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</si>
  <si>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</si>
  <si>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</si>
  <si>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</si>
  <si>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</si>
  <si>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</si>
  <si>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</si>
  <si>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</si>
  <si>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</si>
  <si>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</si>
  <si>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</si>
  <si>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</si>
  <si>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</si>
  <si>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</si>
  <si>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</si>
  <si>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</si>
  <si>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</si>
  <si>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</si>
  <si>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</si>
  <si>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</si>
  <si>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</si>
  <si>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</si>
  <si>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</si>
  <si>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</si>
  <si>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</si>
  <si>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</si>
  <si>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</si>
  <si>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</si>
  <si>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</si>
  <si>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</si>
  <si>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</si>
  <si>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</si>
  <si>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</si>
  <si>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</si>
  <si>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</si>
  <si>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</si>
  <si>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</si>
  <si>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</si>
  <si>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</si>
  <si>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</si>
  <si>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</si>
  <si>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</si>
  <si>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</si>
  <si>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</si>
  <si>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</si>
  <si>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</si>
  <si>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</si>
  <si>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</si>
  <si>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</si>
  <si>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</si>
  <si>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</si>
  <si>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</si>
  <si>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</si>
  <si>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</si>
  <si>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</si>
  <si>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</si>
  <si>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</si>
  <si>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</si>
  <si>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</si>
  <si>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</si>
  <si>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Recovered Revenue</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</si>
  <si>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</si>
  <si>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</si>
  <si>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</si>
  <si>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</si>
  <si>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</si>
  <si>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</si>
  <si>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</si>
  <si>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</si>
  <si>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</si>
  <si>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</si>
  <si>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</si>
  <si>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</si>
  <si>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</si>
  <si>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</si>
  <si>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</si>
  <si>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</si>
  <si>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</si>
  <si>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</si>
  <si>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</si>
  <si>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</si>
  <si>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</si>
  <si>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</si>
  <si>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</si>
  <si>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</si>
  <si>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</si>
  <si>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</si>
  <si>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</si>
  <si>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</si>
  <si>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</si>
  <si>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</si>
  <si>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</si>
  <si>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</si>
  <si>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</si>
  <si>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</si>
  <si>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</si>
  <si>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</si>
  <si>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</si>
  <si>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</si>
  <si>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</si>
  <si>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</si>
  <si>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</si>
  <si>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</si>
  <si>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</si>
  <si>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</si>
  <si>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</si>
  <si>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</si>
  <si>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</si>
  <si>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</si>
  <si>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</si>
  <si>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</si>
  <si>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</si>
  <si>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</si>
  <si>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</si>
  <si>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</si>
  <si>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</si>
  <si>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</si>
  <si>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</si>
  <si>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</si>
  <si>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</si>
  <si>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</si>
  <si>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</si>
  <si>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</si>
  <si>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</si>
  <si>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</si>
  <si>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</si>
  <si>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</si>
  <si>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</si>
  <si>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</si>
  <si>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</si>
  <si>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</si>
  <si>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</si>
  <si>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</si>
  <si>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</si>
  <si>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</si>
  <si>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</si>
  <si>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Other</t>
  </si>
  <si>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</si>
  <si>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</si>
  <si>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</si>
  <si>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</si>
  <si>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</si>
  <si>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</si>
  <si>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</si>
  <si>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</si>
  <si>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</si>
  <si>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</si>
  <si>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</si>
  <si>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</si>
  <si>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</si>
  <si>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</si>
  <si>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</si>
  <si>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</si>
  <si>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</si>
  <si>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</si>
  <si>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</si>
  <si>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</si>
  <si>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</si>
  <si>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</si>
  <si>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</si>
  <si>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</si>
  <si>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</si>
  <si>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</si>
  <si>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</si>
  <si>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</si>
  <si>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</si>
  <si>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</si>
  <si>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</si>
  <si>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</si>
  <si>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</si>
  <si>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</si>
  <si>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</si>
  <si>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</si>
  <si>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</si>
  <si>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</si>
  <si>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</si>
  <si>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</si>
  <si>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</si>
  <si>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</si>
  <si>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</si>
  <si>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</si>
  <si>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</si>
  <si>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</si>
  <si>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</si>
  <si>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</si>
  <si>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</si>
  <si>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</si>
  <si>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</si>
  <si>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</si>
  <si>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</si>
  <si>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</si>
  <si>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</si>
  <si>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</si>
  <si>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</si>
  <si>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</si>
  <si>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</si>
  <si>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</si>
  <si>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</si>
  <si>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</si>
  <si>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</si>
  <si>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</si>
  <si>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</si>
  <si>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</si>
  <si>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</si>
  <si>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</si>
  <si>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</si>
  <si>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</si>
  <si>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</si>
  <si>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</si>
  <si>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</si>
  <si>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</si>
  <si>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</si>
  <si>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</si>
  <si>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</si>
  <si>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</si>
  <si>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</si>
  <si>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</si>
  <si>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</si>
  <si>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</si>
  <si>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</si>
  <si>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</si>
  <si>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</si>
  <si>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Re-opener</t>
  </si>
  <si>
    <t>RPEs Don't Apply</t>
  </si>
  <si>
    <t>PCD</t>
  </si>
  <si>
    <t>RPEs Apply</t>
  </si>
  <si>
    <t>Volume driver</t>
  </si>
  <si>
    <t>UIOLI</t>
  </si>
  <si>
    <t>Network Innovation Allowance (NIA): cost multiplier</t>
  </si>
  <si>
    <t>Base revenue (last year of RIIO-1, per RIIO-1 definition) (for use in Correction term)</t>
  </si>
  <si>
    <t>Recovered Bad Debt (enter as a -ve)</t>
  </si>
  <si>
    <t>RIIO-1ARt</t>
  </si>
  <si>
    <t>RIIO-1 WACC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</si>
</sst>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1">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6">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4" fontId="5" fillId="0" borderId="0" applyFont="0" applyFill="0" applyBorder="0" applyAlignment="0" applyProtection="0"/>
    <xf numFmtId="164"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6" fontId="27" fillId="0" borderId="0" applyFont="0" applyFill="0" applyBorder="0" applyAlignment="0" applyProtection="0"/>
    <xf numFmtId="164"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5"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4"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4" fontId="5" fillId="0" borderId="0" applyFont="0" applyFill="0" applyBorder="0" applyAlignment="0" applyProtection="0"/>
    <xf numFmtId="164"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4" fontId="35" fillId="0" borderId="0" applyFont="0" applyFill="0" applyBorder="0" applyAlignment="0" applyProtection="0"/>
    <xf numFmtId="186" fontId="56" fillId="21" borderId="20" applyNumberFormat="0" applyProtection="0">
      <alignment horizontal="left" vertical="top" indent="1"/>
    </xf>
    <xf numFmtId="164" fontId="5" fillId="0" borderId="0" applyFont="0" applyFill="0" applyBorder="0" applyAlignment="0" applyProtection="0"/>
    <xf numFmtId="186" fontId="27" fillId="63" borderId="20" applyNumberFormat="0" applyProtection="0">
      <alignment horizontal="left" vertical="top" indent="1"/>
    </xf>
    <xf numFmtId="164"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72" fontId="35"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4" fontId="54"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4" fontId="5" fillId="0" borderId="0" applyFont="0" applyFill="0" applyBorder="0" applyAlignment="0" applyProtection="0"/>
    <xf numFmtId="167"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4" fontId="5" fillId="90" borderId="0" applyBorder="0" applyAlignment="0" applyProtection="0"/>
    <xf numFmtId="164"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4"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4"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4"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4"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4"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4"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4"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4"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4" fontId="69" fillId="0" borderId="0" applyFont="0" applyFill="0" applyBorder="0" applyAlignment="0" applyProtection="0"/>
    <xf numFmtId="0" fontId="5" fillId="0" borderId="0"/>
    <xf numFmtId="0" fontId="5" fillId="0" borderId="0"/>
    <xf numFmtId="0" fontId="54" fillId="0" borderId="0"/>
    <xf numFmtId="164"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1" applyNumberFormat="0" applyAlignment="0" applyProtection="0"/>
    <xf numFmtId="0" fontId="91" fillId="101" borderId="162" applyNumberFormat="0" applyAlignment="0" applyProtection="0"/>
    <xf numFmtId="0" fontId="92" fillId="101" borderId="161" applyNumberFormat="0" applyAlignment="0" applyProtection="0"/>
    <xf numFmtId="0" fontId="93" fillId="0" borderId="163" applyNumberFormat="0" applyFill="0" applyAlignment="0" applyProtection="0"/>
    <xf numFmtId="0" fontId="82" fillId="102" borderId="164" applyNumberFormat="0" applyAlignment="0" applyProtection="0"/>
    <xf numFmtId="0" fontId="83" fillId="0" borderId="0" applyNumberFormat="0" applyFill="0" applyBorder="0" applyAlignment="0" applyProtection="0"/>
    <xf numFmtId="0" fontId="5" fillId="103"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8" fontId="5" fillId="13" borderId="150">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4"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4" fontId="5" fillId="0" borderId="0" applyFont="0" applyFill="0" applyBorder="0" applyAlignment="0" applyProtection="0"/>
    <xf numFmtId="186" fontId="56" fillId="14" borderId="142" applyNumberFormat="0" applyProtection="0">
      <alignment horizontal="left" vertical="top" indent="1"/>
    </xf>
    <xf numFmtId="164"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4"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14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4"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4"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4"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4"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4"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4"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4"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4"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4" fontId="35" fillId="0" borderId="0" applyFont="0" applyFill="0" applyBorder="0" applyAlignment="0" applyProtection="0"/>
    <xf numFmtId="4" fontId="56" fillId="23" borderId="145" applyNumberFormat="0" applyProtection="0">
      <alignment horizontal="right" vertical="center"/>
    </xf>
    <xf numFmtId="164"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4"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4"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4"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4"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1" applyNumberFormat="0" applyAlignment="0" applyProtection="0"/>
    <xf numFmtId="0" fontId="105" fillId="101" borderId="162" applyNumberFormat="0" applyAlignment="0" applyProtection="0"/>
    <xf numFmtId="0" fontId="106" fillId="101" borderId="161" applyNumberFormat="0" applyAlignment="0" applyProtection="0"/>
    <xf numFmtId="0" fontId="107" fillId="0" borderId="163" applyNumberFormat="0" applyFill="0" applyAlignment="0" applyProtection="0"/>
    <xf numFmtId="0" fontId="108" fillId="102" borderId="164" applyNumberFormat="0" applyAlignment="0" applyProtection="0"/>
    <xf numFmtId="0" fontId="109" fillId="0" borderId="0" applyNumberFormat="0" applyFill="0" applyBorder="0" applyAlignment="0" applyProtection="0"/>
    <xf numFmtId="0" fontId="54" fillId="103"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4" fontId="5" fillId="0" borderId="0" applyFont="0" applyFill="0" applyBorder="0" applyAlignment="0" applyProtection="0"/>
    <xf numFmtId="164"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4"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151" applyFill="0"/>
    <xf numFmtId="164"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9" applyNumberFormat="0" applyProtection="0">
      <alignment horizontal="left" vertical="top" indent="1"/>
    </xf>
    <xf numFmtId="37" fontId="33" fillId="0" borderId="175" applyNumberFormat="0"/>
    <xf numFmtId="186" fontId="56" fillId="40" borderId="201" applyNumberFormat="0" applyFont="0" applyAlignment="0" applyProtection="0"/>
    <xf numFmtId="186" fontId="56" fillId="40" borderId="201" applyNumberFormat="0" applyFont="0" applyAlignment="0" applyProtection="0"/>
    <xf numFmtId="4" fontId="56" fillId="59" borderId="191" applyNumberFormat="0" applyProtection="0">
      <alignment horizontal="right" vertical="center"/>
    </xf>
    <xf numFmtId="186" fontId="56" fillId="21" borderId="199"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91" fontId="28" fillId="50" borderId="8">
      <alignment vertical="center"/>
    </xf>
    <xf numFmtId="186" fontId="62" fillId="15" borderId="189" applyNumberFormat="0" applyProtection="0">
      <alignment horizontal="left" vertical="top"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70" applyNumberFormat="0" applyProtection="0">
      <alignment horizontal="left" vertical="center" indent="1"/>
    </xf>
    <xf numFmtId="186" fontId="56" fillId="62" borderId="201" applyNumberFormat="0" applyProtection="0">
      <alignment horizontal="left" vertical="center" indent="1"/>
    </xf>
    <xf numFmtId="164" fontId="5" fillId="0" borderId="0" applyFont="0" applyFill="0" applyBorder="0" applyAlignment="0" applyProtection="0"/>
    <xf numFmtId="186" fontId="56" fillId="63" borderId="199" applyNumberFormat="0" applyProtection="0">
      <alignment horizontal="left" vertical="top" indent="1"/>
    </xf>
    <xf numFmtId="164" fontId="34" fillId="0" borderId="0" applyFont="0" applyFill="0" applyBorder="0" applyAlignment="0" applyProtection="0"/>
    <xf numFmtId="186" fontId="56" fillId="63" borderId="201" applyNumberFormat="0" applyProtection="0">
      <alignment horizontal="left" vertical="center" indent="1"/>
    </xf>
    <xf numFmtId="37" fontId="33" fillId="0" borderId="204" applyNumberFormat="0"/>
    <xf numFmtId="186" fontId="56" fillId="63" borderId="172" applyNumberFormat="0" applyProtection="0">
      <alignment horizontal="left" vertical="top" indent="1"/>
    </xf>
    <xf numFmtId="193" fontId="5" fillId="69" borderId="177">
      <alignment vertical="center"/>
    </xf>
    <xf numFmtId="186" fontId="56" fillId="21" borderId="172"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1" fontId="5" fillId="13" borderId="186">
      <alignment vertical="center"/>
    </xf>
    <xf numFmtId="186" fontId="56" fillId="40" borderId="191" applyNumberFormat="0" applyFont="0" applyAlignment="0" applyProtection="0"/>
    <xf numFmtId="4" fontId="56" fillId="61" borderId="195"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0" fontId="27" fillId="63" borderId="199" applyNumberFormat="0" applyProtection="0">
      <alignment horizontal="left" vertical="top" indent="1"/>
    </xf>
    <xf numFmtId="4" fontId="59" fillId="53" borderId="201" applyNumberFormat="0" applyProtection="0">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8" fillId="12" borderId="197">
      <alignment vertical="center"/>
      <protection locked="0"/>
    </xf>
    <xf numFmtId="188" fontId="5" fillId="70" borderId="186">
      <alignment horizontal="right" vertical="center"/>
      <protection locked="0"/>
    </xf>
    <xf numFmtId="186" fontId="42" fillId="44" borderId="191" applyNumberFormat="0" applyAlignment="0" applyProtection="0"/>
    <xf numFmtId="0" fontId="37" fillId="48" borderId="199" applyNumberFormat="0" applyProtection="0">
      <alignment horizontal="left" vertical="top" indent="1"/>
    </xf>
    <xf numFmtId="194" fontId="33" fillId="0" borderId="198" applyFill="0"/>
    <xf numFmtId="186" fontId="56" fillId="14" borderId="189" applyNumberFormat="0" applyProtection="0">
      <alignment horizontal="left" vertical="top" indent="1"/>
    </xf>
    <xf numFmtId="4" fontId="56" fillId="57" borderId="195" applyNumberFormat="0" applyProtection="0">
      <alignment horizontal="right" vertical="center"/>
    </xf>
    <xf numFmtId="4" fontId="72" fillId="81" borderId="189" applyNumberFormat="0" applyProtection="0">
      <alignment horizontal="right" vertical="center"/>
    </xf>
    <xf numFmtId="186" fontId="27"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4" borderId="189" applyNumberFormat="0" applyProtection="0">
      <alignment horizontal="left" vertical="top" indent="1"/>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193" fontId="28" fillId="12" borderId="186">
      <alignment vertical="center"/>
      <protection locked="0"/>
    </xf>
    <xf numFmtId="186" fontId="56" fillId="14" borderId="199" applyNumberFormat="0" applyProtection="0">
      <alignment horizontal="left" vertical="top" indent="1"/>
    </xf>
    <xf numFmtId="4" fontId="63" fillId="66" borderId="195" applyNumberFormat="0" applyProtection="0">
      <alignment horizontal="left" vertical="center"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191" fontId="5" fillId="69" borderId="177">
      <alignment vertical="center"/>
    </xf>
    <xf numFmtId="186" fontId="27" fillId="15" borderId="199" applyNumberFormat="0" applyProtection="0">
      <alignment horizontal="left" vertical="top" indent="1"/>
    </xf>
    <xf numFmtId="186" fontId="27" fillId="14" borderId="199"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186" fontId="44" fillId="0" borderId="206" applyNumberFormat="0" applyFill="0" applyAlignment="0" applyProtection="0"/>
    <xf numFmtId="186" fontId="61" fillId="21" borderId="203" applyBorder="0"/>
    <xf numFmtId="191" fontId="28" fillId="51" borderId="207">
      <alignment horizontal="right" vertical="center"/>
      <protection locked="0"/>
    </xf>
    <xf numFmtId="186" fontId="56" fillId="67" borderId="177"/>
    <xf numFmtId="193" fontId="5" fillId="69" borderId="177">
      <alignment vertical="center"/>
    </xf>
    <xf numFmtId="186" fontId="56" fillId="15" borderId="199" applyNumberFormat="0" applyProtection="0">
      <alignment horizontal="left" vertical="top" indent="1"/>
    </xf>
    <xf numFmtId="4" fontId="56" fillId="15" borderId="201" applyNumberFormat="0" applyProtection="0">
      <alignment horizontal="right" vertical="center"/>
    </xf>
    <xf numFmtId="191" fontId="5" fillId="69" borderId="177">
      <alignment vertical="center"/>
    </xf>
    <xf numFmtId="0" fontId="5" fillId="70" borderId="177">
      <alignment horizontal="right" vertical="center"/>
      <protection locked="0"/>
    </xf>
    <xf numFmtId="186" fontId="56" fillId="15" borderId="199" applyNumberFormat="0" applyProtection="0">
      <alignment horizontal="left" vertical="top" indent="1"/>
    </xf>
    <xf numFmtId="186" fontId="42" fillId="44" borderId="201" applyNumberFormat="0" applyAlignment="0" applyProtection="0"/>
    <xf numFmtId="186" fontId="56" fillId="14" borderId="189" applyNumberFormat="0" applyProtection="0">
      <alignment horizontal="left" vertical="top" indent="1"/>
    </xf>
    <xf numFmtId="193" fontId="5" fillId="7" borderId="177">
      <alignment vertical="center"/>
      <protection locked="0"/>
    </xf>
    <xf numFmtId="186" fontId="56" fillId="14" borderId="189" applyNumberFormat="0" applyProtection="0">
      <alignment horizontal="left" vertical="top" indent="1"/>
    </xf>
    <xf numFmtId="172" fontId="5" fillId="7" borderId="177">
      <alignment vertical="center"/>
      <protection locked="0"/>
    </xf>
    <xf numFmtId="186" fontId="27" fillId="64" borderId="177" applyNumberFormat="0">
      <protection locked="0"/>
    </xf>
    <xf numFmtId="186" fontId="56" fillId="40" borderId="201" applyNumberFormat="0" applyFont="0" applyAlignment="0" applyProtection="0"/>
    <xf numFmtId="186" fontId="56" fillId="11" borderId="201"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0" fontId="5" fillId="70" borderId="177">
      <alignment horizontal="right" vertical="center"/>
      <protection locked="0"/>
    </xf>
    <xf numFmtId="186" fontId="56" fillId="40"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1" borderId="182"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90" fontId="28" fillId="51" borderId="177">
      <alignment horizontal="right" vertical="center"/>
      <protection locked="0"/>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7" borderId="177">
      <alignment vertical="center"/>
      <protection locked="0"/>
    </xf>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4" fontId="56" fillId="52" borderId="201" applyNumberFormat="0" applyProtection="0">
      <alignment vertical="center"/>
    </xf>
    <xf numFmtId="186" fontId="56" fillId="14" borderId="199" applyNumberFormat="0" applyProtection="0">
      <alignment horizontal="left" vertical="top" indent="1"/>
    </xf>
    <xf numFmtId="4" fontId="56" fillId="59" borderId="201" applyNumberFormat="0" applyProtection="0">
      <alignment horizontal="right" vertical="center"/>
    </xf>
    <xf numFmtId="4" fontId="64" fillId="64" borderId="201" applyNumberFormat="0" applyProtection="0">
      <alignment horizontal="right" vertical="center"/>
    </xf>
    <xf numFmtId="186" fontId="42" fillId="44" borderId="201" applyNumberFormat="0" applyAlignment="0" applyProtection="0"/>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59" borderId="201" applyNumberFormat="0" applyProtection="0">
      <alignment horizontal="right" vertical="center"/>
    </xf>
    <xf numFmtId="186" fontId="56" fillId="62"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2" borderId="201" applyNumberFormat="0" applyProtection="0">
      <alignmen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16"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170" applyNumberFormat="0" applyAlignment="0" applyProtection="0"/>
    <xf numFmtId="4" fontId="76" fillId="87" borderId="172" applyNumberFormat="0" applyProtection="0">
      <alignment horizontal="right" vertical="center"/>
    </xf>
    <xf numFmtId="0" fontId="37" fillId="15" borderId="172" applyNumberFormat="0" applyProtection="0">
      <alignment horizontal="left" vertical="top" indent="1"/>
    </xf>
    <xf numFmtId="4" fontId="74" fillId="87" borderId="172" applyNumberFormat="0" applyProtection="0">
      <alignment horizontal="right" vertical="center"/>
    </xf>
    <xf numFmtId="0" fontId="37" fillId="48" borderId="172" applyNumberFormat="0" applyProtection="0">
      <alignment horizontal="left" vertical="top" indent="1"/>
    </xf>
    <xf numFmtId="4" fontId="72" fillId="87" borderId="172" applyNumberFormat="0" applyProtection="0">
      <alignment vertical="center"/>
    </xf>
    <xf numFmtId="0" fontId="27" fillId="14" borderId="172" applyNumberFormat="0" applyProtection="0">
      <alignment horizontal="left" vertical="top" indent="1"/>
    </xf>
    <xf numFmtId="0" fontId="27" fillId="63" borderId="172" applyNumberFormat="0" applyProtection="0">
      <alignment horizontal="left" vertical="top" indent="1"/>
    </xf>
    <xf numFmtId="0" fontId="27" fillId="15" borderId="172" applyNumberFormat="0" applyProtection="0">
      <alignment horizontal="left" vertical="top" indent="1"/>
    </xf>
    <xf numFmtId="0" fontId="27" fillId="21" borderId="172"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0" fontId="5" fillId="7" borderId="177">
      <alignment vertical="center"/>
      <protection locked="0"/>
    </xf>
    <xf numFmtId="4" fontId="72" fillId="83" borderId="172" applyNumberFormat="0" applyProtection="0">
      <alignment horizontal="right" vertical="center"/>
    </xf>
    <xf numFmtId="4" fontId="72" fillId="81" borderId="172" applyNumberFormat="0" applyProtection="0">
      <alignment horizontal="right" vertical="center"/>
    </xf>
    <xf numFmtId="4" fontId="72" fillId="80" borderId="172" applyNumberFormat="0" applyProtection="0">
      <alignment horizontal="right" vertical="center"/>
    </xf>
    <xf numFmtId="4" fontId="72" fillId="78" borderId="172" applyNumberFormat="0" applyProtection="0">
      <alignment horizontal="right" vertical="center"/>
    </xf>
    <xf numFmtId="0" fontId="73" fillId="52" borderId="172" applyNumberFormat="0" applyProtection="0">
      <alignment horizontal="left" vertical="top" indent="1"/>
    </xf>
    <xf numFmtId="4" fontId="71" fillId="53" borderId="172" applyNumberFormat="0" applyProtection="0">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72" fillId="79" borderId="199" applyNumberFormat="0" applyProtection="0">
      <alignment horizontal="right" vertical="center"/>
    </xf>
    <xf numFmtId="186" fontId="57" fillId="44" borderId="202" applyNumberFormat="0" applyAlignment="0" applyProtection="0"/>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61" fillId="21" borderId="203" applyBorder="0"/>
    <xf numFmtId="4" fontId="62" fillId="11" borderId="189" applyNumberFormat="0" applyProtection="0">
      <alignment horizontal="left" vertical="center" indent="1"/>
    </xf>
    <xf numFmtId="191" fontId="28" fillId="49" borderId="197">
      <alignment vertical="center"/>
    </xf>
    <xf numFmtId="186" fontId="56" fillId="40" borderId="201" applyNumberFormat="0" applyFont="0" applyAlignment="0" applyProtection="0"/>
    <xf numFmtId="186" fontId="28" fillId="50" borderId="197">
      <alignment vertical="center"/>
    </xf>
    <xf numFmtId="186" fontId="27" fillId="21" borderId="111"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28" fillId="12" borderId="207">
      <alignment vertical="center"/>
      <protection locked="0"/>
    </xf>
    <xf numFmtId="186" fontId="61" fillId="21" borderId="203" applyBorder="0"/>
    <xf numFmtId="164" fontId="39" fillId="0" borderId="0" applyFont="0" applyFill="0" applyBorder="0" applyAlignment="0" applyProtection="0"/>
    <xf numFmtId="188" fontId="5" fillId="69" borderId="197">
      <alignment vertical="center"/>
    </xf>
    <xf numFmtId="4" fontId="56" fillId="15" borderId="195" applyNumberFormat="0" applyProtection="0">
      <alignment horizontal="left" vertical="center" indent="1"/>
    </xf>
    <xf numFmtId="186" fontId="27" fillId="14" borderId="189" applyNumberFormat="0" applyProtection="0">
      <alignment horizontal="left" vertical="top" indent="1"/>
    </xf>
    <xf numFmtId="37" fontId="33" fillId="0" borderId="204"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2" borderId="197">
      <alignment vertical="center"/>
      <protection locked="0"/>
    </xf>
    <xf numFmtId="0" fontId="5" fillId="7" borderId="197">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69" borderId="197">
      <alignment vertical="center"/>
    </xf>
    <xf numFmtId="193" fontId="5" fillId="69" borderId="197">
      <alignment vertical="center"/>
    </xf>
    <xf numFmtId="196" fontId="5" fillId="13" borderId="197">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4" borderId="189"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7" borderId="189" applyNumberFormat="0" applyProtection="0">
      <alignment horizontal="right" vertical="center"/>
    </xf>
    <xf numFmtId="4" fontId="72" fillId="78" borderId="189" applyNumberFormat="0" applyProtection="0">
      <alignment horizontal="right" vertical="center"/>
    </xf>
    <xf numFmtId="188" fontId="5" fillId="13" borderId="197">
      <alignment vertical="center"/>
    </xf>
    <xf numFmtId="186" fontId="56" fillId="15" borderId="199" applyNumberFormat="0" applyProtection="0">
      <alignment horizontal="left" vertical="top" indent="1"/>
    </xf>
    <xf numFmtId="186" fontId="50" fillId="41" borderId="191" applyNumberForma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5" borderId="189" applyNumberFormat="0" applyProtection="0">
      <alignment horizontal="left" vertical="top" indent="1"/>
    </xf>
    <xf numFmtId="4" fontId="56" fillId="57" borderId="195" applyNumberFormat="0" applyProtection="0">
      <alignment horizontal="right" vertical="center"/>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0" borderId="177">
      <alignment horizontal="right" vertical="center"/>
      <protection locked="0"/>
    </xf>
    <xf numFmtId="186" fontId="56" fillId="40" borderId="201" applyNumberFormat="0" applyFont="0" applyAlignment="0" applyProtection="0"/>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7" fillId="15" borderId="199"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16"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60" borderId="201" applyNumberFormat="0" applyProtection="0">
      <alignment horizontal="right" vertical="center"/>
    </xf>
    <xf numFmtId="186" fontId="56" fillId="14"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57" borderId="205"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top" indent="1"/>
    </xf>
    <xf numFmtId="4" fontId="72" fillId="86" borderId="199" applyNumberFormat="0" applyProtection="0">
      <alignment horizontal="right" vertical="center"/>
    </xf>
    <xf numFmtId="172" fontId="5" fillId="7" borderId="177">
      <alignment vertical="center"/>
      <protection locked="0"/>
    </xf>
    <xf numFmtId="4" fontId="56" fillId="5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4" borderId="199" applyNumberFormat="0" applyProtection="0">
      <alignment horizontal="left" vertical="top" indent="1"/>
    </xf>
    <xf numFmtId="186" fontId="27" fillId="15"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4" fontId="56" fillId="0" borderId="201" applyNumberFormat="0" applyProtection="0">
      <alignment horizontal="right" vertical="center"/>
    </xf>
    <xf numFmtId="186" fontId="27" fillId="14"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4" fontId="56" fillId="16" borderId="201" applyNumberFormat="0" applyProtection="0">
      <alignment horizontal="right" vertical="center"/>
    </xf>
    <xf numFmtId="186" fontId="60" fillId="52" borderId="199"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0" borderId="201" applyNumberFormat="0" applyProtection="0">
      <alignment horizontal="right" vertical="center"/>
    </xf>
    <xf numFmtId="186" fontId="56" fillId="14" borderId="201"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4" fontId="56" fillId="15" borderId="20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15" borderId="201" applyNumberFormat="0" applyProtection="0">
      <alignment horizontal="right" vertical="center"/>
    </xf>
    <xf numFmtId="4" fontId="56" fillId="54" borderId="201" applyNumberFormat="0" applyProtection="0">
      <alignment horizontal="left" vertical="center" indent="1"/>
    </xf>
    <xf numFmtId="186" fontId="42" fillId="44" borderId="201" applyNumberFormat="0" applyAlignment="0" applyProtection="0"/>
    <xf numFmtId="186" fontId="56" fillId="21" borderId="199" applyNumberFormat="0" applyProtection="0">
      <alignment horizontal="left" vertical="top" indent="1"/>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4" fontId="56" fillId="55"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4" borderId="205" applyNumberFormat="0" applyProtection="0">
      <alignment horizontal="left" vertical="center" indent="1"/>
    </xf>
    <xf numFmtId="4" fontId="62" fillId="11" borderId="199" applyNumberFormat="0" applyProtection="0">
      <alignment horizontal="left" vertical="center" indent="1"/>
    </xf>
    <xf numFmtId="186" fontId="44" fillId="0" borderId="206" applyNumberFormat="0" applyFill="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5"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1" borderId="172" applyNumberFormat="0" applyProtection="0">
      <alignment horizontal="left" vertical="top" indent="1"/>
    </xf>
    <xf numFmtId="37" fontId="33" fillId="0" borderId="175" applyNumberFormat="0"/>
    <xf numFmtId="186" fontId="27" fillId="21" borderId="172" applyNumberFormat="0" applyProtection="0">
      <alignment horizontal="left" vertical="top" indent="1"/>
    </xf>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40" borderId="179" applyNumberFormat="0" applyFont="0" applyAlignment="0" applyProtection="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6" borderId="173" applyNumberFormat="0" applyProtection="0">
      <alignment horizontal="left" vertical="center" indent="1"/>
    </xf>
    <xf numFmtId="186" fontId="62" fillId="15" borderId="172" applyNumberFormat="0" applyProtection="0">
      <alignment horizontal="left" vertical="top" indent="1"/>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57" borderId="173" applyNumberFormat="0" applyProtection="0">
      <alignment horizontal="right" vertical="center"/>
    </xf>
    <xf numFmtId="186" fontId="60" fillId="52"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1" applyNumberFormat="0" applyProtection="0">
      <alignment horizontal="right" vertical="center"/>
    </xf>
    <xf numFmtId="4" fontId="56" fillId="56"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7" fillId="44" borderId="202" applyNumberFormat="0" applyAlignment="0" applyProtection="0"/>
    <xf numFmtId="4" fontId="56" fillId="54" borderId="201" applyNumberFormat="0" applyProtection="0">
      <alignment horizontal="left" vertical="center"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27" fillId="21"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56" fillId="11" borderId="201" applyNumberFormat="0" applyProtection="0">
      <alignment horizontal="left" vertical="center"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4" fontId="56" fillId="52" borderId="201" applyNumberFormat="0" applyProtection="0">
      <alignmen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4" fontId="56" fillId="53" borderId="201"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4" fontId="56" fillId="55"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2" fillId="44" borderId="170" applyNumberFormat="0" applyAlignment="0" applyProtection="0"/>
    <xf numFmtId="186" fontId="42" fillId="44" borderId="170"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4" fontId="59" fillId="53" borderId="201" applyNumberFormat="0" applyProtection="0">
      <alignment vertical="center"/>
    </xf>
    <xf numFmtId="186" fontId="27" fillId="14" borderId="172"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27" fillId="63" borderId="172" applyNumberFormat="0" applyProtection="0">
      <alignment horizontal="left" vertical="top" indent="1"/>
    </xf>
    <xf numFmtId="4" fontId="59" fillId="65" borderId="201" applyNumberFormat="0" applyProtection="0">
      <alignment horizontal="right" vertical="center"/>
    </xf>
    <xf numFmtId="186" fontId="56" fillId="21"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14" borderId="191" applyNumberFormat="0" applyProtection="0">
      <alignment horizontal="left" vertical="center" indent="1"/>
    </xf>
    <xf numFmtId="4" fontId="72" fillId="84" borderId="199" applyNumberFormat="0" applyProtection="0">
      <alignment horizontal="right" vertical="center"/>
    </xf>
    <xf numFmtId="186" fontId="56" fillId="14" borderId="199" applyNumberFormat="0" applyProtection="0">
      <alignment horizontal="left" vertical="top" indent="1"/>
    </xf>
    <xf numFmtId="37" fontId="33" fillId="0" borderId="204" applyNumberFormat="0"/>
    <xf numFmtId="186" fontId="56" fillId="14" borderId="189" applyNumberFormat="0" applyProtection="0">
      <alignment horizontal="left" vertical="top" indent="1"/>
    </xf>
    <xf numFmtId="186" fontId="56" fillId="62"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4" borderId="201" applyNumberFormat="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4" fillId="0" borderId="0"/>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9" fillId="53" borderId="170" applyNumberFormat="0" applyProtection="0">
      <alignment vertical="center"/>
    </xf>
    <xf numFmtId="4" fontId="56" fillId="52" borderId="170" applyNumberFormat="0" applyProtection="0">
      <alignment vertical="center"/>
    </xf>
    <xf numFmtId="186" fontId="27" fillId="15" borderId="189" applyNumberFormat="0" applyProtection="0">
      <alignment horizontal="left" vertical="top" indent="1"/>
    </xf>
    <xf numFmtId="4" fontId="56" fillId="16" borderId="191" applyNumberFormat="0" applyProtection="0">
      <alignment horizontal="right" vertical="center"/>
    </xf>
    <xf numFmtId="4" fontId="71" fillId="53" borderId="199" applyNumberFormat="0" applyProtection="0">
      <alignment vertical="center"/>
    </xf>
    <xf numFmtId="4" fontId="74" fillId="87" borderId="199" applyNumberFormat="0" applyProtection="0">
      <alignment horizontal="righ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201" applyNumberFormat="0" applyProtection="0">
      <alignment horizontal="left" vertical="center" indent="1"/>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27" fillId="63" borderId="199" applyNumberFormat="0" applyProtection="0">
      <alignment horizontal="left" vertical="top" indent="1"/>
    </xf>
    <xf numFmtId="4" fontId="56" fillId="57" borderId="195" applyNumberFormat="0" applyProtection="0">
      <alignment horizontal="right" vertical="center"/>
    </xf>
    <xf numFmtId="186" fontId="62" fillId="15" borderId="199" applyNumberFormat="0" applyProtection="0">
      <alignment horizontal="left" vertical="top" indent="1"/>
    </xf>
    <xf numFmtId="186" fontId="27" fillId="63"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72" fontId="5" fillId="7" borderId="197">
      <alignment vertical="center"/>
      <protection locked="0"/>
    </xf>
    <xf numFmtId="188" fontId="5" fillId="70" borderId="197">
      <alignment horizontal="right" vertical="center"/>
      <protection locked="0"/>
    </xf>
    <xf numFmtId="190" fontId="5" fillId="69" borderId="197">
      <alignment vertical="center"/>
    </xf>
    <xf numFmtId="193" fontId="5" fillId="7" borderId="197">
      <alignment vertical="center"/>
      <protection locked="0"/>
    </xf>
    <xf numFmtId="0" fontId="27" fillId="14" borderId="189"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4" fontId="72" fillId="83" borderId="189" applyNumberFormat="0" applyProtection="0">
      <alignment horizontal="right" vertical="center"/>
    </xf>
    <xf numFmtId="186" fontId="56" fillId="11" borderId="201"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61" borderId="195" applyNumberFormat="0" applyProtection="0">
      <alignment horizontal="left" vertical="center" indent="1"/>
    </xf>
    <xf numFmtId="4" fontId="56" fillId="52" borderId="191" applyNumberFormat="0" applyProtection="0">
      <alignment vertical="center"/>
    </xf>
    <xf numFmtId="186" fontId="56" fillId="63" borderId="191"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62" fillId="48" borderId="199" applyNumberFormat="0" applyProtection="0">
      <alignmen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40" borderId="201" applyNumberFormat="0" applyFont="0" applyAlignment="0" applyProtection="0"/>
    <xf numFmtId="4" fontId="56" fillId="61" borderId="205"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186" fontId="42" fillId="44" borderId="170" applyNumberFormat="0" applyAlignment="0" applyProtection="0"/>
    <xf numFmtId="186" fontId="56" fillId="14" borderId="191" applyNumberFormat="0" applyProtection="0">
      <alignment horizontal="left" vertical="center" indent="1"/>
    </xf>
    <xf numFmtId="191" fontId="5" fillId="7" borderId="177">
      <alignment vertical="center"/>
      <protection locked="0"/>
    </xf>
    <xf numFmtId="4" fontId="56" fillId="14" borderId="205" applyNumberFormat="0" applyProtection="0">
      <alignment horizontal="left" vertical="center" indent="1"/>
    </xf>
    <xf numFmtId="4" fontId="64" fillId="64" borderId="170" applyNumberFormat="0" applyProtection="0">
      <alignment horizontal="right" vertical="center"/>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48" borderId="172" applyNumberFormat="0" applyProtection="0">
      <alignment vertical="center"/>
    </xf>
    <xf numFmtId="186" fontId="61" fillId="21" borderId="174" applyBorder="0"/>
    <xf numFmtId="4" fontId="56" fillId="59" borderId="179" applyNumberFormat="0" applyProtection="0">
      <alignment horizontal="right" vertical="center"/>
    </xf>
    <xf numFmtId="186" fontId="27" fillId="21" borderId="181"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14" borderId="199" applyNumberFormat="0" applyProtection="0">
      <alignment horizontal="left" vertical="top" indent="1"/>
    </xf>
    <xf numFmtId="4" fontId="56" fillId="23"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4" fontId="27" fillId="21" borderId="205" applyNumberFormat="0" applyProtection="0">
      <alignment horizontal="left" vertical="center" indent="1"/>
    </xf>
    <xf numFmtId="4" fontId="56" fillId="14" borderId="195" applyNumberFormat="0" applyProtection="0">
      <alignment horizontal="left" vertical="center" indent="1"/>
    </xf>
    <xf numFmtId="186" fontId="44" fillId="0" borderId="206" applyNumberFormat="0" applyFill="0" applyAlignment="0" applyProtection="0"/>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8" borderId="201" applyNumberFormat="0" applyProtection="0">
      <alignment horizontal="right" vertical="center"/>
    </xf>
    <xf numFmtId="191" fontId="5" fillId="13" borderId="197">
      <alignment vertical="center"/>
    </xf>
    <xf numFmtId="191" fontId="5" fillId="13" borderId="197">
      <alignment vertical="center"/>
    </xf>
    <xf numFmtId="193" fontId="28" fillId="12" borderId="197">
      <alignment vertical="center"/>
      <protection locked="0"/>
    </xf>
    <xf numFmtId="186" fontId="28" fillId="49" borderId="197">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4" fontId="62" fillId="11" borderId="189" applyNumberFormat="0" applyProtection="0">
      <alignment horizontal="left" vertical="center" indent="1"/>
    </xf>
    <xf numFmtId="4" fontId="56" fillId="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69" borderId="177">
      <alignment vertical="center"/>
    </xf>
    <xf numFmtId="191" fontId="5" fillId="69" borderId="177">
      <alignment vertical="center"/>
    </xf>
    <xf numFmtId="191"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4" fontId="72" fillId="80" borderId="199" applyNumberFormat="0" applyProtection="0">
      <alignment horizontal="right" vertical="center"/>
    </xf>
    <xf numFmtId="4" fontId="72" fillId="50" borderId="199" applyNumberFormat="0" applyProtection="0">
      <alignment horizontal="right" vertical="center"/>
    </xf>
    <xf numFmtId="0" fontId="27" fillId="63" borderId="199" applyNumberFormat="0" applyProtection="0">
      <alignment horizontal="left" vertical="center" indent="1"/>
    </xf>
    <xf numFmtId="0" fontId="27" fillId="64" borderId="177" applyNumberFormat="0">
      <protection locked="0"/>
    </xf>
    <xf numFmtId="4" fontId="70" fillId="86" borderId="199" applyNumberFormat="0" applyProtection="0">
      <alignment horizontal="left" vertical="center" indent="1"/>
    </xf>
    <xf numFmtId="0" fontId="37" fillId="15" borderId="199" applyNumberFormat="0" applyProtection="0">
      <alignment horizontal="left" vertical="top" indent="1"/>
    </xf>
    <xf numFmtId="4" fontId="75" fillId="88" borderId="200"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186" fontId="42" fillId="44" borderId="201" applyNumberFormat="0" applyAlignment="0" applyProtection="0"/>
    <xf numFmtId="186" fontId="56" fillId="40" borderId="201" applyNumberFormat="0" applyFont="0" applyAlignment="0" applyProtection="0"/>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23"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64" borderId="168" applyNumberFormat="0">
      <protection locked="0"/>
    </xf>
    <xf numFmtId="186" fontId="56" fillId="14"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6" fillId="54" borderId="201" applyNumberFormat="0" applyProtection="0">
      <alignment horizontal="left" vertical="center" indent="1"/>
    </xf>
    <xf numFmtId="4" fontId="56" fillId="57" borderId="205" applyNumberFormat="0" applyProtection="0">
      <alignment horizontal="right" vertical="center"/>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186" fontId="61" fillId="21" borderId="203" applyBorder="0"/>
    <xf numFmtId="186" fontId="56" fillId="11" borderId="201" applyNumberFormat="0" applyProtection="0">
      <alignment horizontal="left" vertical="center" indent="1"/>
    </xf>
    <xf numFmtId="194" fontId="33" fillId="0" borderId="167" applyFill="0"/>
    <xf numFmtId="4" fontId="64" fillId="64" borderId="201" applyNumberFormat="0" applyProtection="0">
      <alignment horizontal="right" vertical="center"/>
    </xf>
    <xf numFmtId="186" fontId="56" fillId="15" borderId="199" applyNumberFormat="0" applyProtection="0">
      <alignment horizontal="left" vertical="top"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64" fontId="5" fillId="0" borderId="0" applyFont="0" applyFill="0" applyBorder="0" applyAlignment="0" applyProtection="0"/>
    <xf numFmtId="186" fontId="27" fillId="21" borderId="199" applyNumberFormat="0" applyProtection="0">
      <alignment horizontal="left" vertical="top" indent="1"/>
    </xf>
    <xf numFmtId="4" fontId="64" fillId="64"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8" fillId="50" borderId="207">
      <alignmen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186" fontId="60" fillId="52" borderId="199" applyNumberFormat="0" applyProtection="0">
      <alignment horizontal="left" vertical="top" indent="1"/>
    </xf>
    <xf numFmtId="186" fontId="56" fillId="14" borderId="170" applyNumberFormat="0" applyProtection="0">
      <alignment horizontal="left" vertical="center" indent="1"/>
    </xf>
    <xf numFmtId="164" fontId="35" fillId="0" borderId="0" applyFont="0" applyFill="0" applyBorder="0" applyAlignment="0" applyProtection="0"/>
    <xf numFmtId="186" fontId="27" fillId="15" borderId="189" applyNumberFormat="0" applyProtection="0">
      <alignment horizontal="left" vertical="top" indent="1"/>
    </xf>
    <xf numFmtId="4" fontId="56" fillId="15" borderId="201" applyNumberFormat="0" applyProtection="0">
      <alignment horizontal="right" vertical="center"/>
    </xf>
    <xf numFmtId="186" fontId="56" fillId="63" borderId="181"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4" borderId="201" applyNumberFormat="0" applyAlignment="0" applyProtection="0"/>
    <xf numFmtId="186" fontId="27" fillId="21" borderId="199" applyNumberFormat="0" applyProtection="0">
      <alignment horizontal="left" vertical="center" indent="1"/>
    </xf>
    <xf numFmtId="186" fontId="56" fillId="14" borderId="172" applyNumberFormat="0" applyProtection="0">
      <alignment horizontal="left" vertical="top" indent="1"/>
    </xf>
    <xf numFmtId="4" fontId="56" fillId="23" borderId="170" applyNumberFormat="0" applyProtection="0">
      <alignment horizontal="righ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5" borderId="201" applyNumberFormat="0" applyProtection="0">
      <alignment horizontal="right" vertical="center"/>
    </xf>
    <xf numFmtId="4" fontId="62" fillId="11" borderId="172" applyNumberFormat="0" applyProtection="0">
      <alignment horizontal="left" vertical="center" indent="1"/>
    </xf>
    <xf numFmtId="4" fontId="56" fillId="14" borderId="173" applyNumberFormat="0" applyProtection="0">
      <alignment horizontal="left" vertical="center" indent="1"/>
    </xf>
    <xf numFmtId="186" fontId="56" fillId="14" borderId="191" applyNumberFormat="0" applyProtection="0">
      <alignment horizontal="left" vertical="center" indent="1"/>
    </xf>
    <xf numFmtId="186" fontId="56" fillId="14" borderId="189" applyNumberFormat="0" applyProtection="0">
      <alignment horizontal="left" vertical="top" indent="1"/>
    </xf>
    <xf numFmtId="186" fontId="56" fillId="40" borderId="170" applyNumberFormat="0" applyFont="0" applyAlignment="0" applyProtection="0"/>
    <xf numFmtId="193" fontId="5" fillId="7" borderId="177">
      <alignment vertical="center"/>
      <protection locked="0"/>
    </xf>
    <xf numFmtId="196" fontId="5" fillId="69" borderId="177">
      <alignment vertical="center"/>
    </xf>
    <xf numFmtId="4" fontId="72" fillId="49" borderId="199" applyNumberFormat="0" applyProtection="0">
      <alignment horizontal="right" vertical="center"/>
    </xf>
    <xf numFmtId="186" fontId="56" fillId="40" borderId="201" applyNumberFormat="0" applyFont="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4" borderId="191" applyNumberFormat="0" applyProtection="0">
      <alignment horizontal="right" vertical="center"/>
    </xf>
    <xf numFmtId="186" fontId="56" fillId="40" borderId="191"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62" fillId="15" borderId="18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170" applyNumberFormat="0" applyProtection="0">
      <alignment horizontal="right" vertical="center"/>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27" fillId="63" borderId="172" applyNumberFormat="0" applyProtection="0">
      <alignment horizontal="left" vertical="center"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4" fontId="56" fillId="61" borderId="173" applyNumberFormat="0" applyProtection="0">
      <alignment horizontal="left" vertical="center" indent="1"/>
    </xf>
    <xf numFmtId="186" fontId="61" fillId="21" borderId="203" applyBorder="0"/>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5" borderId="191"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4" fontId="56" fillId="60" borderId="201" applyNumberFormat="0" applyProtection="0">
      <alignment horizontal="right" vertical="center"/>
    </xf>
    <xf numFmtId="188" fontId="5" fillId="70" borderId="197">
      <alignment horizontal="right" vertical="center"/>
      <protection locked="0"/>
    </xf>
    <xf numFmtId="172" fontId="5" fillId="7" borderId="197">
      <alignment vertical="center"/>
      <protection locked="0"/>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0" fontId="37" fillId="48" borderId="199" applyNumberFormat="0" applyProtection="0">
      <alignment horizontal="left" vertical="top" indent="1"/>
    </xf>
    <xf numFmtId="0" fontId="5" fillId="69" borderId="177">
      <alignment vertical="center"/>
    </xf>
    <xf numFmtId="4" fontId="56" fillId="61" borderId="205" applyNumberFormat="0" applyProtection="0">
      <alignment horizontal="left" vertical="center" indent="1"/>
    </xf>
    <xf numFmtId="186" fontId="27" fillId="21" borderId="189" applyNumberFormat="0" applyProtection="0">
      <alignment horizontal="left" vertical="top" indent="1"/>
    </xf>
    <xf numFmtId="186" fontId="56" fillId="40" borderId="170" applyNumberFormat="0" applyFont="0" applyAlignment="0" applyProtection="0"/>
    <xf numFmtId="186" fontId="56" fillId="40" borderId="170" applyNumberFormat="0" applyFont="0" applyAlignment="0" applyProtection="0"/>
    <xf numFmtId="188" fontId="5" fillId="7" borderId="177">
      <alignment vertical="center"/>
      <protection locked="0"/>
    </xf>
    <xf numFmtId="0" fontId="5" fillId="69" borderId="177">
      <alignment vertical="center"/>
    </xf>
    <xf numFmtId="190" fontId="5" fillId="70" borderId="177">
      <alignment horizontal="right" vertical="center"/>
      <protection locked="0"/>
    </xf>
    <xf numFmtId="196" fontId="5" fillId="70" borderId="177">
      <alignment horizontal="right" vertical="center"/>
      <protection locked="0"/>
    </xf>
    <xf numFmtId="0" fontId="73" fillId="52" borderId="199" applyNumberFormat="0" applyProtection="0">
      <alignment horizontal="left" vertical="top" indent="1"/>
    </xf>
    <xf numFmtId="4" fontId="70" fillId="53" borderId="199" applyNumberFormat="0" applyProtection="0">
      <alignment vertical="center"/>
    </xf>
    <xf numFmtId="0" fontId="27" fillId="21" borderId="199" applyNumberFormat="0" applyProtection="0">
      <alignment horizontal="left" vertical="top" indent="1"/>
    </xf>
    <xf numFmtId="4" fontId="72" fillId="84" borderId="199" applyNumberFormat="0" applyProtection="0">
      <alignment horizontal="right" vertical="center"/>
    </xf>
    <xf numFmtId="0" fontId="27" fillId="63" borderId="199" applyNumberFormat="0" applyProtection="0">
      <alignment horizontal="left" vertical="top" indent="1"/>
    </xf>
    <xf numFmtId="4" fontId="72" fillId="87" borderId="199" applyNumberFormat="0" applyProtection="0">
      <alignment vertical="center"/>
    </xf>
    <xf numFmtId="186" fontId="56" fillId="14" borderId="199" applyNumberFormat="0" applyProtection="0">
      <alignment horizontal="left" vertical="top" indent="1"/>
    </xf>
    <xf numFmtId="186" fontId="56" fillId="40" borderId="201" applyNumberFormat="0" applyFont="0" applyAlignment="0" applyProtection="0"/>
    <xf numFmtId="4" fontId="76" fillId="87" borderId="199" applyNumberFormat="0" applyProtection="0">
      <alignment horizontal="righ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23" borderId="201" applyNumberFormat="0" applyProtection="0">
      <alignment horizontal="right" vertical="center"/>
    </xf>
    <xf numFmtId="4" fontId="56" fillId="0"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58" borderId="201" applyNumberFormat="0" applyProtection="0">
      <alignment horizontal="right" vertical="center"/>
    </xf>
    <xf numFmtId="186" fontId="62"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4" fontId="56" fillId="56" borderId="201" applyNumberFormat="0" applyProtection="0">
      <alignment horizontal="right" vertical="center"/>
    </xf>
    <xf numFmtId="186" fontId="27" fillId="21" borderId="199" applyNumberFormat="0" applyProtection="0">
      <alignment horizontal="left" vertical="center"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186" fontId="56" fillId="62" borderId="201"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42" fillId="44" borderId="170"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50" fillId="41" borderId="201" applyNumberFormat="0" applyAlignment="0" applyProtection="0"/>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94" fontId="33" fillId="0" borderId="167" applyFill="0"/>
    <xf numFmtId="186" fontId="56" fillId="63" borderId="199" applyNumberFormat="0" applyProtection="0">
      <alignment horizontal="left" vertical="top" indent="1"/>
    </xf>
    <xf numFmtId="4" fontId="56" fillId="58" borderId="201" applyNumberFormat="0" applyProtection="0">
      <alignment horizontal="right" vertical="center"/>
    </xf>
    <xf numFmtId="186" fontId="56" fillId="63" borderId="172"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0" applyNumberFormat="0" applyProtection="0">
      <alignment horizontal="right" vertical="center"/>
    </xf>
    <xf numFmtId="186" fontId="27" fillId="14" borderId="189" applyNumberFormat="0" applyProtection="0">
      <alignment horizontal="left" vertical="center" indent="1"/>
    </xf>
    <xf numFmtId="190" fontId="5" fillId="13" borderId="177">
      <alignment vertical="center"/>
    </xf>
    <xf numFmtId="0" fontId="5" fillId="7" borderId="177">
      <alignment vertical="center"/>
      <protection locked="0"/>
    </xf>
    <xf numFmtId="188" fontId="5" fillId="69" borderId="177">
      <alignment vertical="center"/>
    </xf>
    <xf numFmtId="4" fontId="72" fillId="81" borderId="199"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7" fillId="44" borderId="202" applyNumberFormat="0" applyAlignment="0" applyProtection="0"/>
    <xf numFmtId="164" fontId="5" fillId="0" borderId="0" applyFont="0" applyFill="0" applyBorder="0" applyAlignment="0" applyProtection="0"/>
    <xf numFmtId="4" fontId="56" fillId="59" borderId="201" applyNumberFormat="0" applyProtection="0">
      <alignment horizontal="right" vertical="center"/>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4" fontId="62" fillId="48" borderId="199" applyNumberFormat="0" applyProtection="0">
      <alignment vertical="center"/>
    </xf>
    <xf numFmtId="186" fontId="56" fillId="14" borderId="201"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15" borderId="205" applyNumberFormat="0" applyProtection="0">
      <alignment horizontal="left" vertical="center" indent="1"/>
    </xf>
    <xf numFmtId="4" fontId="56" fillId="59"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61" borderId="205" applyNumberFormat="0" applyProtection="0">
      <alignment horizontal="left" vertical="center" indent="1"/>
    </xf>
    <xf numFmtId="186" fontId="62" fillId="15" borderId="199" applyNumberFormat="0" applyProtection="0">
      <alignment horizontal="left" vertical="top" indent="1"/>
    </xf>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57" borderId="205" applyNumberFormat="0" applyProtection="0">
      <alignment horizontal="right" vertical="center"/>
    </xf>
    <xf numFmtId="186" fontId="56" fillId="63" borderId="199" applyNumberFormat="0" applyProtection="0">
      <alignment horizontal="left" vertical="top" indent="1"/>
    </xf>
    <xf numFmtId="4" fontId="56" fillId="59"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2" borderId="201" applyNumberFormat="0" applyProtection="0">
      <alignment horizontal="left" vertical="center" indent="1"/>
    </xf>
    <xf numFmtId="186" fontId="56" fillId="15" borderId="199" applyNumberFormat="0" applyProtection="0">
      <alignment horizontal="left" vertical="top" indent="1"/>
    </xf>
    <xf numFmtId="4" fontId="59" fillId="53" borderId="201" applyNumberFormat="0" applyProtection="0">
      <alignment vertical="center"/>
    </xf>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27" fillId="21" borderId="19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center" indent="1"/>
    </xf>
    <xf numFmtId="186" fontId="27" fillId="21" borderId="199" applyNumberFormat="0" applyProtection="0">
      <alignment horizontal="left" vertical="top" indent="1"/>
    </xf>
    <xf numFmtId="186" fontId="62" fillId="48"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7" fillId="44" borderId="202" applyNumberFormat="0" applyAlignment="0" applyProtection="0"/>
    <xf numFmtId="186" fontId="60" fillId="52" borderId="199" applyNumberFormat="0" applyProtection="0">
      <alignment horizontal="left" vertical="top" indent="1"/>
    </xf>
    <xf numFmtId="194" fontId="33" fillId="0" borderId="167" applyFill="0"/>
    <xf numFmtId="186" fontId="56" fillId="62" borderId="201" applyNumberFormat="0" applyProtection="0">
      <alignment horizontal="left" vertical="center" indent="1"/>
    </xf>
    <xf numFmtId="186" fontId="56" fillId="21" borderId="199" applyNumberFormat="0" applyProtection="0">
      <alignment horizontal="left" vertical="top" indent="1"/>
    </xf>
    <xf numFmtId="164" fontId="35" fillId="0" borderId="0" applyFont="0" applyFill="0" applyBorder="0" applyAlignment="0" applyProtection="0"/>
    <xf numFmtId="4" fontId="56" fillId="54" borderId="201" applyNumberFormat="0" applyProtection="0">
      <alignment horizontal="left" vertical="center" indent="1"/>
    </xf>
    <xf numFmtId="164" fontId="5" fillId="0" borderId="0" applyFont="0" applyFill="0" applyBorder="0" applyAlignment="0" applyProtection="0"/>
    <xf numFmtId="4" fontId="56" fillId="60" borderId="201" applyNumberFormat="0" applyProtection="0">
      <alignment horizontal="right" vertical="center"/>
    </xf>
    <xf numFmtId="164" fontId="34" fillId="0" borderId="0" applyFont="0" applyFill="0" applyBorder="0" applyAlignment="0" applyProtection="0"/>
    <xf numFmtId="4" fontId="56" fillId="58" borderId="201" applyNumberFormat="0" applyProtection="0">
      <alignment horizontal="right" vertical="center"/>
    </xf>
    <xf numFmtId="186" fontId="56" fillId="63" borderId="199" applyNumberFormat="0" applyProtection="0">
      <alignment horizontal="left" vertical="top" indent="1"/>
    </xf>
    <xf numFmtId="4" fontId="56" fillId="54" borderId="191" applyNumberFormat="0" applyProtection="0">
      <alignment horizontal="left" vertical="center" indent="1"/>
    </xf>
    <xf numFmtId="186" fontId="62" fillId="48" borderId="189" applyNumberFormat="0" applyProtection="0">
      <alignment horizontal="left" vertical="top" indent="1"/>
    </xf>
    <xf numFmtId="194" fontId="33" fillId="0" borderId="198" applyFill="0"/>
    <xf numFmtId="186" fontId="56" fillId="63" borderId="199" applyNumberFormat="0" applyProtection="0">
      <alignment horizontal="left" vertical="top" indent="1"/>
    </xf>
    <xf numFmtId="4" fontId="56" fillId="19" borderId="201" applyNumberFormat="0" applyProtection="0">
      <alignment horizontal="right" vertical="center"/>
    </xf>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56" fillId="11" borderId="201" applyNumberFormat="0" applyProtection="0">
      <alignment horizontal="left" vertical="center" indent="1"/>
    </xf>
    <xf numFmtId="191" fontId="28" fillId="51" borderId="197">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01" applyNumberFormat="0" applyProtection="0">
      <alignmen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21" borderId="199" applyNumberFormat="0" applyProtection="0">
      <alignment horizontal="left" vertical="top" indent="1"/>
    </xf>
    <xf numFmtId="191" fontId="5" fillId="70" borderId="207">
      <alignment horizontal="right" vertical="center"/>
      <protection locked="0"/>
    </xf>
    <xf numFmtId="186" fontId="60" fillId="52" borderId="199" applyNumberFormat="0" applyProtection="0">
      <alignment horizontal="left" vertical="top" indent="1"/>
    </xf>
    <xf numFmtId="186" fontId="56" fillId="63" borderId="199" applyNumberFormat="0" applyProtection="0">
      <alignment horizontal="left" vertical="top" indent="1"/>
    </xf>
    <xf numFmtId="186" fontId="27" fillId="15" borderId="199" applyNumberFormat="0" applyProtection="0">
      <alignment horizontal="left" vertical="center" indent="1"/>
    </xf>
    <xf numFmtId="4" fontId="56" fillId="6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4" fontId="62" fillId="48" borderId="199" applyNumberFormat="0" applyProtection="0">
      <alignment vertical="center"/>
    </xf>
    <xf numFmtId="186" fontId="56" fillId="21" borderId="199" applyNumberFormat="0" applyProtection="0">
      <alignment horizontal="left" vertical="top" indent="1"/>
    </xf>
    <xf numFmtId="4" fontId="62" fillId="48" borderId="199" applyNumberFormat="0" applyProtection="0">
      <alignment vertical="center"/>
    </xf>
    <xf numFmtId="4" fontId="72" fillId="86" borderId="199" applyNumberFormat="0" applyProtection="0">
      <alignment horizontal="right" vertical="center"/>
    </xf>
    <xf numFmtId="4" fontId="56" fillId="53" borderId="191" applyNumberFormat="0" applyProtection="0">
      <alignment horizontal="left" vertical="center" indent="1"/>
    </xf>
    <xf numFmtId="4" fontId="59" fillId="53"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62" fillId="15" borderId="199" applyNumberFormat="0" applyProtection="0">
      <alignment horizontal="left" vertical="top" indent="1"/>
    </xf>
    <xf numFmtId="4" fontId="56" fillId="54" borderId="201" applyNumberFormat="0" applyProtection="0">
      <alignment horizontal="left" vertical="center" indent="1"/>
    </xf>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65" borderId="201" applyNumberFormat="0" applyProtection="0">
      <alignment horizontal="right" vertical="center"/>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55" borderId="201" applyNumberFormat="0" applyProtection="0">
      <alignment horizontal="right" vertical="center"/>
    </xf>
    <xf numFmtId="186" fontId="50" fillId="41" borderId="170" applyNumberFormat="0" applyAlignment="0" applyProtection="0"/>
    <xf numFmtId="186" fontId="61" fillId="21" borderId="203" applyBorder="0"/>
    <xf numFmtId="186" fontId="27" fillId="14" borderId="199" applyNumberFormat="0" applyProtection="0">
      <alignment horizontal="left" vertical="top" indent="1"/>
    </xf>
    <xf numFmtId="4" fontId="56" fillId="60"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7" fillId="44" borderId="202" applyNumberFormat="0" applyAlignment="0" applyProtection="0"/>
    <xf numFmtId="4" fontId="56" fillId="54" borderId="201" applyNumberFormat="0" applyProtection="0">
      <alignment horizontal="left" vertical="center" indent="1"/>
    </xf>
    <xf numFmtId="37" fontId="33" fillId="0" borderId="204" applyNumberFormat="0"/>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44" fillId="0" borderId="206" applyNumberFormat="0" applyFill="0" applyAlignment="0" applyProtection="0"/>
    <xf numFmtId="4" fontId="27" fillId="21" borderId="205" applyNumberFormat="0" applyProtection="0">
      <alignment horizontal="left" vertical="center" indent="1"/>
    </xf>
    <xf numFmtId="4" fontId="56" fillId="60" borderId="201" applyNumberFormat="0" applyProtection="0">
      <alignment horizontal="right" vertical="center"/>
    </xf>
    <xf numFmtId="186" fontId="56" fillId="63" borderId="199" applyNumberFormat="0" applyProtection="0">
      <alignment horizontal="left" vertical="top" indent="1"/>
    </xf>
    <xf numFmtId="4" fontId="59" fillId="65" borderId="201" applyNumberFormat="0" applyProtection="0">
      <alignment horizontal="right" vertical="center"/>
    </xf>
    <xf numFmtId="186" fontId="56" fillId="11"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62" fillId="48"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201" applyNumberFormat="0" applyProtection="0">
      <alignment horizontal="left" vertical="center" indent="1"/>
    </xf>
    <xf numFmtId="4" fontId="56" fillId="15" borderId="201" applyNumberFormat="0" applyProtection="0">
      <alignment horizontal="right" vertical="center"/>
    </xf>
    <xf numFmtId="4" fontId="56" fillId="23"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62" fillId="48" borderId="199"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4" fontId="56" fillId="16" borderId="201" applyNumberFormat="0" applyProtection="0">
      <alignment horizontal="right" vertical="center"/>
    </xf>
    <xf numFmtId="4" fontId="56" fillId="15"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6" fillId="15"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4" fontId="56" fillId="60" borderId="201" applyNumberFormat="0" applyProtection="0">
      <alignment horizontal="right" vertical="center"/>
    </xf>
    <xf numFmtId="186" fontId="60" fillId="52"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4" fontId="56" fillId="14" borderId="205" applyNumberFormat="0" applyProtection="0">
      <alignment horizontal="left" vertical="center" indent="1"/>
    </xf>
    <xf numFmtId="4" fontId="56" fillId="52" borderId="201" applyNumberFormat="0" applyProtection="0">
      <alignment vertical="center"/>
    </xf>
    <xf numFmtId="186" fontId="56" fillId="40" borderId="201" applyNumberFormat="0" applyFont="0" applyAlignment="0" applyProtection="0"/>
    <xf numFmtId="4" fontId="56" fillId="58" borderId="201" applyNumberFormat="0" applyProtection="0">
      <alignment horizontal="right" vertical="center"/>
    </xf>
    <xf numFmtId="4" fontId="62" fillId="48" borderId="199" applyNumberFormat="0" applyProtection="0">
      <alignment vertical="center"/>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01" applyNumberFormat="0" applyAlignment="0" applyProtection="0"/>
    <xf numFmtId="186" fontId="56" fillId="21" borderId="199" applyNumberFormat="0" applyProtection="0">
      <alignment horizontal="left" vertical="top" indent="1"/>
    </xf>
    <xf numFmtId="186" fontId="44" fillId="0" borderId="176" applyNumberFormat="0" applyFill="0" applyAlignment="0" applyProtection="0"/>
    <xf numFmtId="4" fontId="59" fillId="53" borderId="201" applyNumberFormat="0" applyProtection="0">
      <alignment vertical="center"/>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3" borderId="201" applyNumberFormat="0" applyProtection="0">
      <alignment horizontal="left" vertical="center" indent="1"/>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55" borderId="201" applyNumberFormat="0" applyProtection="0">
      <alignment horizontal="right" vertical="center"/>
    </xf>
    <xf numFmtId="186" fontId="27" fillId="21" borderId="199" applyNumberFormat="0" applyProtection="0">
      <alignment horizontal="left" vertical="top" indent="1"/>
    </xf>
    <xf numFmtId="186" fontId="27" fillId="15"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2" fillId="48"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4" fontId="56" fillId="0" borderId="201" applyNumberFormat="0" applyProtection="0">
      <alignment horizontal="right" vertical="center"/>
    </xf>
    <xf numFmtId="4" fontId="56" fillId="52" borderId="201" applyNumberFormat="0" applyProtection="0">
      <alignment vertical="center"/>
    </xf>
    <xf numFmtId="186" fontId="56" fillId="15"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60" borderId="201" applyNumberFormat="0" applyProtection="0">
      <alignment horizontal="right" vertical="center"/>
    </xf>
    <xf numFmtId="186" fontId="44" fillId="0" borderId="206" applyNumberFormat="0" applyFill="0" applyAlignment="0" applyProtection="0"/>
    <xf numFmtId="186" fontId="62" fillId="15" borderId="19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8" borderId="179"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53" borderId="191" applyNumberFormat="0" applyProtection="0">
      <alignment vertical="center"/>
    </xf>
    <xf numFmtId="4" fontId="56" fillId="56" borderId="170" applyNumberFormat="0" applyProtection="0">
      <alignment horizontal="right" vertical="center"/>
    </xf>
    <xf numFmtId="0" fontId="4" fillId="0" borderId="0"/>
    <xf numFmtId="4" fontId="59" fillId="53" borderId="170" applyNumberFormat="0" applyProtection="0">
      <alignment vertical="center"/>
    </xf>
    <xf numFmtId="186" fontId="56" fillId="21" borderId="172" applyNumberFormat="0" applyProtection="0">
      <alignment horizontal="left" vertical="top" indent="1"/>
    </xf>
    <xf numFmtId="9" fontId="4" fillId="0" borderId="0" applyFont="0" applyFill="0" applyBorder="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186" fontId="61" fillId="21" borderId="193" applyBorder="0"/>
    <xf numFmtId="186" fontId="56" fillId="63" borderId="189" applyNumberFormat="0" applyProtection="0">
      <alignment horizontal="left" vertical="top" indent="1"/>
    </xf>
    <xf numFmtId="186" fontId="44" fillId="0" borderId="196" applyNumberFormat="0" applyFill="0" applyAlignment="0" applyProtection="0"/>
    <xf numFmtId="186" fontId="61" fillId="21" borderId="174" applyBorder="0"/>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21" borderId="172" applyNumberFormat="0" applyProtection="0">
      <alignment horizontal="left" vertical="top" indent="1"/>
    </xf>
    <xf numFmtId="186" fontId="56" fillId="62" borderId="201" applyNumberFormat="0" applyProtection="0">
      <alignment horizontal="left" vertical="center" indent="1"/>
    </xf>
    <xf numFmtId="186" fontId="27" fillId="14" borderId="199" applyNumberFormat="0" applyProtection="0">
      <alignment horizontal="left" vertical="top" indent="1"/>
    </xf>
    <xf numFmtId="4" fontId="64" fillId="64" borderId="201" applyNumberFormat="0" applyProtection="0">
      <alignment horizontal="right" vertical="center"/>
    </xf>
    <xf numFmtId="186" fontId="56" fillId="63" borderId="201" applyNumberFormat="0" applyProtection="0">
      <alignment horizontal="left" vertical="center" indent="1"/>
    </xf>
    <xf numFmtId="4" fontId="59" fillId="65" borderId="201" applyNumberFormat="0" applyProtection="0">
      <alignment horizontal="right" vertical="center"/>
    </xf>
    <xf numFmtId="4" fontId="70" fillId="86" borderId="172" applyNumberFormat="0" applyProtection="0">
      <alignment horizontal="left" vertical="center" indent="1"/>
    </xf>
    <xf numFmtId="4" fontId="72" fillId="87" borderId="172" applyNumberFormat="0" applyProtection="0">
      <alignment horizontal="right" vertical="center"/>
    </xf>
    <xf numFmtId="0" fontId="27" fillId="14" borderId="172" applyNumberFormat="0" applyProtection="0">
      <alignment horizontal="left" vertical="center" indent="1"/>
    </xf>
    <xf numFmtId="0" fontId="27" fillId="63" borderId="172" applyNumberFormat="0" applyProtection="0">
      <alignment horizontal="left" vertical="center" indent="1"/>
    </xf>
    <xf numFmtId="0" fontId="27" fillId="15" borderId="172" applyNumberFormat="0" applyProtection="0">
      <alignment horizontal="left" vertical="center" indent="1"/>
    </xf>
    <xf numFmtId="186" fontId="56" fillId="21" borderId="189" applyNumberFormat="0" applyProtection="0">
      <alignment horizontal="left" vertical="top" indent="1"/>
    </xf>
    <xf numFmtId="4" fontId="72" fillId="84" borderId="172" applyNumberFormat="0" applyProtection="0">
      <alignment horizontal="right" vertical="center"/>
    </xf>
    <xf numFmtId="4" fontId="72" fillId="82" borderId="172" applyNumberFormat="0" applyProtection="0">
      <alignment horizontal="right" vertical="center"/>
    </xf>
    <xf numFmtId="4" fontId="56" fillId="54" borderId="191" applyNumberFormat="0" applyProtection="0">
      <alignment horizontal="left" vertical="center" indent="1"/>
    </xf>
    <xf numFmtId="4" fontId="72" fillId="53" borderId="172" applyNumberFormat="0" applyProtection="0">
      <alignment horizontal="left" vertical="center" indent="1"/>
    </xf>
    <xf numFmtId="4" fontId="70" fillId="53" borderId="172"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5" borderId="199" applyNumberFormat="0" applyProtection="0">
      <alignment horizontal="left" vertical="top" indent="1"/>
    </xf>
    <xf numFmtId="186" fontId="57" fillId="44" borderId="192" applyNumberFormat="0" applyAlignment="0" applyProtection="0"/>
    <xf numFmtId="4" fontId="56" fillId="58" borderId="201" applyNumberFormat="0" applyProtection="0">
      <alignment horizontal="right" vertical="center"/>
    </xf>
    <xf numFmtId="186" fontId="56" fillId="15" borderId="199" applyNumberFormat="0" applyProtection="0">
      <alignment horizontal="left" vertical="top" indent="1"/>
    </xf>
    <xf numFmtId="186" fontId="27" fillId="63" borderId="199"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27" fillId="63" borderId="199" applyNumberFormat="0" applyProtection="0">
      <alignment horizontal="left" vertical="top" indent="1"/>
    </xf>
    <xf numFmtId="4" fontId="63" fillId="66" borderId="205" applyNumberFormat="0" applyProtection="0">
      <alignment horizontal="left" vertical="center" indent="1"/>
    </xf>
    <xf numFmtId="186" fontId="27" fillId="15" borderId="199"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27" fillId="15" borderId="172"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28" fillId="51" borderId="197">
      <alignment horizontal="right" vertical="center"/>
      <protection locked="0"/>
    </xf>
    <xf numFmtId="186" fontId="62" fillId="15"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4" fontId="56" fillId="19" borderId="170" applyNumberFormat="0" applyProtection="0">
      <alignment horizontal="right" vertical="center"/>
    </xf>
    <xf numFmtId="4" fontId="56" fillId="53" borderId="170" applyNumberFormat="0" applyProtection="0">
      <alignment horizontal="left" vertical="center" indent="1"/>
    </xf>
    <xf numFmtId="4" fontId="56" fillId="54" borderId="170" applyNumberFormat="0" applyProtection="0">
      <alignment horizontal="left" vertical="center" indent="1"/>
    </xf>
    <xf numFmtId="194" fontId="33" fillId="0" borderId="198" applyFill="0"/>
    <xf numFmtId="172" fontId="28" fillId="12" borderId="197">
      <alignment vertical="center"/>
      <protection locked="0"/>
    </xf>
    <xf numFmtId="186" fontId="57" fillId="44" borderId="171"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63" fillId="66" borderId="173" applyNumberFormat="0" applyProtection="0">
      <alignment horizontal="left" vertical="center" indent="1"/>
    </xf>
    <xf numFmtId="186" fontId="56" fillId="14" borderId="172" applyNumberFormat="0" applyProtection="0">
      <alignment horizontal="left" vertical="top" indent="1"/>
    </xf>
    <xf numFmtId="186" fontId="56" fillId="14" borderId="170"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4"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186" fontId="27" fillId="63" borderId="199" applyNumberFormat="0" applyProtection="0">
      <alignment horizontal="left" vertical="top" indent="1"/>
    </xf>
    <xf numFmtId="186" fontId="56" fillId="21" borderId="199"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1" applyNumberFormat="0" applyProtection="0">
      <alignment horizontal="right" vertical="center"/>
    </xf>
    <xf numFmtId="4" fontId="76" fillId="87" borderId="11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3" borderId="201"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5" applyNumberFormat="0" applyProtection="0">
      <alignment horizontal="left" vertical="center" indent="1"/>
    </xf>
    <xf numFmtId="4" fontId="62" fillId="11" borderId="199" applyNumberFormat="0" applyProtection="0">
      <alignment horizontal="left" vertical="center" indent="1"/>
    </xf>
    <xf numFmtId="4" fontId="56" fillId="55"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117"/>
    <xf numFmtId="37" fontId="33" fillId="0" borderId="115" applyNumberFormat="0"/>
    <xf numFmtId="194" fontId="33" fillId="0" borderId="167" applyFill="0"/>
    <xf numFmtId="186" fontId="56" fillId="14" borderId="172" applyNumberFormat="0" applyProtection="0">
      <alignment horizontal="left" vertical="top" indent="1"/>
    </xf>
    <xf numFmtId="0" fontId="4" fillId="0" borderId="0"/>
    <xf numFmtId="0" fontId="4" fillId="0" borderId="0"/>
    <xf numFmtId="186" fontId="56" fillId="40" borderId="179" applyNumberFormat="0" applyFont="0" applyAlignment="0" applyProtection="0"/>
    <xf numFmtId="164" fontId="5" fillId="0" borderId="0" applyFont="0" applyFill="0" applyBorder="0" applyAlignment="0" applyProtection="0"/>
    <xf numFmtId="4" fontId="56" fillId="53"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2" applyNumberFormat="0" applyProtection="0">
      <alignment horizontal="left" vertical="top" indent="1"/>
    </xf>
    <xf numFmtId="164" fontId="4" fillId="0" borderId="0" applyFont="0" applyFill="0" applyBorder="0" applyAlignment="0" applyProtection="0"/>
    <xf numFmtId="186" fontId="56" fillId="40" borderId="170"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5" borderId="199" applyNumberFormat="0" applyProtection="0">
      <alignment horizontal="left" vertical="top" indent="1"/>
    </xf>
    <xf numFmtId="164" fontId="4" fillId="0" borderId="0" applyFont="0" applyFill="0" applyBorder="0" applyAlignment="0" applyProtection="0"/>
    <xf numFmtId="186" fontId="56" fillId="15" borderId="199" applyNumberFormat="0" applyProtection="0">
      <alignment horizontal="left" vertical="top" indent="1"/>
    </xf>
    <xf numFmtId="186" fontId="56" fillId="14" borderId="172" applyNumberFormat="0" applyProtection="0">
      <alignment horizontal="left" vertical="top" indent="1"/>
    </xf>
    <xf numFmtId="186" fontId="27" fillId="63" borderId="172" applyNumberFormat="0" applyProtection="0">
      <alignment horizontal="left" vertical="center" indent="1"/>
    </xf>
    <xf numFmtId="186" fontId="56" fillId="40" borderId="201" applyNumberFormat="0" applyFont="0" applyAlignment="0" applyProtection="0"/>
    <xf numFmtId="186" fontId="56" fillId="14" borderId="172" applyNumberFormat="0" applyProtection="0">
      <alignment horizontal="left" vertical="top" indent="1"/>
    </xf>
    <xf numFmtId="186" fontId="27" fillId="14" borderId="189" applyNumberFormat="0" applyProtection="0">
      <alignment horizontal="left" vertical="center" indent="1"/>
    </xf>
    <xf numFmtId="186" fontId="56" fillId="63" borderId="199" applyNumberFormat="0" applyProtection="0">
      <alignment horizontal="left" vertical="top" indent="1"/>
    </xf>
    <xf numFmtId="186" fontId="56" fillId="14" borderId="172" applyNumberFormat="0" applyProtection="0">
      <alignment horizontal="left" vertical="top" indent="1"/>
    </xf>
    <xf numFmtId="4" fontId="63" fillId="66" borderId="205" applyNumberFormat="0" applyProtection="0">
      <alignment horizontal="left" vertical="center" indent="1"/>
    </xf>
    <xf numFmtId="164"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86" fontId="56" fillId="40" borderId="170" applyNumberFormat="0" applyFont="0" applyAlignment="0" applyProtection="0"/>
    <xf numFmtId="186" fontId="60" fillId="52" borderId="199" applyNumberFormat="0" applyProtection="0">
      <alignment horizontal="left" vertical="top" indent="1"/>
    </xf>
    <xf numFmtId="4" fontId="56" fillId="0" borderId="170" applyNumberFormat="0" applyProtection="0">
      <alignment horizontal="right" vertical="center"/>
    </xf>
    <xf numFmtId="186" fontId="27" fillId="63" borderId="199" applyNumberFormat="0" applyProtection="0">
      <alignment horizontal="left" vertical="top" indent="1"/>
    </xf>
    <xf numFmtId="164" fontId="4" fillId="0" borderId="0" applyFont="0" applyFill="0" applyBorder="0" applyAlignment="0" applyProtection="0"/>
    <xf numFmtId="4" fontId="56" fillId="61" borderId="205" applyNumberFormat="0" applyProtection="0">
      <alignment horizontal="left" vertical="center" indent="1"/>
    </xf>
    <xf numFmtId="0" fontId="4" fillId="0" borderId="0"/>
    <xf numFmtId="186" fontId="56" fillId="63" borderId="172" applyNumberFormat="0" applyProtection="0">
      <alignment horizontal="left" vertical="top" indent="1"/>
    </xf>
    <xf numFmtId="0" fontId="4" fillId="0" borderId="0"/>
    <xf numFmtId="164" fontId="5" fillId="0" borderId="0" applyFont="0" applyFill="0" applyBorder="0" applyAlignment="0" applyProtection="0"/>
    <xf numFmtId="167"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8" borderId="172" applyNumberFormat="0" applyProtection="0">
      <alignment horizontal="left" vertical="top" indent="1"/>
    </xf>
    <xf numFmtId="164" fontId="4" fillId="0" borderId="0" applyFont="0" applyFill="0" applyBorder="0" applyAlignment="0" applyProtection="0"/>
    <xf numFmtId="186" fontId="56" fillId="40" borderId="170" applyNumberFormat="0" applyFont="0" applyAlignment="0" applyProtection="0"/>
    <xf numFmtId="186" fontId="56" fillId="62" borderId="201" applyNumberFormat="0" applyProtection="0">
      <alignment horizontal="left" vertical="center" indent="1"/>
    </xf>
    <xf numFmtId="164"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9"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8" applyNumberFormat="0">
      <protection locked="0"/>
    </xf>
    <xf numFmtId="186" fontId="56" fillId="40" borderId="109" applyNumberFormat="0" applyFont="0" applyAlignment="0" applyProtection="0"/>
    <xf numFmtId="193" fontId="28" fillId="50" borderId="117">
      <alignment vertical="center"/>
    </xf>
    <xf numFmtId="186" fontId="56" fillId="14" borderId="199" applyNumberFormat="0" applyProtection="0">
      <alignment horizontal="left" vertical="top" indent="1"/>
    </xf>
    <xf numFmtId="186" fontId="56" fillId="40" borderId="170"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2"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186" fontId="28" fillId="49" borderId="8">
      <alignment vertical="center"/>
    </xf>
    <xf numFmtId="186" fontId="28" fillId="50" borderId="8">
      <alignment vertical="center"/>
    </xf>
    <xf numFmtId="186" fontId="56" fillId="63" borderId="170"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8" fontId="5" fillId="70" borderId="177">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9"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9"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70"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93" fontId="5" fillId="69" borderId="177">
      <alignment vertical="center"/>
    </xf>
    <xf numFmtId="186" fontId="56" fillId="15" borderId="199"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70"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1"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1"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1" applyNumberFormat="0" applyProtection="0">
      <alignment horizontal="right" vertical="center"/>
    </xf>
    <xf numFmtId="193" fontId="28" fillId="12" borderId="8">
      <alignment vertical="center"/>
      <protection locked="0"/>
    </xf>
    <xf numFmtId="4" fontId="27" fillId="21" borderId="205"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4" fontId="35" fillId="0" borderId="0" applyFont="0" applyFill="0" applyBorder="0" applyAlignment="0" applyProtection="0"/>
    <xf numFmtId="4" fontId="62" fillId="48" borderId="111" applyNumberFormat="0" applyProtection="0">
      <alignment vertical="center"/>
    </xf>
    <xf numFmtId="186" fontId="56" fillId="21" borderId="172" applyNumberFormat="0" applyProtection="0">
      <alignment horizontal="left" vertical="top" indent="1"/>
    </xf>
    <xf numFmtId="186" fontId="56" fillId="63" borderId="172" applyNumberFormat="0" applyProtection="0">
      <alignment horizontal="left" vertical="top" indent="1"/>
    </xf>
    <xf numFmtId="4" fontId="74" fillId="87" borderId="199"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64"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1"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1"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8" applyNumberFormat="0">
      <protection locked="0"/>
    </xf>
    <xf numFmtId="186" fontId="56" fillId="62" borderId="109" applyNumberFormat="0" applyProtection="0">
      <alignment horizontal="left" vertical="center" indent="1"/>
    </xf>
    <xf numFmtId="191" fontId="5" fillId="69" borderId="177">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1"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4" fontId="35" fillId="0" borderId="0" applyFont="0" applyFill="0" applyBorder="0" applyAlignment="0" applyProtection="0"/>
    <xf numFmtId="186" fontId="42" fillId="44" borderId="109" applyNumberFormat="0" applyAlignment="0" applyProtection="0"/>
    <xf numFmtId="186" fontId="56" fillId="21" borderId="172"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9"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5" applyNumberFormat="0" applyProtection="0">
      <alignment horizontal="left" vertical="center" indent="1"/>
    </xf>
    <xf numFmtId="186" fontId="56" fillId="40" borderId="201" applyNumberFormat="0" applyFont="0" applyAlignment="0" applyProtection="0"/>
    <xf numFmtId="164" fontId="35" fillId="0" borderId="0" applyFont="0" applyFill="0" applyBorder="0" applyAlignment="0" applyProtection="0"/>
    <xf numFmtId="186" fontId="56" fillId="40" borderId="109" applyNumberFormat="0" applyFont="0" applyAlignment="0" applyProtection="0"/>
    <xf numFmtId="4" fontId="27" fillId="21" borderId="195" applyNumberFormat="0" applyProtection="0">
      <alignment horizontal="left" vertical="center" indent="1"/>
    </xf>
    <xf numFmtId="186" fontId="56" fillId="40" borderId="109" applyNumberFormat="0" applyFont="0" applyAlignment="0" applyProtection="0"/>
    <xf numFmtId="186" fontId="42" fillId="44" borderId="201"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9"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9"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4"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4"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1" applyNumberFormat="0" applyProtection="0">
      <alignment vertical="center"/>
    </xf>
    <xf numFmtId="186" fontId="57" fillId="44" borderId="202"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9"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2"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9" applyNumberFormat="0" applyProtection="0">
      <alignment horizontal="left" vertical="center" indent="1"/>
    </xf>
    <xf numFmtId="4" fontId="56" fillId="54" borderId="201" applyNumberFormat="0" applyProtection="0">
      <alignment horizontal="left" vertical="center" indent="1"/>
    </xf>
    <xf numFmtId="186" fontId="56" fillId="40" borderId="109" applyNumberFormat="0" applyFont="0" applyAlignment="0" applyProtection="0"/>
    <xf numFmtId="4" fontId="59" fillId="53" borderId="201"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9"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186" fontId="56" fillId="40" borderId="109" applyNumberFormat="0" applyFont="0" applyAlignment="0" applyProtection="0"/>
    <xf numFmtId="186" fontId="56" fillId="63" borderId="199"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9"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1"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7"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1" applyNumberFormat="0" applyProtection="0">
      <alignment horizontal="right" vertical="center"/>
    </xf>
    <xf numFmtId="186" fontId="57" fillId="44" borderId="110" applyNumberFormat="0" applyAlignment="0" applyProtection="0"/>
    <xf numFmtId="0" fontId="27" fillId="21" borderId="19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5"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1"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9"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7">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1"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1"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7"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4" fontId="35" fillId="0" borderId="0" applyFont="0" applyFill="0" applyBorder="0" applyAlignment="0" applyProtection="0"/>
    <xf numFmtId="4" fontId="62" fillId="48" borderId="111" applyNumberFormat="0" applyProtection="0">
      <alignment vertical="center"/>
    </xf>
    <xf numFmtId="4" fontId="56" fillId="58" borderId="201"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8"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9" applyNumberFormat="0" applyProtection="0">
      <alignment horizontal="left" vertical="top" indent="1"/>
    </xf>
    <xf numFmtId="186" fontId="56" fillId="14" borderId="111" applyNumberFormat="0" applyProtection="0">
      <alignment horizontal="left" vertical="top" indent="1"/>
    </xf>
    <xf numFmtId="186" fontId="56" fillId="63" borderId="199"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7">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5" applyNumberFormat="0" applyProtection="0">
      <alignment horizontal="left" vertical="center" indent="1"/>
    </xf>
    <xf numFmtId="4" fontId="56" fillId="60" borderId="109"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5"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8"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9" applyNumberFormat="0" applyProtection="0">
      <alignment horizontal="right" vertical="center"/>
    </xf>
    <xf numFmtId="188" fontId="5" fillId="70" borderId="19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9"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21" borderId="111" applyNumberFormat="0" applyProtection="0">
      <alignment horizontal="left" vertical="top" indent="1"/>
    </xf>
    <xf numFmtId="4" fontId="56" fillId="55" borderId="201"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9"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8"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1"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9" applyNumberFormat="0" applyProtection="0">
      <alignment horizontal="left" vertical="top" indent="1"/>
    </xf>
    <xf numFmtId="4" fontId="62" fillId="48" borderId="111"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1"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7">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1"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1"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7"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4" fontId="56" fillId="60" borderId="201" applyNumberFormat="0" applyProtection="0">
      <alignment horizontal="right" vertical="center"/>
    </xf>
    <xf numFmtId="4" fontId="56" fillId="0" borderId="109" applyNumberFormat="0" applyProtection="0">
      <alignment horizontal="right" vertical="center"/>
    </xf>
    <xf numFmtId="0" fontId="5" fillId="69" borderId="177">
      <alignment vertical="center"/>
    </xf>
    <xf numFmtId="193" fontId="28" fillId="50" borderId="8">
      <alignment vertical="center"/>
    </xf>
    <xf numFmtId="186" fontId="56" fillId="40" borderId="109" applyNumberFormat="0" applyFont="0" applyAlignment="0" applyProtection="0"/>
    <xf numFmtId="4" fontId="72" fillId="78" borderId="199"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9"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1" applyNumberFormat="0" applyProtection="0">
      <alignment horizontal="right" vertical="center"/>
    </xf>
    <xf numFmtId="191" fontId="28" fillId="49" borderId="117">
      <alignment vertical="center"/>
    </xf>
    <xf numFmtId="186" fontId="44" fillId="0" borderId="176"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9"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1" applyNumberFormat="0" applyAlignment="0" applyProtection="0"/>
    <xf numFmtId="186" fontId="61" fillId="21" borderId="203" applyBorder="0"/>
    <xf numFmtId="4" fontId="56" fillId="23" borderId="201" applyNumberFormat="0" applyProtection="0">
      <alignment horizontal="right" vertical="center"/>
    </xf>
    <xf numFmtId="193" fontId="28" fillId="12" borderId="8">
      <alignment vertical="center"/>
      <protection locked="0"/>
    </xf>
    <xf numFmtId="4" fontId="56" fillId="54" borderId="201"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1" applyNumberFormat="0" applyProtection="0">
      <alignment horizontal="right" vertical="center"/>
    </xf>
    <xf numFmtId="186" fontId="56" fillId="64" borderId="168" applyNumberFormat="0">
      <protection locked="0"/>
    </xf>
    <xf numFmtId="186" fontId="57" fillId="44" borderId="171"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3"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56" fillId="16" borderId="170" applyNumberFormat="0" applyProtection="0">
      <alignment horizontal="right" vertical="center"/>
    </xf>
    <xf numFmtId="4" fontId="56" fillId="53" borderId="201" applyNumberFormat="0" applyProtection="0">
      <alignment horizontal="left" vertical="center" indent="1"/>
    </xf>
    <xf numFmtId="186" fontId="28" fillId="51" borderId="117">
      <alignment horizontal="right" vertical="center"/>
      <protection locked="0"/>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9"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7">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1"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5" applyNumberFormat="0" applyProtection="0">
      <alignment horizontal="left" vertical="center" indent="1"/>
    </xf>
    <xf numFmtId="186" fontId="27" fillId="15" borderId="199"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42" fillId="44" borderId="109" applyNumberFormat="0" applyAlignment="0" applyProtection="0"/>
    <xf numFmtId="186" fontId="50" fillId="41" borderId="201" applyNumberFormat="0" applyAlignment="0" applyProtection="0"/>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186" fontId="27" fillId="63" borderId="172" applyNumberFormat="0" applyProtection="0">
      <alignment horizontal="left" vertical="top" indent="1"/>
    </xf>
    <xf numFmtId="186" fontId="56" fillId="40" borderId="170" applyNumberFormat="0" applyFont="0" applyAlignment="0" applyProtection="0"/>
    <xf numFmtId="4" fontId="72" fillId="79" borderId="199" applyNumberFormat="0" applyProtection="0">
      <alignment horizontal="right" vertical="center"/>
    </xf>
    <xf numFmtId="4" fontId="74" fillId="87" borderId="199" applyNumberFormat="0" applyProtection="0">
      <alignment horizontal="right" vertical="center"/>
    </xf>
    <xf numFmtId="37" fontId="33" fillId="0" borderId="204" applyNumberFormat="0"/>
    <xf numFmtId="4" fontId="56" fillId="56" borderId="201" applyNumberFormat="0" applyProtection="0">
      <alignment horizontal="right" vertical="center"/>
    </xf>
    <xf numFmtId="186" fontId="56" fillId="15" borderId="172" applyNumberFormat="0" applyProtection="0">
      <alignment horizontal="left" vertical="top" indent="1"/>
    </xf>
    <xf numFmtId="186" fontId="56" fillId="14" borderId="199"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186" fontId="56" fillId="64" borderId="168" applyNumberFormat="0">
      <protection locked="0"/>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63" borderId="199" applyNumberFormat="0" applyProtection="0">
      <alignment horizontal="left" vertical="top" indent="1"/>
    </xf>
    <xf numFmtId="4" fontId="70" fillId="85" borderId="169" applyNumberFormat="0" applyProtection="0">
      <alignment horizontal="left" vertical="center" indent="1"/>
    </xf>
    <xf numFmtId="186" fontId="56" fillId="15" borderId="199" applyNumberFormat="0" applyProtection="0">
      <alignment horizontal="left" vertical="top" indent="1"/>
    </xf>
    <xf numFmtId="186" fontId="42" fillId="44" borderId="201"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7">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6" fillId="15" borderId="172" applyNumberFormat="0" applyProtection="0">
      <alignment horizontal="left" vertical="top" indent="1"/>
    </xf>
    <xf numFmtId="186" fontId="56" fillId="21" borderId="199"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7" applyFill="0"/>
    <xf numFmtId="186" fontId="56" fillId="21" borderId="199"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3" applyBorder="0"/>
    <xf numFmtId="4" fontId="56" fillId="54" borderId="109" applyNumberFormat="0" applyProtection="0">
      <alignment horizontal="left" vertical="center" indent="1"/>
    </xf>
    <xf numFmtId="186" fontId="42" fillId="44" borderId="201"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1"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21" borderId="199"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1"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7" applyFill="0"/>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9"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2" applyNumberFormat="0" applyProtection="0">
      <alignment horizontal="left" vertical="top" indent="1"/>
    </xf>
    <xf numFmtId="186" fontId="27" fillId="14" borderId="199" applyNumberFormat="0" applyProtection="0">
      <alignment horizontal="left" vertical="center" indent="1"/>
    </xf>
    <xf numFmtId="190" fontId="5" fillId="13" borderId="117">
      <alignment vertical="center"/>
    </xf>
    <xf numFmtId="186" fontId="56" fillId="21" borderId="199"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9" applyNumberFormat="0" applyProtection="0">
      <alignment horizontal="left" vertical="top" indent="1"/>
    </xf>
    <xf numFmtId="194" fontId="33" fillId="0" borderId="167"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0" fontId="27" fillId="14" borderId="199"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4" fontId="56" fillId="55" borderId="201" applyNumberFormat="0" applyProtection="0">
      <alignment horizontal="right" vertical="center"/>
    </xf>
    <xf numFmtId="186" fontId="56" fillId="15" borderId="172" applyNumberFormat="0" applyProtection="0">
      <alignment horizontal="left" vertical="top" indent="1"/>
    </xf>
    <xf numFmtId="4" fontId="56" fillId="59"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1" applyNumberFormat="0" applyProtection="0">
      <alignment horizontal="right" vertical="center"/>
    </xf>
    <xf numFmtId="188" fontId="28" fillId="50" borderId="8">
      <alignment vertical="center"/>
    </xf>
    <xf numFmtId="4" fontId="56" fillId="54" borderId="201" applyNumberFormat="0" applyProtection="0">
      <alignment horizontal="left" vertical="center" indent="1"/>
    </xf>
    <xf numFmtId="186" fontId="42" fillId="44" borderId="201" applyNumberFormat="0" applyAlignment="0" applyProtection="0"/>
    <xf numFmtId="186" fontId="27" fillId="21" borderId="199" applyNumberFormat="0" applyProtection="0">
      <alignment horizontal="left" vertical="center" indent="1"/>
    </xf>
    <xf numFmtId="0" fontId="27" fillId="21" borderId="199" applyNumberFormat="0" applyProtection="0">
      <alignment horizontal="left" vertical="center" indent="1"/>
    </xf>
    <xf numFmtId="0" fontId="27" fillId="15" borderId="199" applyNumberFormat="0" applyProtection="0">
      <alignment horizontal="left" vertical="top" indent="1"/>
    </xf>
    <xf numFmtId="4" fontId="64" fillId="64" borderId="201" applyNumberFormat="0" applyProtection="0">
      <alignment horizontal="right" vertical="center"/>
    </xf>
    <xf numFmtId="4" fontId="56" fillId="15" borderId="173"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9"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9"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8" applyNumberFormat="0">
      <protection locked="0"/>
    </xf>
    <xf numFmtId="186" fontId="56" fillId="15"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7">
      <alignment vertical="center"/>
    </xf>
    <xf numFmtId="4" fontId="27" fillId="21" borderId="173" applyNumberFormat="0" applyProtection="0">
      <alignment horizontal="left" vertical="center" indent="1"/>
    </xf>
    <xf numFmtId="186" fontId="56" fillId="40" borderId="201" applyNumberFormat="0" applyFont="0" applyAlignment="0" applyProtection="0"/>
    <xf numFmtId="186" fontId="44" fillId="0" borderId="116" applyNumberFormat="0" applyFill="0" applyAlignment="0" applyProtection="0"/>
    <xf numFmtId="186" fontId="42" fillId="44" borderId="170" applyNumberFormat="0" applyAlignment="0" applyProtection="0"/>
    <xf numFmtId="37" fontId="33" fillId="0" borderId="115" applyNumberFormat="0"/>
    <xf numFmtId="186" fontId="42" fillId="44" borderId="109" applyNumberFormat="0" applyAlignment="0" applyProtection="0"/>
    <xf numFmtId="186" fontId="56" fillId="64" borderId="168"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8"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9"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8" applyNumberFormat="0">
      <protection locked="0"/>
    </xf>
    <xf numFmtId="186" fontId="56" fillId="21" borderId="19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56" fillId="14" borderId="199" applyNumberFormat="0" applyProtection="0">
      <alignment horizontal="left" vertical="top" indent="1"/>
    </xf>
    <xf numFmtId="4" fontId="59" fillId="53" borderId="201" applyNumberFormat="0" applyProtection="0">
      <alignment vertical="center"/>
    </xf>
    <xf numFmtId="186" fontId="56" fillId="40" borderId="20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63" borderId="199" applyNumberFormat="0" applyProtection="0">
      <alignment horizontal="left" vertical="top" indent="1"/>
    </xf>
    <xf numFmtId="4" fontId="27" fillId="21" borderId="112" applyNumberFormat="0" applyProtection="0">
      <alignment horizontal="left" vertical="center" indent="1"/>
    </xf>
    <xf numFmtId="186" fontId="50" fillId="41" borderId="201" applyNumberFormat="0" applyAlignment="0" applyProtection="0"/>
    <xf numFmtId="186" fontId="56" fillId="14" borderId="189" applyNumberFormat="0" applyProtection="0">
      <alignment horizontal="left" vertical="top" indent="1"/>
    </xf>
    <xf numFmtId="0" fontId="5" fillId="7" borderId="177">
      <alignment vertical="center"/>
      <protection locked="0"/>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4" fontId="56" fillId="53" borderId="201"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62" fillId="11" borderId="199" applyNumberFormat="0" applyProtection="0">
      <alignment horizontal="left" vertical="center" indent="1"/>
    </xf>
    <xf numFmtId="186" fontId="56" fillId="63" borderId="201" applyNumberFormat="0" applyProtection="0">
      <alignment horizontal="left" vertical="center" indent="1"/>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62" borderId="201" applyNumberFormat="0" applyProtection="0">
      <alignment horizontal="left" vertical="center" indent="1"/>
    </xf>
    <xf numFmtId="186" fontId="56" fillId="14" borderId="201" applyNumberFormat="0" applyProtection="0">
      <alignment horizontal="left" vertical="center" indent="1"/>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61" fillId="21" borderId="203" applyBorder="0"/>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4" fontId="56" fillId="15" borderId="109"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15" borderId="201" applyNumberFormat="0" applyProtection="0">
      <alignment horizontal="right" vertical="center"/>
    </xf>
    <xf numFmtId="4" fontId="56" fillId="54" borderId="201" applyNumberFormat="0" applyProtection="0">
      <alignment horizontal="left" vertical="center" indent="1"/>
    </xf>
    <xf numFmtId="172" fontId="28" fillId="12" borderId="117">
      <alignment vertical="center"/>
      <protection locked="0"/>
    </xf>
    <xf numFmtId="4" fontId="56" fillId="16" borderId="201" applyNumberFormat="0" applyProtection="0">
      <alignment horizontal="right" vertical="center"/>
    </xf>
    <xf numFmtId="4" fontId="27" fillId="21" borderId="112" applyNumberFormat="0" applyProtection="0">
      <alignment horizontal="left" vertical="center" indent="1"/>
    </xf>
    <xf numFmtId="4" fontId="62" fillId="11" borderId="199" applyNumberFormat="0" applyProtection="0">
      <alignment horizontal="left" vertical="center" indent="1"/>
    </xf>
    <xf numFmtId="191" fontId="28" fillId="50" borderId="117">
      <alignment vertical="center"/>
    </xf>
    <xf numFmtId="4" fontId="56" fillId="57" borderId="205"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1"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1" applyNumberFormat="0" applyAlignment="0" applyProtection="0"/>
    <xf numFmtId="186" fontId="27" fillId="15" borderId="199" applyNumberFormat="0" applyProtection="0">
      <alignment horizontal="left" vertical="top" indent="1"/>
    </xf>
    <xf numFmtId="186" fontId="27" fillId="21" borderId="199"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0" fontId="27" fillId="15" borderId="199" applyNumberFormat="0" applyProtection="0">
      <alignment horizontal="left" vertical="center" indent="1"/>
    </xf>
    <xf numFmtId="0" fontId="5" fillId="69" borderId="177">
      <alignment vertical="center"/>
    </xf>
    <xf numFmtId="186" fontId="56" fillId="15" borderId="189" applyNumberFormat="0" applyProtection="0">
      <alignment horizontal="left" vertical="top" indent="1"/>
    </xf>
    <xf numFmtId="186" fontId="56" fillId="63" borderId="111" applyNumberFormat="0" applyProtection="0">
      <alignment horizontal="left" vertical="top" indent="1"/>
    </xf>
    <xf numFmtId="186" fontId="56" fillId="14" borderId="189"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1" applyNumberFormat="0" applyFont="0" applyAlignment="0" applyProtection="0"/>
    <xf numFmtId="191" fontId="28" fillId="51" borderId="8">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14" borderId="205" applyNumberFormat="0" applyProtection="0">
      <alignment horizontal="left" vertical="center" indent="1"/>
    </xf>
    <xf numFmtId="186" fontId="56" fillId="21" borderId="111" applyNumberFormat="0" applyProtection="0">
      <alignment horizontal="left" vertical="top" indent="1"/>
    </xf>
    <xf numFmtId="186" fontId="56" fillId="63"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4"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1" applyNumberFormat="0" applyAlignment="0" applyProtection="0"/>
    <xf numFmtId="186" fontId="56" fillId="62" borderId="201" applyNumberFormat="0" applyProtection="0">
      <alignment horizontal="left" vertical="center" indent="1"/>
    </xf>
    <xf numFmtId="186" fontId="61" fillId="21" borderId="114" applyBorder="0"/>
    <xf numFmtId="4" fontId="59" fillId="53" borderId="201" applyNumberFormat="0" applyProtection="0">
      <alignment vertical="center"/>
    </xf>
    <xf numFmtId="37" fontId="33" fillId="0" borderId="115" applyNumberFormat="0"/>
    <xf numFmtId="194" fontId="33" fillId="0" borderId="167" applyFill="0"/>
    <xf numFmtId="186" fontId="61" fillId="21" borderId="114" applyBorder="0"/>
    <xf numFmtId="186" fontId="56" fillId="64" borderId="168"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7">
      <alignment vertical="center"/>
      <protection locked="0"/>
    </xf>
    <xf numFmtId="4" fontId="64" fillId="64" borderId="109" applyNumberFormat="0" applyProtection="0">
      <alignment horizontal="right" vertical="center"/>
    </xf>
    <xf numFmtId="186" fontId="42" fillId="44" borderId="201" applyNumberFormat="0" applyAlignment="0" applyProtection="0"/>
    <xf numFmtId="191" fontId="5" fillId="70" borderId="117">
      <alignment horizontal="right" vertical="center"/>
      <protection locked="0"/>
    </xf>
    <xf numFmtId="0" fontId="27" fillId="14" borderId="199"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9" applyNumberFormat="0" applyProtection="0">
      <alignment horizontal="left" vertical="top" indent="1"/>
    </xf>
    <xf numFmtId="186" fontId="57" fillId="44" borderId="110" applyNumberFormat="0" applyAlignment="0" applyProtection="0"/>
    <xf numFmtId="186" fontId="56" fillId="14" borderId="199"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1"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8"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1" applyNumberFormat="0" applyProtection="0">
      <alignment horizontal="right" vertical="center"/>
    </xf>
    <xf numFmtId="186" fontId="56" fillId="21" borderId="111"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62" borderId="201" applyNumberFormat="0" applyProtection="0">
      <alignment horizontal="left" vertical="center" indent="1"/>
    </xf>
    <xf numFmtId="4" fontId="56" fillId="60"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3" fontId="28" fillId="50" borderId="117">
      <alignment vertical="center"/>
    </xf>
    <xf numFmtId="4" fontId="72" fillId="53" borderId="199" applyNumberFormat="0" applyProtection="0">
      <alignment horizontal="left" vertical="center" indent="1"/>
    </xf>
    <xf numFmtId="193" fontId="5" fillId="69" borderId="177">
      <alignment vertical="center"/>
    </xf>
    <xf numFmtId="188" fontId="5" fillId="69" borderId="177">
      <alignment vertical="center"/>
    </xf>
    <xf numFmtId="4" fontId="62" fillId="48" borderId="189" applyNumberFormat="0" applyProtection="0">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27" fillId="21" borderId="172" applyNumberFormat="0" applyProtection="0">
      <alignment horizontal="left" vertical="top" indent="1"/>
    </xf>
    <xf numFmtId="186" fontId="56" fillId="63" borderId="172"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1" applyNumberFormat="0" applyAlignment="0" applyProtection="0"/>
    <xf numFmtId="164"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1" applyNumberFormat="0" applyAlignment="0" applyProtection="0"/>
    <xf numFmtId="186" fontId="56" fillId="40" borderId="201" applyNumberFormat="0" applyFont="0" applyAlignment="0" applyProtection="0"/>
    <xf numFmtId="4" fontId="63" fillId="66" borderId="205" applyNumberFormat="0" applyProtection="0">
      <alignment horizontal="left" vertical="center" indent="1"/>
    </xf>
    <xf numFmtId="4" fontId="56" fillId="52" borderId="201" applyNumberFormat="0" applyProtection="0">
      <alignment vertical="center"/>
    </xf>
    <xf numFmtId="186" fontId="56" fillId="64" borderId="168" applyNumberFormat="0">
      <protection locked="0"/>
    </xf>
    <xf numFmtId="186" fontId="56" fillId="64" borderId="168" applyNumberFormat="0">
      <protection locked="0"/>
    </xf>
    <xf numFmtId="186" fontId="42" fillId="44" borderId="170"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4" fontId="56" fillId="0" borderId="201"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2" applyNumberFormat="0" applyAlignment="0" applyProtection="0"/>
    <xf numFmtId="186" fontId="42" fillId="44" borderId="109"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4" fontId="56" fillId="54" borderId="201" applyNumberFormat="0" applyProtection="0">
      <alignment horizontal="left" vertical="center" indent="1"/>
    </xf>
    <xf numFmtId="186" fontId="27" fillId="21" borderId="199" applyNumberFormat="0" applyProtection="0">
      <alignment horizontal="left" vertical="center" indent="1"/>
    </xf>
    <xf numFmtId="188" fontId="28" fillId="49" borderId="117">
      <alignment vertical="center"/>
    </xf>
    <xf numFmtId="4" fontId="56" fillId="56" borderId="201" applyNumberFormat="0" applyProtection="0">
      <alignment horizontal="right" vertical="center"/>
    </xf>
    <xf numFmtId="186" fontId="56" fillId="40" borderId="191" applyNumberFormat="0" applyFont="0" applyAlignment="0" applyProtection="0"/>
    <xf numFmtId="4" fontId="56" fillId="61" borderId="205" applyNumberFormat="0" applyProtection="0">
      <alignment horizontal="left" vertical="center" indent="1"/>
    </xf>
    <xf numFmtId="4" fontId="56" fillId="19"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63" borderId="189"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56" fillId="15" borderId="199" applyNumberFormat="0" applyProtection="0">
      <alignment horizontal="left" vertical="top" indent="1"/>
    </xf>
    <xf numFmtId="4" fontId="72" fillId="83" borderId="199" applyNumberFormat="0" applyProtection="0">
      <alignment horizontal="right" vertical="center"/>
    </xf>
    <xf numFmtId="191" fontId="5" fillId="7" borderId="177">
      <alignment vertical="center"/>
      <protection locked="0"/>
    </xf>
    <xf numFmtId="4" fontId="27" fillId="21" borderId="173" applyNumberFormat="0" applyProtection="0">
      <alignment horizontal="left" vertical="center" indent="1"/>
    </xf>
    <xf numFmtId="186" fontId="56" fillId="21" borderId="172"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11" borderId="201" applyNumberFormat="0" applyProtection="0">
      <alignment horizontal="left" vertical="center" indent="1"/>
    </xf>
    <xf numFmtId="186" fontId="57" fillId="44" borderId="202" applyNumberFormat="0" applyAlignment="0" applyProtection="0"/>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27" fillId="63" borderId="199"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1"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3" applyBorder="0"/>
    <xf numFmtId="186" fontId="56" fillId="15" borderId="199" applyNumberFormat="0" applyProtection="0">
      <alignment horizontal="left" vertical="top" indent="1"/>
    </xf>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4" fontId="70" fillId="86" borderId="200"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186" fontId="56" fillId="14" borderId="189" applyNumberFormat="0" applyProtection="0">
      <alignment horizontal="left" vertical="top" indent="1"/>
    </xf>
    <xf numFmtId="190" fontId="5" fillId="70" borderId="197">
      <alignment horizontal="right" vertical="center"/>
      <protection locked="0"/>
    </xf>
    <xf numFmtId="186" fontId="56" fillId="15" borderId="189" applyNumberFormat="0" applyProtection="0">
      <alignment horizontal="left" vertical="top" indent="1"/>
    </xf>
    <xf numFmtId="4" fontId="62" fillId="48" borderId="189" applyNumberFormat="0" applyProtection="0">
      <alignment vertical="center"/>
    </xf>
    <xf numFmtId="4" fontId="56" fillId="58" borderId="170" applyNumberFormat="0" applyProtection="0">
      <alignment horizontal="right" vertical="center"/>
    </xf>
    <xf numFmtId="186" fontId="56" fillId="21" borderId="199" applyNumberFormat="0" applyProtection="0">
      <alignment horizontal="left" vertical="top" indent="1"/>
    </xf>
    <xf numFmtId="4" fontId="62" fillId="48" borderId="199" applyNumberFormat="0" applyProtection="0">
      <alignment vertical="center"/>
    </xf>
    <xf numFmtId="186" fontId="56" fillId="64" borderId="168"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6"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86" fontId="56"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1"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1"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1" applyNumberFormat="0" applyFont="0" applyAlignment="0" applyProtection="0"/>
    <xf numFmtId="172" fontId="28" fillId="12" borderId="8">
      <alignment vertical="center"/>
      <protection locked="0"/>
    </xf>
    <xf numFmtId="186" fontId="56" fillId="40" borderId="201"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2" applyNumberFormat="0" applyAlignment="0" applyProtection="0"/>
    <xf numFmtId="186" fontId="56" fillId="15" borderId="199"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9" applyNumberFormat="0" applyProtection="0">
      <alignment horizontal="left" vertical="top" indent="1"/>
    </xf>
    <xf numFmtId="4" fontId="56" fillId="23" borderId="201" applyNumberFormat="0" applyProtection="0">
      <alignment horizontal="righ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60" borderId="201" applyNumberFormat="0" applyProtection="0">
      <alignment horizontal="right" vertical="center"/>
    </xf>
    <xf numFmtId="4" fontId="56" fillId="52" borderId="201" applyNumberFormat="0" applyProtection="0">
      <alignmen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42" fillId="44" borderId="201" applyNumberFormat="0" applyAlignment="0" applyProtection="0"/>
    <xf numFmtId="4" fontId="56" fillId="16" borderId="191" applyNumberFormat="0" applyProtection="0">
      <alignment horizontal="right" vertical="center"/>
    </xf>
    <xf numFmtId="186" fontId="56" fillId="62" borderId="201" applyNumberFormat="0" applyProtection="0">
      <alignment horizontal="left" vertical="center" indent="1"/>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44" fillId="0" borderId="206" applyNumberFormat="0" applyFill="0" applyAlignment="0" applyProtection="0"/>
    <xf numFmtId="186" fontId="56" fillId="21" borderId="199" applyNumberFormat="0" applyProtection="0">
      <alignment horizontal="left" vertical="top" indent="1"/>
    </xf>
    <xf numFmtId="188" fontId="28" fillId="50" borderId="207">
      <alignment vertical="center"/>
    </xf>
    <xf numFmtId="4" fontId="56" fillId="52" borderId="201" applyNumberFormat="0" applyProtection="0">
      <alignment vertical="center"/>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right" vertical="center"/>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0" borderId="201" applyNumberFormat="0" applyProtection="0">
      <alignment horizontal="right" vertical="center"/>
    </xf>
    <xf numFmtId="186" fontId="56" fillId="40" borderId="201" applyNumberFormat="0" applyFont="0" applyAlignment="0" applyProtection="0"/>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4" fontId="56" fillId="57" borderId="205"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4" fontId="56" fillId="14" borderId="205"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56" borderId="201" applyNumberFormat="0" applyProtection="0">
      <alignment horizontal="right" vertical="center"/>
    </xf>
    <xf numFmtId="186" fontId="56" fillId="40" borderId="201" applyNumberFormat="0" applyFont="0" applyAlignment="0" applyProtection="0"/>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201" applyNumberFormat="0" applyProtection="0">
      <alignment horizontal="left" vertical="center" indent="1"/>
    </xf>
    <xf numFmtId="4" fontId="56" fillId="15" borderId="205" applyNumberFormat="0" applyProtection="0">
      <alignment horizontal="left" vertical="center" indent="1"/>
    </xf>
    <xf numFmtId="186" fontId="27" fillId="63" borderId="199"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61" borderId="112" applyNumberFormat="0" applyProtection="0">
      <alignment horizontal="left" vertical="center"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8"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8"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8"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186" fontId="61" fillId="21" borderId="203" applyBorder="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3" borderId="201" applyNumberFormat="0" applyProtection="0">
      <alignment horizontal="left" vertical="center" indent="1"/>
    </xf>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54" borderId="201"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186" fontId="27" fillId="15" borderId="199" applyNumberFormat="0" applyProtection="0">
      <alignment horizontal="left" vertical="center" indent="1"/>
    </xf>
    <xf numFmtId="4" fontId="56" fillId="59" borderId="201" applyNumberFormat="0" applyProtection="0">
      <alignment horizontal="right" vertical="center"/>
    </xf>
    <xf numFmtId="4" fontId="62" fillId="11" borderId="199" applyNumberFormat="0" applyProtection="0">
      <alignment horizontal="left" vertical="center" indent="1"/>
    </xf>
    <xf numFmtId="4" fontId="56" fillId="56" borderId="201" applyNumberFormat="0" applyProtection="0">
      <alignment horizontal="righ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4" fontId="56" fillId="16" borderId="201" applyNumberFormat="0" applyProtection="0">
      <alignment horizontal="right" vertical="center"/>
    </xf>
    <xf numFmtId="4" fontId="56" fillId="57" borderId="205" applyNumberFormat="0" applyProtection="0">
      <alignment horizontal="right" vertical="center"/>
    </xf>
    <xf numFmtId="4" fontId="63" fillId="66" borderId="205"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61" fillId="21" borderId="203" applyBorder="0"/>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186" fontId="61" fillId="21" borderId="203" applyBorder="0"/>
    <xf numFmtId="4" fontId="56" fillId="55" borderId="201" applyNumberFormat="0" applyProtection="0">
      <alignment horizontal="right" vertical="center"/>
    </xf>
    <xf numFmtId="186" fontId="27" fillId="63"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62" fillId="15" borderId="189"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4" borderId="168"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37" fontId="33" fillId="0" borderId="115" applyNumberFormat="0"/>
    <xf numFmtId="194" fontId="33" fillId="0" borderId="167"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8"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8" applyNumberFormat="0">
      <protection locked="0"/>
    </xf>
    <xf numFmtId="186" fontId="56" fillId="64" borderId="168" applyNumberFormat="0">
      <protection locked="0"/>
    </xf>
    <xf numFmtId="4" fontId="70" fillId="85" borderId="169"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1" applyNumberFormat="0" applyProtection="0">
      <alignment horizontal="right" vertical="center"/>
    </xf>
    <xf numFmtId="164" fontId="69" fillId="0" borderId="0" applyFont="0" applyFill="0" applyBorder="0" applyAlignment="0" applyProtection="0"/>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0" fontId="4" fillId="0" borderId="0"/>
    <xf numFmtId="164" fontId="5" fillId="0" borderId="0" applyFont="0" applyFill="0" applyBorder="0" applyAlignment="0" applyProtection="0"/>
    <xf numFmtId="186" fontId="56" fillId="63" borderId="189" applyNumberFormat="0" applyProtection="0">
      <alignment horizontal="left" vertical="top" indent="1"/>
    </xf>
    <xf numFmtId="193" fontId="5" fillId="7" borderId="177">
      <alignment vertical="center"/>
      <protection locked="0"/>
    </xf>
    <xf numFmtId="186" fontId="56" fillId="40" borderId="201" applyNumberFormat="0" applyFont="0" applyAlignment="0" applyProtection="0"/>
    <xf numFmtId="186" fontId="56" fillId="21" borderId="189" applyNumberFormat="0" applyProtection="0">
      <alignment horizontal="left" vertical="top" indent="1"/>
    </xf>
    <xf numFmtId="4" fontId="56" fillId="0" borderId="201" applyNumberFormat="0" applyProtection="0">
      <alignment horizontal="right" vertical="center"/>
    </xf>
    <xf numFmtId="186" fontId="27" fillId="63" borderId="199" applyNumberFormat="0" applyProtection="0">
      <alignment horizontal="left" vertical="center"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86" fontId="56" fillId="21" borderId="172"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21" borderId="172" applyNumberFormat="0" applyProtection="0">
      <alignment horizontal="left" vertical="top" indent="1"/>
    </xf>
    <xf numFmtId="186" fontId="56" fillId="63" borderId="199" applyNumberFormat="0" applyProtection="0">
      <alignment horizontal="left" vertical="top" indent="1"/>
    </xf>
    <xf numFmtId="186" fontId="27" fillId="21" borderId="172" applyNumberFormat="0" applyProtection="0">
      <alignment horizontal="left" vertical="center" indent="1"/>
    </xf>
    <xf numFmtId="186" fontId="56" fillId="14" borderId="201" applyNumberFormat="0" applyProtection="0">
      <alignment horizontal="left" vertical="center" indent="1"/>
    </xf>
    <xf numFmtId="186" fontId="56" fillId="40" borderId="170" applyNumberFormat="0" applyFont="0" applyAlignment="0" applyProtection="0"/>
    <xf numFmtId="186" fontId="56" fillId="15" borderId="199" applyNumberFormat="0" applyProtection="0">
      <alignment horizontal="left" vertical="top" indent="1"/>
    </xf>
    <xf numFmtId="4" fontId="72" fillId="86" borderId="172" applyNumberFormat="0" applyProtection="0">
      <alignment horizontal="right" vertical="center"/>
    </xf>
    <xf numFmtId="186" fontId="56" fillId="40" borderId="170" applyNumberFormat="0" applyFont="0" applyAlignment="0" applyProtection="0"/>
    <xf numFmtId="186" fontId="56" fillId="21" borderId="199" applyNumberFormat="0" applyProtection="0">
      <alignment horizontal="left" vertical="top" indent="1"/>
    </xf>
    <xf numFmtId="4" fontId="72" fillId="79" borderId="172" applyNumberFormat="0" applyProtection="0">
      <alignment horizontal="right" vertical="center"/>
    </xf>
    <xf numFmtId="186" fontId="56" fillId="40" borderId="170" applyNumberFormat="0" applyFont="0" applyAlignment="0" applyProtection="0"/>
    <xf numFmtId="186" fontId="56" fillId="14" borderId="199"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3" borderId="8">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4"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4" fontId="5" fillId="0" borderId="0" applyFont="0" applyFill="0" applyBorder="0" applyAlignment="0" applyProtection="0"/>
    <xf numFmtId="186" fontId="56" fillId="14" borderId="111" applyNumberFormat="0" applyProtection="0">
      <alignment horizontal="left" vertical="top" indent="1"/>
    </xf>
    <xf numFmtId="164"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4"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111"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4"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4"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4"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4"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4"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4"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4"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4"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4" fontId="35" fillId="0" borderId="0" applyFont="0" applyFill="0" applyBorder="0" applyAlignment="0" applyProtection="0"/>
    <xf numFmtId="4" fontId="56" fillId="23" borderId="109" applyNumberFormat="0" applyProtection="0">
      <alignment horizontal="right" vertical="center"/>
    </xf>
    <xf numFmtId="164"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4"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4"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4"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164" fontId="5" fillId="0" borderId="0" applyFont="0" applyFill="0" applyBorder="0" applyAlignment="0" applyProtection="0"/>
    <xf numFmtId="0" fontId="4" fillId="0" borderId="0"/>
    <xf numFmtId="0" fontId="5" fillId="7" borderId="177">
      <alignment vertical="center"/>
      <protection locked="0"/>
    </xf>
    <xf numFmtId="193" fontId="5" fillId="69" borderId="177">
      <alignment vertical="center"/>
    </xf>
    <xf numFmtId="186" fontId="57" fillId="44" borderId="202" applyNumberFormat="0" applyAlignment="0" applyProtection="0"/>
    <xf numFmtId="186" fontId="56" fillId="63" borderId="189" applyNumberFormat="0" applyProtection="0">
      <alignment horizontal="left" vertical="top" indent="1"/>
    </xf>
    <xf numFmtId="191" fontId="5" fillId="70" borderId="197">
      <alignment horizontal="right" vertical="center"/>
      <protection locked="0"/>
    </xf>
    <xf numFmtId="4" fontId="59" fillId="65" borderId="201" applyNumberFormat="0" applyProtection="0">
      <alignment horizontal="right" vertical="center"/>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0" fontId="4" fillId="103" borderId="165" applyNumberFormat="0" applyFont="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9"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1" applyNumberFormat="0" applyProtection="0">
      <alignment horizontal="right" vertical="center"/>
    </xf>
    <xf numFmtId="4" fontId="74" fillId="87" borderId="172"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9" applyNumberFormat="0" applyProtection="0">
      <alignment horizontal="left" vertical="top" indent="1"/>
    </xf>
    <xf numFmtId="4" fontId="72" fillId="50" borderId="172"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9" applyNumberFormat="0" applyProtection="0">
      <alignment horizontal="left" vertical="top" indent="1"/>
    </xf>
    <xf numFmtId="4" fontId="56" fillId="52" borderId="191"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9" applyNumberFormat="0" applyProtection="0">
      <alignment horizontal="left" vertical="top" indent="1"/>
    </xf>
    <xf numFmtId="186" fontId="62" fillId="15" borderId="172"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27" fillId="21" borderId="199" applyNumberFormat="0" applyProtection="0">
      <alignment horizontal="left" vertical="center" indent="1"/>
    </xf>
    <xf numFmtId="186" fontId="50" fillId="41" borderId="170" applyNumberFormat="0" applyAlignment="0" applyProtection="0"/>
    <xf numFmtId="186" fontId="56" fillId="63" borderId="199" applyNumberFormat="0" applyProtection="0">
      <alignment horizontal="left" vertical="top" indent="1"/>
    </xf>
    <xf numFmtId="4" fontId="59" fillId="53" borderId="201" applyNumberFormat="0" applyProtection="0">
      <alignment vertical="center"/>
    </xf>
    <xf numFmtId="4" fontId="63" fillId="66" borderId="205" applyNumberFormat="0" applyProtection="0">
      <alignment horizontal="left" vertical="center" indent="1"/>
    </xf>
    <xf numFmtId="186" fontId="56" fillId="63" borderId="199" applyNumberFormat="0" applyProtection="0">
      <alignment horizontal="left" vertical="top" indent="1"/>
    </xf>
    <xf numFmtId="4" fontId="56" fillId="57" borderId="205"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42" fillId="44" borderId="170" applyNumberFormat="0" applyAlignment="0" applyProtection="0"/>
    <xf numFmtId="0" fontId="27" fillId="21" borderId="172" applyNumberFormat="0" applyProtection="0">
      <alignment horizontal="left" vertical="center" indent="1"/>
    </xf>
    <xf numFmtId="4" fontId="72" fillId="49" borderId="172" applyNumberFormat="0" applyProtection="0">
      <alignment horizontal="right" vertical="center"/>
    </xf>
    <xf numFmtId="186" fontId="56" fillId="21" borderId="189" applyNumberFormat="0" applyProtection="0">
      <alignment horizontal="left" vertical="top" indent="1"/>
    </xf>
    <xf numFmtId="186" fontId="42" fillId="44"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4" borderId="191" applyNumberFormat="0" applyProtection="0">
      <alignment horizontal="right" vertical="center"/>
    </xf>
    <xf numFmtId="172" fontId="5" fillId="7" borderId="177">
      <alignment vertical="center"/>
      <protection locked="0"/>
    </xf>
    <xf numFmtId="191" fontId="28" fillId="50" borderId="177">
      <alignment vertical="center"/>
    </xf>
    <xf numFmtId="186" fontId="50" fillId="41" borderId="109" applyNumberFormat="0" applyAlignment="0" applyProtection="0"/>
    <xf numFmtId="186" fontId="27" fillId="15" borderId="199" applyNumberFormat="0" applyProtection="0">
      <alignment horizontal="left" vertical="top" indent="1"/>
    </xf>
    <xf numFmtId="186" fontId="42" fillId="44" borderId="201" applyNumberFormat="0" applyAlignment="0" applyProtection="0"/>
    <xf numFmtId="186" fontId="56" fillId="62" borderId="170" applyNumberFormat="0" applyProtection="0">
      <alignment horizontal="left" vertical="center" indent="1"/>
    </xf>
    <xf numFmtId="186" fontId="56" fillId="40" borderId="109" applyNumberFormat="0" applyFont="0" applyAlignment="0" applyProtection="0"/>
    <xf numFmtId="0" fontId="4" fillId="0" borderId="0"/>
    <xf numFmtId="164" fontId="5" fillId="0" borderId="0" applyFont="0" applyFill="0" applyBorder="0" applyAlignment="0" applyProtection="0"/>
    <xf numFmtId="186" fontId="56" fillId="14" borderId="18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2" applyNumberFormat="0" applyProtection="0">
      <alignment horizontal="left" vertical="top" indent="1"/>
    </xf>
    <xf numFmtId="186" fontId="27" fillId="14"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99" applyFill="0"/>
    <xf numFmtId="164"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4" fontId="35" fillId="0" borderId="0" applyFont="0" applyFill="0" applyBorder="0" applyAlignment="0" applyProtection="0"/>
    <xf numFmtId="164" fontId="27" fillId="0" borderId="0" applyFont="0" applyFill="0" applyBorder="0" applyAlignment="0" applyProtection="0"/>
    <xf numFmtId="191" fontId="28" fillId="12" borderId="186">
      <alignment vertical="center"/>
      <protection locked="0"/>
    </xf>
    <xf numFmtId="186" fontId="56" fillId="63" borderId="179" applyNumberFormat="0" applyProtection="0">
      <alignment horizontal="left" vertical="center" indent="1"/>
    </xf>
    <xf numFmtId="4" fontId="59" fillId="53" borderId="179" applyNumberFormat="0" applyProtection="0">
      <alignment vertical="center"/>
    </xf>
    <xf numFmtId="186" fontId="62" fillId="48" borderId="181" applyNumberFormat="0" applyProtection="0">
      <alignment horizontal="left" vertical="top" indent="1"/>
    </xf>
    <xf numFmtId="186" fontId="57" fillId="44" borderId="180" applyNumberFormat="0" applyAlignment="0" applyProtection="0"/>
    <xf numFmtId="4" fontId="56" fillId="23" borderId="179" applyNumberFormat="0" applyProtection="0">
      <alignment horizontal="right" vertical="center"/>
    </xf>
    <xf numFmtId="186" fontId="56" fillId="14" borderId="181" applyNumberFormat="0" applyProtection="0">
      <alignment horizontal="left" vertical="top" indent="1"/>
    </xf>
    <xf numFmtId="4" fontId="63" fillId="66" borderId="182" applyNumberFormat="0" applyProtection="0">
      <alignment horizontal="left" vertical="center" indent="1"/>
    </xf>
    <xf numFmtId="0" fontId="5" fillId="13" borderId="186">
      <alignment vertical="center"/>
    </xf>
    <xf numFmtId="186" fontId="42" fillId="44" borderId="179" applyNumberFormat="0" applyAlignment="0" applyProtection="0"/>
    <xf numFmtId="37" fontId="33" fillId="0" borderId="184" applyNumberFormat="0"/>
    <xf numFmtId="191" fontId="28" fillId="50" borderId="197">
      <alignment vertical="center"/>
    </xf>
    <xf numFmtId="186" fontId="56" fillId="63" borderId="179" applyNumberFormat="0" applyProtection="0">
      <alignment horizontal="left" vertical="center" indent="1"/>
    </xf>
    <xf numFmtId="186" fontId="28" fillId="50" borderId="197">
      <alignment vertical="center"/>
    </xf>
    <xf numFmtId="4" fontId="56" fillId="60"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186" fontId="56" fillId="40" borderId="191" applyNumberFormat="0" applyFont="0" applyAlignment="0" applyProtection="0"/>
    <xf numFmtId="186" fontId="27" fillId="15" borderId="181" applyNumberFormat="0" applyProtection="0">
      <alignment horizontal="left" vertical="top"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72" fontId="28" fillId="12" borderId="197">
      <alignment vertical="center"/>
      <protection locked="0"/>
    </xf>
    <xf numFmtId="186" fontId="56" fillId="63" borderId="181" applyNumberFormat="0" applyProtection="0">
      <alignment horizontal="left" vertical="top" indent="1"/>
    </xf>
    <xf numFmtId="186" fontId="27" fillId="15" borderId="181" applyNumberFormat="0" applyProtection="0">
      <alignment horizontal="left" vertical="top" indent="1"/>
    </xf>
    <xf numFmtId="4" fontId="59" fillId="53" borderId="179" applyNumberFormat="0" applyProtection="0">
      <alignment vertical="center"/>
    </xf>
    <xf numFmtId="186" fontId="62" fillId="48" borderId="181" applyNumberFormat="0" applyProtection="0">
      <alignment horizontal="left" vertical="top" indent="1"/>
    </xf>
    <xf numFmtId="196" fontId="5" fillId="69" borderId="186">
      <alignment vertical="center"/>
    </xf>
    <xf numFmtId="4" fontId="56" fillId="16" borderId="19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0" fontId="5" fillId="70" borderId="177">
      <alignment horizontal="right" vertical="center"/>
      <protection locked="0"/>
    </xf>
    <xf numFmtId="193" fontId="28" fillId="12" borderId="197">
      <alignment vertical="center"/>
      <protection locked="0"/>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27" fillId="15" borderId="189" applyNumberFormat="0" applyProtection="0">
      <alignment horizontal="left" vertical="top" indent="1"/>
    </xf>
    <xf numFmtId="186" fontId="56" fillId="63" borderId="191" applyNumberFormat="0" applyProtection="0">
      <alignment horizontal="left" vertical="center" indent="1"/>
    </xf>
    <xf numFmtId="4" fontId="27" fillId="21" borderId="205" applyNumberFormat="0" applyProtection="0">
      <alignment horizontal="left" vertical="center" indent="1"/>
    </xf>
    <xf numFmtId="186" fontId="56" fillId="40" borderId="191" applyNumberFormat="0" applyFont="0" applyAlignment="0" applyProtection="0"/>
    <xf numFmtId="186" fontId="56" fillId="11" borderId="201" applyNumberFormat="0" applyProtection="0">
      <alignment horizontal="left" vertical="center" indent="1"/>
    </xf>
    <xf numFmtId="186" fontId="56" fillId="63" borderId="189" applyNumberFormat="0" applyProtection="0">
      <alignment horizontal="left" vertical="top" indent="1"/>
    </xf>
    <xf numFmtId="186" fontId="27" fillId="14" borderId="189" applyNumberFormat="0" applyProtection="0">
      <alignment horizontal="left" vertical="center"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93"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86" fontId="62" fillId="15" borderId="19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0" fontId="27" fillId="21" borderId="199" applyNumberFormat="0" applyProtection="0">
      <alignment horizontal="left" vertical="top" indent="1"/>
    </xf>
    <xf numFmtId="186" fontId="27" fillId="63" borderId="189" applyNumberFormat="0" applyProtection="0">
      <alignment horizontal="left" vertical="top" indent="1"/>
    </xf>
    <xf numFmtId="186" fontId="28" fillId="50" borderId="186">
      <alignment vertical="center"/>
    </xf>
    <xf numFmtId="186" fontId="27" fillId="63" borderId="181" applyNumberFormat="0" applyProtection="0">
      <alignment horizontal="left" vertical="center" indent="1"/>
    </xf>
    <xf numFmtId="186" fontId="27"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5" borderId="181" applyNumberFormat="0" applyProtection="0">
      <alignment horizontal="left" vertical="top" indent="1"/>
    </xf>
    <xf numFmtId="4" fontId="56" fillId="16" borderId="191" applyNumberFormat="0" applyProtection="0">
      <alignment horizontal="right" vertical="center"/>
    </xf>
    <xf numFmtId="4" fontId="59" fillId="53" borderId="179" applyNumberFormat="0" applyProtection="0">
      <alignment vertical="center"/>
    </xf>
    <xf numFmtId="191" fontId="28" fillId="50"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56" fillId="21" borderId="181" applyNumberFormat="0" applyProtection="0">
      <alignment horizontal="left" vertical="top" indent="1"/>
    </xf>
    <xf numFmtId="188" fontId="5" fillId="70" borderId="186">
      <alignment horizontal="right" vertical="center"/>
      <protection locked="0"/>
    </xf>
    <xf numFmtId="186" fontId="56" fillId="40" borderId="179" applyNumberFormat="0" applyFont="0" applyAlignment="0" applyProtection="0"/>
    <xf numFmtId="186" fontId="57" fillId="44"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0" borderId="201" applyNumberFormat="0" applyFont="0" applyAlignment="0" applyProtection="0"/>
    <xf numFmtId="4" fontId="56" fillId="52" borderId="191" applyNumberFormat="0" applyProtection="0">
      <alignment vertical="center"/>
    </xf>
    <xf numFmtId="186" fontId="27"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91" fontId="28" fillId="12" borderId="186">
      <alignment vertical="center"/>
      <protection locked="0"/>
    </xf>
    <xf numFmtId="191" fontId="5" fillId="70" borderId="186">
      <alignment horizontal="right" vertical="center"/>
      <protection locked="0"/>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96" fontId="5" fillId="69" borderId="177">
      <alignment vertical="center"/>
    </xf>
    <xf numFmtId="186" fontId="56" fillId="14" borderId="181" applyNumberFormat="0" applyProtection="0">
      <alignment horizontal="left" vertical="top" indent="1"/>
    </xf>
    <xf numFmtId="4" fontId="56" fillId="58" borderId="201" applyNumberFormat="0" applyProtection="0">
      <alignment horizontal="right" vertical="center"/>
    </xf>
    <xf numFmtId="4" fontId="27" fillId="21" borderId="195" applyNumberFormat="0" applyProtection="0">
      <alignment horizontal="left" vertical="center" indent="1"/>
    </xf>
    <xf numFmtId="4" fontId="56" fillId="0" borderId="191" applyNumberFormat="0" applyProtection="0">
      <alignment horizontal="right" vertical="center"/>
    </xf>
    <xf numFmtId="186" fontId="27" fillId="63" borderId="189" applyNumberFormat="0" applyProtection="0">
      <alignment horizontal="left" vertical="top" indent="1"/>
    </xf>
    <xf numFmtId="194" fontId="33" fillId="0" borderId="198" applyFill="0"/>
    <xf numFmtId="0" fontId="5" fillId="13" borderId="177">
      <alignment vertical="center"/>
    </xf>
    <xf numFmtId="4" fontId="72" fillId="53" borderId="189" applyNumberFormat="0" applyProtection="0">
      <alignment horizontal="left" vertical="center" indent="1"/>
    </xf>
    <xf numFmtId="186" fontId="27" fillId="14" borderId="199" applyNumberFormat="0" applyProtection="0">
      <alignment horizontal="left" vertical="center" indent="1"/>
    </xf>
    <xf numFmtId="186" fontId="56" fillId="11" borderId="201"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186" fontId="27" fillId="15" borderId="189" applyNumberFormat="0" applyProtection="0">
      <alignment horizontal="left" vertical="center" indent="1"/>
    </xf>
    <xf numFmtId="186" fontId="61" fillId="21" borderId="193" applyBorder="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62" fillId="11" borderId="199" applyNumberFormat="0" applyProtection="0">
      <alignment horizontal="left" vertical="center" indent="1"/>
    </xf>
    <xf numFmtId="4" fontId="56" fillId="54" borderId="191" applyNumberFormat="0" applyProtection="0">
      <alignment horizontal="left" vertical="center" indent="1"/>
    </xf>
    <xf numFmtId="186" fontId="27" fillId="14" borderId="181" applyNumberFormat="0" applyProtection="0">
      <alignment horizontal="left" vertical="center" indent="1"/>
    </xf>
    <xf numFmtId="186" fontId="56" fillId="15" borderId="189" applyNumberFormat="0" applyProtection="0">
      <alignment horizontal="left" vertical="top" indent="1"/>
    </xf>
    <xf numFmtId="186" fontId="56" fillId="40" borderId="179" applyNumberFormat="0" applyFont="0" applyAlignment="0" applyProtection="0"/>
    <xf numFmtId="194" fontId="33" fillId="0" borderId="198" applyFill="0"/>
    <xf numFmtId="4" fontId="59" fillId="65" borderId="201"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15" borderId="181" applyNumberFormat="0" applyProtection="0">
      <alignment horizontal="left" vertical="top" indent="1"/>
    </xf>
    <xf numFmtId="4" fontId="56" fillId="58" borderId="191" applyNumberFormat="0" applyProtection="0">
      <alignment horizontal="right" vertical="center"/>
    </xf>
    <xf numFmtId="186" fontId="56" fillId="14" borderId="181" applyNumberFormat="0" applyProtection="0">
      <alignment horizontal="left" vertical="top" indent="1"/>
    </xf>
    <xf numFmtId="172" fontId="28" fillId="12" borderId="186">
      <alignment vertical="center"/>
      <protection locked="0"/>
    </xf>
    <xf numFmtId="186" fontId="60" fillId="52" borderId="189" applyNumberFormat="0" applyProtection="0">
      <alignment horizontal="left" vertical="top" indent="1"/>
    </xf>
    <xf numFmtId="4" fontId="56" fillId="54" borderId="191" applyNumberFormat="0" applyProtection="0">
      <alignment horizontal="left" vertical="center" indent="1"/>
    </xf>
    <xf numFmtId="186" fontId="56" fillId="21" borderId="181" applyNumberFormat="0" applyProtection="0">
      <alignment horizontal="left" vertical="top" indent="1"/>
    </xf>
    <xf numFmtId="186" fontId="27" fillId="14" borderId="199" applyNumberFormat="0" applyProtection="0">
      <alignment horizontal="left" vertical="center" indent="1"/>
    </xf>
    <xf numFmtId="186" fontId="61" fillId="21" borderId="203" applyBorder="0"/>
    <xf numFmtId="4" fontId="56" fillId="55" borderId="201" applyNumberFormat="0" applyProtection="0">
      <alignment horizontal="right" vertical="center"/>
    </xf>
    <xf numFmtId="186" fontId="57" fillId="44" borderId="202" applyNumberFormat="0" applyAlignment="0" applyProtection="0"/>
    <xf numFmtId="186" fontId="27" fillId="21" borderId="199" applyNumberFormat="0" applyProtection="0">
      <alignment horizontal="left" vertical="center" indent="1"/>
    </xf>
    <xf numFmtId="186" fontId="28" fillId="49" borderId="177">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7" fillId="44" borderId="180" applyNumberFormat="0" applyAlignment="0" applyProtection="0"/>
    <xf numFmtId="186" fontId="57" fillId="44" borderId="192" applyNumberFormat="0" applyAlignment="0" applyProtection="0"/>
    <xf numFmtId="186" fontId="62" fillId="15" borderId="189" applyNumberFormat="0" applyProtection="0">
      <alignment horizontal="left" vertical="top" indent="1"/>
    </xf>
    <xf numFmtId="191"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4" fontId="56" fillId="14" borderId="182" applyNumberFormat="0" applyProtection="0">
      <alignment horizontal="left" vertical="center" indent="1"/>
    </xf>
    <xf numFmtId="186" fontId="50" fillId="41" borderId="179" applyNumberFormat="0" applyAlignment="0" applyProtection="0"/>
    <xf numFmtId="186" fontId="42" fillId="44" borderId="191" applyNumberFormat="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27" fillId="15" borderId="181" applyNumberFormat="0" applyProtection="0">
      <alignment horizontal="left" vertical="top" indent="1"/>
    </xf>
    <xf numFmtId="186" fontId="56" fillId="15"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4" fontId="56" fillId="16" borderId="191" applyNumberFormat="0" applyProtection="0">
      <alignment horizontal="right" vertical="center"/>
    </xf>
    <xf numFmtId="186" fontId="27" fillId="63" borderId="199" applyNumberFormat="0" applyProtection="0">
      <alignment horizontal="left" vertical="top" indent="1"/>
    </xf>
    <xf numFmtId="188" fontId="28" fillId="50" borderId="186">
      <alignment vertical="center"/>
    </xf>
    <xf numFmtId="4" fontId="27" fillId="21" borderId="195"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4" fontId="59" fillId="53" borderId="191" applyNumberFormat="0" applyProtection="0">
      <alignment vertical="center"/>
    </xf>
    <xf numFmtId="186" fontId="27" fillId="63" borderId="189" applyNumberFormat="0" applyProtection="0">
      <alignment horizontal="left" vertical="center" indent="1"/>
    </xf>
    <xf numFmtId="4" fontId="56" fillId="59" borderId="191" applyNumberFormat="0" applyProtection="0">
      <alignment horizontal="right" vertical="center"/>
    </xf>
    <xf numFmtId="186" fontId="56" fillId="63" borderId="181" applyNumberFormat="0" applyProtection="0">
      <alignment horizontal="left" vertical="top" indent="1"/>
    </xf>
    <xf numFmtId="0" fontId="5" fillId="13" borderId="186">
      <alignment vertical="center"/>
    </xf>
    <xf numFmtId="4" fontId="56" fillId="0" borderId="179" applyNumberFormat="0" applyProtection="0">
      <alignment horizontal="right" vertical="center"/>
    </xf>
    <xf numFmtId="186" fontId="56" fillId="21" borderId="199" applyNumberFormat="0" applyProtection="0">
      <alignment horizontal="left" vertical="top" indent="1"/>
    </xf>
    <xf numFmtId="188" fontId="28" fillId="49" borderId="186">
      <alignment vertical="center"/>
    </xf>
    <xf numFmtId="186" fontId="56" fillId="40" borderId="191" applyNumberFormat="0" applyFont="0" applyAlignment="0" applyProtection="0"/>
    <xf numFmtId="4" fontId="56" fillId="59" borderId="201" applyNumberFormat="0" applyProtection="0">
      <alignment horizontal="right" vertical="center"/>
    </xf>
    <xf numFmtId="191" fontId="28" fillId="50" borderId="197">
      <alignment vertical="center"/>
    </xf>
    <xf numFmtId="4" fontId="56" fillId="15" borderId="191" applyNumberFormat="0" applyProtection="0">
      <alignment horizontal="right" vertical="center"/>
    </xf>
    <xf numFmtId="196" fontId="5" fillId="69" borderId="197">
      <alignmen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8" fontId="28" fillId="51" borderId="186">
      <alignment horizontal="right" vertical="center"/>
      <protection locked="0"/>
    </xf>
    <xf numFmtId="186" fontId="56" fillId="63" borderId="179" applyNumberFormat="0" applyProtection="0">
      <alignment horizontal="left" vertical="center" indent="1"/>
    </xf>
    <xf numFmtId="4" fontId="56" fillId="57" borderId="205" applyNumberFormat="0" applyProtection="0">
      <alignment horizontal="right" vertical="center"/>
    </xf>
    <xf numFmtId="186" fontId="56" fillId="21" borderId="189" applyNumberFormat="0" applyProtection="0">
      <alignment horizontal="left" vertical="top" indent="1"/>
    </xf>
    <xf numFmtId="186" fontId="56" fillId="14" borderId="201" applyNumberFormat="0" applyProtection="0">
      <alignment horizontal="left" vertical="center" indent="1"/>
    </xf>
    <xf numFmtId="4" fontId="62" fillId="48" borderId="199" applyNumberFormat="0" applyProtection="0">
      <alignment vertical="center"/>
    </xf>
    <xf numFmtId="4" fontId="56" fillId="52" borderId="191"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27" fillId="15" borderId="199" applyNumberFormat="0" applyProtection="0">
      <alignment horizontal="left" vertical="center" indent="1"/>
    </xf>
    <xf numFmtId="4" fontId="62" fillId="48" borderId="199" applyNumberFormat="0" applyProtection="0">
      <alignment vertical="center"/>
    </xf>
    <xf numFmtId="186" fontId="27"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28" fillId="49" borderId="186">
      <alignment vertical="center"/>
    </xf>
    <xf numFmtId="186" fontId="56" fillId="15" borderId="189" applyNumberFormat="0" applyProtection="0">
      <alignment horizontal="left" vertical="top" indent="1"/>
    </xf>
    <xf numFmtId="186" fontId="62" fillId="48" borderId="199" applyNumberFormat="0" applyProtection="0">
      <alignment horizontal="left" vertical="top" indent="1"/>
    </xf>
    <xf numFmtId="186" fontId="27" fillId="15" borderId="199" applyNumberFormat="0" applyProtection="0">
      <alignment horizontal="left" vertical="center" indent="1"/>
    </xf>
    <xf numFmtId="4" fontId="56" fillId="61" borderId="205" applyNumberFormat="0" applyProtection="0">
      <alignment horizontal="left" vertical="center" indent="1"/>
    </xf>
    <xf numFmtId="188" fontId="5" fillId="13" borderId="197">
      <alignment vertical="center"/>
    </xf>
    <xf numFmtId="186" fontId="57" fillId="44" borderId="202" applyNumberFormat="0" applyAlignment="0" applyProtection="0"/>
    <xf numFmtId="4" fontId="56" fillId="56" borderId="201" applyNumberFormat="0" applyProtection="0">
      <alignment horizontal="right" vertical="center"/>
    </xf>
    <xf numFmtId="186" fontId="56" fillId="11"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186" fontId="27" fillId="15" borderId="199" applyNumberFormat="0" applyProtection="0">
      <alignment horizontal="left" vertical="center" indent="1"/>
    </xf>
    <xf numFmtId="4" fontId="56" fillId="53"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191" fontId="5" fillId="70" borderId="177">
      <alignment horizontal="right" vertical="center"/>
      <protection locked="0"/>
    </xf>
    <xf numFmtId="186" fontId="57" fillId="44" borderId="192" applyNumberFormat="0" applyAlignment="0" applyProtection="0"/>
    <xf numFmtId="4" fontId="56" fillId="23" borderId="179" applyNumberFormat="0" applyProtection="0">
      <alignment horizontal="right" vertical="center"/>
    </xf>
    <xf numFmtId="4" fontId="27" fillId="21" borderId="182"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191" fontId="28" fillId="51" borderId="197">
      <alignment horizontal="right" vertical="center"/>
      <protection locked="0"/>
    </xf>
    <xf numFmtId="186" fontId="56" fillId="40" borderId="191" applyNumberFormat="0" applyFont="0" applyAlignment="0" applyProtection="0"/>
    <xf numFmtId="186" fontId="27" fillId="15" borderId="189" applyNumberFormat="0" applyProtection="0">
      <alignment horizontal="left" vertical="top" indent="1"/>
    </xf>
    <xf numFmtId="186" fontId="56" fillId="67" borderId="186"/>
    <xf numFmtId="186" fontId="44" fillId="0" borderId="185" applyNumberFormat="0" applyFill="0" applyAlignment="0" applyProtection="0"/>
    <xf numFmtId="193" fontId="28" fillId="12" borderId="186">
      <alignment vertical="center"/>
      <protection locked="0"/>
    </xf>
    <xf numFmtId="186" fontId="56" fillId="21" borderId="189" applyNumberFormat="0" applyProtection="0">
      <alignment horizontal="left" vertical="top" indent="1"/>
    </xf>
    <xf numFmtId="4" fontId="56" fillId="57" borderId="182" applyNumberFormat="0" applyProtection="0">
      <alignment horizontal="right" vertical="center"/>
    </xf>
    <xf numFmtId="186" fontId="56" fillId="21" borderId="199" applyNumberFormat="0" applyProtection="0">
      <alignment horizontal="left" vertical="top" indent="1"/>
    </xf>
    <xf numFmtId="186" fontId="27" fillId="15" borderId="189" applyNumberFormat="0" applyProtection="0">
      <alignment horizontal="left" vertical="center" indent="1"/>
    </xf>
    <xf numFmtId="186" fontId="56" fillId="21" borderId="199" applyNumberFormat="0" applyProtection="0">
      <alignment horizontal="left" vertical="top" indent="1"/>
    </xf>
    <xf numFmtId="4" fontId="70" fillId="53" borderId="199" applyNumberFormat="0" applyProtection="0">
      <alignment vertical="center"/>
    </xf>
    <xf numFmtId="186" fontId="56" fillId="63" borderId="191"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0" fontId="27" fillId="15" borderId="189" applyNumberFormat="0" applyProtection="0">
      <alignment horizontal="left" vertical="center" indent="1"/>
    </xf>
    <xf numFmtId="188" fontId="5" fillId="7" borderId="197">
      <alignment vertical="center"/>
      <protection locked="0"/>
    </xf>
    <xf numFmtId="186" fontId="62" fillId="48" borderId="199" applyNumberFormat="0" applyProtection="0">
      <alignment horizontal="left" vertical="top" indent="1"/>
    </xf>
    <xf numFmtId="4" fontId="56" fillId="14" borderId="205" applyNumberFormat="0" applyProtection="0">
      <alignment horizontal="left" vertical="center" indent="1"/>
    </xf>
    <xf numFmtId="186" fontId="56" fillId="14" borderId="189" applyNumberFormat="0" applyProtection="0">
      <alignment horizontal="left" vertical="top" indent="1"/>
    </xf>
    <xf numFmtId="188" fontId="5" fillId="69" borderId="186">
      <alignment vertical="center"/>
    </xf>
    <xf numFmtId="186" fontId="56" fillId="14" borderId="181" applyNumberFormat="0" applyProtection="0">
      <alignment horizontal="left" vertical="top" indent="1"/>
    </xf>
    <xf numFmtId="186" fontId="27" fillId="14" borderId="189" applyNumberFormat="0" applyProtection="0">
      <alignment horizontal="left" vertical="center" indent="1"/>
    </xf>
    <xf numFmtId="186" fontId="44" fillId="0" borderId="196" applyNumberFormat="0" applyFill="0" applyAlignment="0" applyProtection="0"/>
    <xf numFmtId="188" fontId="5" fillId="13" borderId="186">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14" borderId="195"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21" borderId="189" applyNumberFormat="0" applyProtection="0">
      <alignment horizontal="left" vertical="top" indent="1"/>
    </xf>
    <xf numFmtId="186" fontId="27" fillId="15" borderId="189" applyNumberFormat="0" applyProtection="0">
      <alignment horizontal="left" vertical="top" indent="1"/>
    </xf>
    <xf numFmtId="0" fontId="5" fillId="13" borderId="197">
      <alignment vertical="center"/>
    </xf>
    <xf numFmtId="0" fontId="5" fillId="69" borderId="197">
      <alignment vertical="center"/>
    </xf>
    <xf numFmtId="0" fontId="5" fillId="7" borderId="197">
      <alignment vertical="center"/>
      <protection locked="0"/>
    </xf>
    <xf numFmtId="4" fontId="56" fillId="23" borderId="191" applyNumberFormat="0" applyProtection="0">
      <alignment horizontal="right" vertical="center"/>
    </xf>
    <xf numFmtId="186" fontId="56" fillId="40" borderId="201" applyNumberFormat="0" applyFont="0" applyAlignment="0" applyProtection="0"/>
    <xf numFmtId="186" fontId="56" fillId="40" borderId="191" applyNumberFormat="0" applyFont="0" applyAlignment="0" applyProtection="0"/>
    <xf numFmtId="186" fontId="56" fillId="40" borderId="191" applyNumberFormat="0" applyFont="0" applyAlignment="0" applyProtection="0"/>
    <xf numFmtId="191" fontId="5" fillId="69" borderId="186">
      <alignment vertical="center"/>
    </xf>
    <xf numFmtId="0" fontId="27" fillId="15" borderId="199" applyNumberFormat="0" applyProtection="0">
      <alignment horizontal="left" vertical="center" indent="1"/>
    </xf>
    <xf numFmtId="186" fontId="42" fillId="44" borderId="191" applyNumberFormat="0" applyAlignment="0" applyProtection="0"/>
    <xf numFmtId="186" fontId="56" fillId="62" borderId="191" applyNumberFormat="0" applyProtection="0">
      <alignment horizontal="left" vertical="center" indent="1"/>
    </xf>
    <xf numFmtId="186" fontId="27" fillId="14" borderId="189" applyNumberFormat="0" applyProtection="0">
      <alignment horizontal="left" vertical="center" indent="1"/>
    </xf>
    <xf numFmtId="186" fontId="28" fillId="12" borderId="197">
      <alignment vertical="center"/>
      <protection locked="0"/>
    </xf>
    <xf numFmtId="186" fontId="27" fillId="21" borderId="189" applyNumberFormat="0" applyProtection="0">
      <alignment horizontal="left" vertical="top" indent="1"/>
    </xf>
    <xf numFmtId="186" fontId="56" fillId="40" borderId="179" applyNumberFormat="0" applyFont="0" applyAlignment="0" applyProtection="0"/>
    <xf numFmtId="4" fontId="56" fillId="53" borderId="179" applyNumberFormat="0" applyProtection="0">
      <alignment horizontal="left" vertical="center" indent="1"/>
    </xf>
    <xf numFmtId="186" fontId="56" fillId="15" borderId="189" applyNumberFormat="0" applyProtection="0">
      <alignment horizontal="left" vertical="top" indent="1"/>
    </xf>
    <xf numFmtId="4" fontId="27" fillId="21" borderId="195"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62" fillId="48" borderId="189" applyNumberFormat="0" applyProtection="0">
      <alignment horizontal="left" vertical="top" indent="1"/>
    </xf>
    <xf numFmtId="186" fontId="28" fillId="12" borderId="197">
      <alignment vertical="center"/>
      <protection locked="0"/>
    </xf>
    <xf numFmtId="4" fontId="56" fillId="52" borderId="191" applyNumberFormat="0" applyProtection="0">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8" fontId="5" fillId="70" borderId="186">
      <alignment horizontal="right" vertical="center"/>
      <protection locked="0"/>
    </xf>
    <xf numFmtId="186" fontId="50" fillId="41" borderId="201" applyNumberFormat="0" applyAlignment="0" applyProtection="0"/>
    <xf numFmtId="4" fontId="56" fillId="15" borderId="201" applyNumberFormat="0" applyProtection="0">
      <alignment horizontal="right" vertical="center"/>
    </xf>
    <xf numFmtId="196" fontId="5" fillId="13" borderId="177">
      <alignment vertical="center"/>
    </xf>
    <xf numFmtId="4" fontId="70" fillId="86" borderId="189" applyNumberFormat="0" applyProtection="0">
      <alignment horizontal="left" vertical="center" indent="1"/>
    </xf>
    <xf numFmtId="191" fontId="5" fillId="70" borderId="197">
      <alignment horizontal="right" vertical="center"/>
      <protection locked="0"/>
    </xf>
    <xf numFmtId="186" fontId="27" fillId="21" borderId="199" applyNumberFormat="0" applyProtection="0">
      <alignment horizontal="left" vertical="center" indent="1"/>
    </xf>
    <xf numFmtId="186" fontId="56" fillId="14" borderId="199" applyNumberFormat="0" applyProtection="0">
      <alignment horizontal="left" vertical="top" indent="1"/>
    </xf>
    <xf numFmtId="4" fontId="56" fillId="53" borderId="191" applyNumberFormat="0" applyProtection="0">
      <alignment horizontal="left" vertical="center"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40" borderId="191" applyNumberFormat="0" applyFont="0" applyAlignment="0" applyProtection="0"/>
    <xf numFmtId="0" fontId="27" fillId="63" borderId="189" applyNumberFormat="0" applyProtection="0">
      <alignment horizontal="left" vertical="center" indent="1"/>
    </xf>
    <xf numFmtId="4" fontId="64" fillId="64" borderId="191" applyNumberFormat="0" applyProtection="0">
      <alignment horizontal="right" vertical="center"/>
    </xf>
    <xf numFmtId="188" fontId="5" fillId="69" borderId="197">
      <alignment vertical="center"/>
    </xf>
    <xf numFmtId="0" fontId="5" fillId="70" borderId="197">
      <alignment horizontal="right" vertical="center"/>
      <protection locked="0"/>
    </xf>
    <xf numFmtId="186" fontId="56" fillId="40" borderId="191" applyNumberFormat="0" applyFont="0" applyAlignment="0" applyProtection="0"/>
    <xf numFmtId="4" fontId="56" fillId="53" borderId="201" applyNumberFormat="0" applyProtection="0">
      <alignment horizontal="left" vertical="center" indent="1"/>
    </xf>
    <xf numFmtId="4" fontId="56" fillId="59" borderId="201" applyNumberFormat="0" applyProtection="0">
      <alignment horizontal="right" vertical="center"/>
    </xf>
    <xf numFmtId="186" fontId="27" fillId="14" borderId="199" applyNumberFormat="0" applyProtection="0">
      <alignment horizontal="left" vertical="top" indent="1"/>
    </xf>
    <xf numFmtId="186" fontId="56" fillId="21" borderId="199" applyNumberFormat="0" applyProtection="0">
      <alignment horizontal="left" vertical="top" indent="1"/>
    </xf>
    <xf numFmtId="186" fontId="27" fillId="63"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91" fontId="5" fillId="13" borderId="177">
      <alignment vertical="center"/>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28" fillId="51" borderId="197">
      <alignment horizontal="right" vertical="center"/>
      <protection locked="0"/>
    </xf>
    <xf numFmtId="186" fontId="50" fillId="41" borderId="191" applyNumberFormat="0" applyAlignment="0" applyProtection="0"/>
    <xf numFmtId="186" fontId="56" fillId="14" borderId="189" applyNumberFormat="0" applyProtection="0">
      <alignment horizontal="left" vertical="top" indent="1"/>
    </xf>
    <xf numFmtId="190" fontId="28" fillId="51" borderId="197">
      <alignment horizontal="right" vertical="center"/>
      <protection locked="0"/>
    </xf>
    <xf numFmtId="4" fontId="62" fillId="11" borderId="181" applyNumberFormat="0" applyProtection="0">
      <alignment horizontal="left" vertical="center" indent="1"/>
    </xf>
    <xf numFmtId="0" fontId="5" fillId="70" borderId="186">
      <alignment horizontal="right" vertical="center"/>
      <protection locked="0"/>
    </xf>
    <xf numFmtId="4" fontId="56" fillId="60" borderId="17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50" fillId="41" borderId="191" applyNumberFormat="0" applyAlignment="0" applyProtection="0"/>
    <xf numFmtId="186" fontId="42" fillId="44" borderId="191" applyNumberFormat="0" applyAlignment="0" applyProtection="0"/>
    <xf numFmtId="186" fontId="56" fillId="21" borderId="181" applyNumberFormat="0" applyProtection="0">
      <alignment horizontal="left" vertical="top" indent="1"/>
    </xf>
    <xf numFmtId="190" fontId="28" fillId="49" borderId="186">
      <alignment vertical="center"/>
    </xf>
    <xf numFmtId="186" fontId="42" fillId="44" borderId="191" applyNumberFormat="0" applyAlignment="0" applyProtection="0"/>
    <xf numFmtId="4" fontId="56" fillId="0" borderId="19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4" fontId="62" fillId="11" borderId="189" applyNumberFormat="0" applyProtection="0">
      <alignment horizontal="left" vertical="center" indent="1"/>
    </xf>
    <xf numFmtId="186" fontId="50" fillId="41" borderId="191" applyNumberFormat="0" applyAlignment="0" applyProtection="0"/>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12" borderId="197">
      <alignment vertical="center"/>
      <protection locked="0"/>
    </xf>
    <xf numFmtId="186" fontId="61" fillId="21" borderId="183" applyBorder="0"/>
    <xf numFmtId="0" fontId="5" fillId="69" borderId="186">
      <alignment vertical="center"/>
    </xf>
    <xf numFmtId="4" fontId="56" fillId="54" borderId="179" applyNumberFormat="0" applyProtection="0">
      <alignment horizontal="left" vertical="center"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27" fillId="14" borderId="199" applyNumberFormat="0" applyProtection="0">
      <alignment horizontal="left" vertical="center" indent="1"/>
    </xf>
    <xf numFmtId="186" fontId="27" fillId="15" borderId="199" applyNumberFormat="0" applyProtection="0">
      <alignment horizontal="left" vertical="top" indent="1"/>
    </xf>
    <xf numFmtId="186" fontId="56" fillId="63" borderId="191" applyNumberFormat="0" applyProtection="0">
      <alignment horizontal="left" vertical="center" indent="1"/>
    </xf>
    <xf numFmtId="186" fontId="42" fillId="44" borderId="179" applyNumberFormat="0" applyAlignment="0" applyProtection="0"/>
    <xf numFmtId="4" fontId="63" fillId="66" borderId="195" applyNumberFormat="0" applyProtection="0">
      <alignment horizontal="left" vertical="center" indent="1"/>
    </xf>
    <xf numFmtId="191" fontId="28" fillId="49" borderId="177">
      <alignment vertical="center"/>
    </xf>
    <xf numFmtId="186" fontId="27" fillId="63" borderId="181" applyNumberFormat="0" applyProtection="0">
      <alignment horizontal="left" vertical="center" indent="1"/>
    </xf>
    <xf numFmtId="4" fontId="56" fillId="15" borderId="205"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15" borderId="191" applyNumberFormat="0" applyProtection="0">
      <alignment horizontal="right" vertical="center"/>
    </xf>
    <xf numFmtId="4" fontId="56" fillId="15" borderId="205" applyNumberFormat="0" applyProtection="0">
      <alignment horizontal="left" vertical="center" indent="1"/>
    </xf>
    <xf numFmtId="186" fontId="56" fillId="21" borderId="199" applyNumberFormat="0" applyProtection="0">
      <alignment horizontal="left" vertical="top" indent="1"/>
    </xf>
    <xf numFmtId="4" fontId="72" fillId="53" borderId="199"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1" fontId="28" fillId="50" borderId="207">
      <alignment vertical="center"/>
    </xf>
    <xf numFmtId="186" fontId="56" fillId="40" borderId="191" applyNumberFormat="0" applyFont="0" applyAlignment="0" applyProtection="0"/>
    <xf numFmtId="186" fontId="56" fillId="63" borderId="189" applyNumberFormat="0" applyProtection="0">
      <alignment horizontal="left" vertical="top" indent="1"/>
    </xf>
    <xf numFmtId="4" fontId="56" fillId="19" borderId="191" applyNumberFormat="0" applyProtection="0">
      <alignment horizontal="right" vertical="center"/>
    </xf>
    <xf numFmtId="4" fontId="56" fillId="60" borderId="201" applyNumberFormat="0" applyProtection="0">
      <alignment horizontal="right" vertical="center"/>
    </xf>
    <xf numFmtId="191" fontId="28" fillId="50" borderId="207">
      <alignment vertical="center"/>
    </xf>
    <xf numFmtId="4" fontId="76" fillId="87" borderId="189" applyNumberFormat="0" applyProtection="0">
      <alignment horizontal="right" vertical="center"/>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56" fillId="21" borderId="189" applyNumberFormat="0" applyProtection="0">
      <alignment horizontal="left" vertical="top" indent="1"/>
    </xf>
    <xf numFmtId="4" fontId="56" fillId="52" borderId="201" applyNumberFormat="0" applyProtection="0">
      <alignment vertical="center"/>
    </xf>
    <xf numFmtId="4" fontId="56" fillId="56" borderId="191" applyNumberFormat="0" applyProtection="0">
      <alignment horizontal="right" vertical="center"/>
    </xf>
    <xf numFmtId="186" fontId="56" fillId="21" borderId="18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4" fontId="72" fillId="49" borderId="199" applyNumberFormat="0" applyProtection="0">
      <alignment horizontal="right" vertical="center"/>
    </xf>
    <xf numFmtId="186" fontId="56" fillId="14" borderId="189" applyNumberFormat="0" applyProtection="0">
      <alignment horizontal="left" vertical="top" indent="1"/>
    </xf>
    <xf numFmtId="4" fontId="56" fillId="57" borderId="182" applyNumberFormat="0" applyProtection="0">
      <alignment horizontal="right" vertical="center"/>
    </xf>
    <xf numFmtId="186" fontId="27" fillId="63" borderId="189"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40" borderId="179" applyNumberFormat="0" applyFont="0" applyAlignment="0" applyProtection="0"/>
    <xf numFmtId="193" fontId="28" fillId="12" borderId="197">
      <alignment vertical="center"/>
      <protection locked="0"/>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93" fontId="5" fillId="7" borderId="177">
      <alignmen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72" fillId="81"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5" fillId="88" borderId="200" applyNumberFormat="0" applyProtection="0">
      <alignment horizontal="left" vertical="center" indent="1"/>
    </xf>
    <xf numFmtId="186" fontId="27" fillId="63" borderId="199" applyNumberFormat="0" applyProtection="0">
      <alignment horizontal="left" vertical="top" indent="1"/>
    </xf>
    <xf numFmtId="186" fontId="44" fillId="0" borderId="196" applyNumberFormat="0" applyFill="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4" fontId="56" fillId="54" borderId="191" applyNumberFormat="0" applyProtection="0">
      <alignment horizontal="left" vertical="center" indent="1"/>
    </xf>
    <xf numFmtId="4" fontId="56" fillId="52" borderId="179" applyNumberFormat="0" applyProtection="0">
      <alignment vertical="center"/>
    </xf>
    <xf numFmtId="186" fontId="27" fillId="14" borderId="181" applyNumberFormat="0" applyProtection="0">
      <alignment horizontal="left" vertical="center" indent="1"/>
    </xf>
    <xf numFmtId="186" fontId="56" fillId="15" borderId="199" applyNumberFormat="0" applyProtection="0">
      <alignment horizontal="left" vertical="top" indent="1"/>
    </xf>
    <xf numFmtId="186" fontId="56" fillId="63" borderId="181" applyNumberFormat="0" applyProtection="0">
      <alignment horizontal="left" vertical="top" indent="1"/>
    </xf>
    <xf numFmtId="4" fontId="56" fillId="52" borderId="191" applyNumberFormat="0" applyProtection="0">
      <alignment vertical="center"/>
    </xf>
    <xf numFmtId="188" fontId="28" fillId="49" borderId="197">
      <alignment vertical="center"/>
    </xf>
    <xf numFmtId="188" fontId="5" fillId="7" borderId="197">
      <alignment vertical="center"/>
      <protection locked="0"/>
    </xf>
    <xf numFmtId="4" fontId="56" fillId="15" borderId="191" applyNumberFormat="0" applyProtection="0">
      <alignment horizontal="right" vertical="center"/>
    </xf>
    <xf numFmtId="186" fontId="56" fillId="15" borderId="189" applyNumberFormat="0" applyProtection="0">
      <alignment horizontal="left" vertical="top" indent="1"/>
    </xf>
    <xf numFmtId="4" fontId="56" fillId="58" borderId="179" applyNumberFormat="0" applyProtection="0">
      <alignment horizontal="right" vertical="center"/>
    </xf>
    <xf numFmtId="4" fontId="56" fillId="60" borderId="191" applyNumberFormat="0" applyProtection="0">
      <alignment horizontal="right" vertical="center"/>
    </xf>
    <xf numFmtId="186" fontId="56" fillId="15" borderId="181" applyNumberFormat="0" applyProtection="0">
      <alignment horizontal="left" vertical="top" indent="1"/>
    </xf>
    <xf numFmtId="4" fontId="72" fillId="80" borderId="181" applyNumberFormat="0" applyProtection="0">
      <alignment horizontal="right" vertical="center"/>
    </xf>
    <xf numFmtId="191" fontId="5" fillId="7" borderId="186">
      <alignment vertical="center"/>
      <protection locked="0"/>
    </xf>
    <xf numFmtId="186" fontId="56" fillId="62" borderId="179" applyNumberFormat="0" applyProtection="0">
      <alignment horizontal="left" vertical="center" indent="1"/>
    </xf>
    <xf numFmtId="186" fontId="56" fillId="15" borderId="181" applyNumberFormat="0" applyProtection="0">
      <alignment horizontal="left" vertical="top" indent="1"/>
    </xf>
    <xf numFmtId="186" fontId="56" fillId="67" borderId="186"/>
    <xf numFmtId="186" fontId="56" fillId="40" borderId="179" applyNumberFormat="0" applyFont="0" applyAlignment="0" applyProtection="0"/>
    <xf numFmtId="186" fontId="56" fillId="14" borderId="189" applyNumberFormat="0" applyProtection="0">
      <alignment horizontal="left" vertical="top" indent="1"/>
    </xf>
    <xf numFmtId="4" fontId="56" fillId="53" borderId="191" applyNumberFormat="0" applyProtection="0">
      <alignment horizontal="left" vertical="center"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12" borderId="197" applyNumberFormat="0" applyProtection="0">
      <alignmen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63" fillId="66" borderId="195" applyNumberFormat="0" applyProtection="0">
      <alignment horizontal="left" vertical="center" indent="1"/>
    </xf>
    <xf numFmtId="186" fontId="61" fillId="21" borderId="193" applyBorder="0"/>
    <xf numFmtId="4" fontId="56" fillId="53" borderId="191" applyNumberFormat="0" applyProtection="0">
      <alignment horizontal="left" vertical="center" indent="1"/>
    </xf>
    <xf numFmtId="186" fontId="56" fillId="21"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7" fillId="44" borderId="192" applyNumberForma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90" fontId="28" fillId="50" borderId="197">
      <alignment vertical="center"/>
    </xf>
    <xf numFmtId="191" fontId="5" fillId="70" borderId="186">
      <alignment horizontal="right" vertical="center"/>
      <protection locked="0"/>
    </xf>
    <xf numFmtId="186" fontId="44" fillId="0" borderId="196" applyNumberFormat="0" applyFill="0" applyAlignment="0" applyProtection="0"/>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62" fillId="15" borderId="181"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27" fillId="15" borderId="189" applyNumberFormat="0" applyProtection="0">
      <alignment horizontal="left" vertical="center" indent="1"/>
    </xf>
    <xf numFmtId="186" fontId="28" fillId="12" borderId="177">
      <alignment vertical="center"/>
      <protection locked="0"/>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5" borderId="181" applyNumberFormat="0" applyProtection="0">
      <alignment horizontal="left" vertical="top" indent="1"/>
    </xf>
    <xf numFmtId="186" fontId="27" fillId="15" borderId="181" applyNumberFormat="0" applyProtection="0">
      <alignment horizontal="left" vertical="center" indent="1"/>
    </xf>
    <xf numFmtId="186" fontId="27" fillId="15" borderId="181" applyNumberFormat="0" applyProtection="0">
      <alignment horizontal="left" vertical="center" indent="1"/>
    </xf>
    <xf numFmtId="186" fontId="56" fillId="40" borderId="179" applyNumberFormat="0" applyFont="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91" fontId="28" fillId="51" borderId="186">
      <alignment horizontal="righ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8" fontId="5" fillId="69" borderId="177">
      <alignment vertical="center"/>
    </xf>
    <xf numFmtId="186" fontId="56" fillId="14" borderId="189" applyNumberFormat="0" applyProtection="0">
      <alignment horizontal="left" vertical="top" indent="1"/>
    </xf>
    <xf numFmtId="186" fontId="50" fillId="41" borderId="191" applyNumberFormat="0" applyAlignment="0" applyProtection="0"/>
    <xf numFmtId="194" fontId="33" fillId="0" borderId="198" applyFill="0"/>
    <xf numFmtId="186" fontId="56" fillId="40" borderId="191" applyNumberFormat="0" applyFont="0" applyAlignment="0" applyProtection="0"/>
    <xf numFmtId="186" fontId="56" fillId="14" borderId="189" applyNumberFormat="0" applyProtection="0">
      <alignment horizontal="left" vertical="top" indent="1"/>
    </xf>
    <xf numFmtId="186" fontId="44" fillId="0" borderId="196" applyNumberFormat="0" applyFill="0" applyAlignment="0" applyProtection="0"/>
    <xf numFmtId="186" fontId="56" fillId="14" borderId="199" applyNumberFormat="0" applyProtection="0">
      <alignment horizontal="left" vertical="top" indent="1"/>
    </xf>
    <xf numFmtId="0" fontId="5" fillId="7" borderId="186">
      <alignment vertical="center"/>
      <protection locked="0"/>
    </xf>
    <xf numFmtId="186" fontId="56" fillId="21" borderId="189" applyNumberFormat="0" applyProtection="0">
      <alignment horizontal="left" vertical="top" indent="1"/>
    </xf>
    <xf numFmtId="190" fontId="28" fillId="49" borderId="177">
      <alignment vertical="center"/>
    </xf>
    <xf numFmtId="172" fontId="28" fillId="12" borderId="177">
      <alignment vertical="center"/>
      <protection locked="0"/>
    </xf>
    <xf numFmtId="193" fontId="5" fillId="7" borderId="177">
      <alignment vertical="center"/>
      <protection locked="0"/>
    </xf>
    <xf numFmtId="4" fontId="64" fillId="64" borderId="179" applyNumberFormat="0" applyProtection="0">
      <alignment horizontal="right" vertical="center"/>
    </xf>
    <xf numFmtId="37" fontId="33" fillId="0" borderId="184" applyNumberFormat="0"/>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79" applyNumberFormat="0" applyFont="0" applyAlignment="0" applyProtection="0"/>
    <xf numFmtId="4" fontId="62" fillId="11" borderId="189" applyNumberFormat="0" applyProtection="0">
      <alignment horizontal="left" vertical="center" indent="1"/>
    </xf>
    <xf numFmtId="4" fontId="56" fillId="60" borderId="191" applyNumberFormat="0" applyProtection="0">
      <alignment horizontal="right" vertical="center"/>
    </xf>
    <xf numFmtId="186" fontId="27" fillId="63" borderId="181" applyNumberFormat="0" applyProtection="0">
      <alignment horizontal="left" vertical="top" indent="1"/>
    </xf>
    <xf numFmtId="186" fontId="62" fillId="15" borderId="181" applyNumberFormat="0" applyProtection="0">
      <alignment horizontal="left" vertical="top"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93" fontId="5" fillId="69" borderId="186">
      <alignment vertical="center"/>
    </xf>
    <xf numFmtId="0" fontId="5" fillId="7" borderId="186">
      <alignment vertical="center"/>
      <protection locked="0"/>
    </xf>
    <xf numFmtId="186" fontId="62" fillId="48" borderId="19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28" fillId="49" borderId="186">
      <alignment vertical="center"/>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14" borderId="189" applyNumberFormat="0" applyProtection="0">
      <alignment horizontal="left" vertical="top" indent="1"/>
    </xf>
    <xf numFmtId="191" fontId="28" fillId="51" borderId="186">
      <alignment horizontal="right" vertical="center"/>
      <protection locked="0"/>
    </xf>
    <xf numFmtId="186" fontId="56" fillId="40" borderId="191" applyNumberFormat="0" applyFont="0" applyAlignment="0" applyProtection="0"/>
    <xf numFmtId="4" fontId="56" fillId="53" borderId="179" applyNumberFormat="0" applyProtection="0">
      <alignment horizontal="left" vertical="center" indent="1"/>
    </xf>
    <xf numFmtId="186" fontId="56" fillId="63" borderId="181" applyNumberFormat="0" applyProtection="0">
      <alignment horizontal="left" vertical="top" indent="1"/>
    </xf>
    <xf numFmtId="4" fontId="56" fillId="58" borderId="179" applyNumberFormat="0" applyProtection="0">
      <alignment horizontal="right" vertical="center"/>
    </xf>
    <xf numFmtId="186" fontId="28" fillId="12" borderId="177">
      <alignment vertical="center"/>
      <protection locked="0"/>
    </xf>
    <xf numFmtId="186" fontId="57" fillId="44" borderId="192"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27" fillId="21" borderId="189" applyNumberFormat="0" applyProtection="0">
      <alignment horizontal="left" vertical="top" indent="1"/>
    </xf>
    <xf numFmtId="186" fontId="56" fillId="21" borderId="199" applyNumberFormat="0" applyProtection="0">
      <alignment horizontal="left" vertical="top" indent="1"/>
    </xf>
    <xf numFmtId="4" fontId="56" fillId="58" borderId="191" applyNumberFormat="0" applyProtection="0">
      <alignment horizontal="right" vertical="center"/>
    </xf>
    <xf numFmtId="186" fontId="61" fillId="21" borderId="193" applyBorder="0"/>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center" indent="1"/>
    </xf>
    <xf numFmtId="186" fontId="56" fillId="21" borderId="199" applyNumberFormat="0" applyProtection="0">
      <alignment horizontal="left" vertical="top" indent="1"/>
    </xf>
    <xf numFmtId="191" fontId="5" fillId="70" borderId="186">
      <alignment horizontal="right" vertical="center"/>
      <protection locked="0"/>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96" fontId="5" fillId="13" borderId="186">
      <alignmen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195" applyNumberFormat="0" applyProtection="0">
      <alignment horizontal="left" vertical="center" indent="1"/>
    </xf>
    <xf numFmtId="191" fontId="5" fillId="13" borderId="197">
      <alignmen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65" borderId="179" applyNumberFormat="0" applyProtection="0">
      <alignment horizontal="right" vertical="center"/>
    </xf>
    <xf numFmtId="4" fontId="62" fillId="11" borderId="189" applyNumberFormat="0" applyProtection="0">
      <alignment horizontal="left" vertical="center" indent="1"/>
    </xf>
    <xf numFmtId="186" fontId="56" fillId="63" borderId="189" applyNumberFormat="0" applyProtection="0">
      <alignment horizontal="left" vertical="top" indent="1"/>
    </xf>
    <xf numFmtId="186" fontId="57" fillId="44" borderId="202" applyNumberFormat="0" applyAlignment="0" applyProtection="0"/>
    <xf numFmtId="186" fontId="56" fillId="62" borderId="201"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27" fillId="15" borderId="181" applyNumberFormat="0" applyProtection="0">
      <alignment horizontal="left" vertical="top" indent="1"/>
    </xf>
    <xf numFmtId="4" fontId="70" fillId="86" borderId="199" applyNumberFormat="0" applyProtection="0">
      <alignment horizontal="left" vertical="center" indent="1"/>
    </xf>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4" fontId="56" fillId="59" borderId="201" applyNumberFormat="0" applyProtection="0">
      <alignment horizontal="right" vertical="center"/>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3" fontId="5" fillId="7" borderId="197">
      <alignment vertical="center"/>
      <protection locked="0"/>
    </xf>
    <xf numFmtId="186" fontId="27" fillId="63" borderId="181" applyNumberFormat="0" applyProtection="0">
      <alignment horizontal="left" vertical="top" indent="1"/>
    </xf>
    <xf numFmtId="186" fontId="56" fillId="15" borderId="199" applyNumberFormat="0" applyProtection="0">
      <alignment horizontal="left" vertical="top" indent="1"/>
    </xf>
    <xf numFmtId="191" fontId="5" fillId="70" borderId="177">
      <alignment horizontal="right" vertical="center"/>
      <protection locked="0"/>
    </xf>
    <xf numFmtId="37" fontId="33" fillId="0" borderId="194" applyNumberFormat="0"/>
    <xf numFmtId="191" fontId="28" fillId="51" borderId="197">
      <alignment horizontal="right" vertical="center"/>
      <protection locked="0"/>
    </xf>
    <xf numFmtId="4" fontId="56" fillId="15" borderId="201" applyNumberFormat="0" applyProtection="0">
      <alignment horizontal="right" vertical="center"/>
    </xf>
    <xf numFmtId="186" fontId="56" fillId="15" borderId="199" applyNumberFormat="0" applyProtection="0">
      <alignment horizontal="left" vertical="top" indent="1"/>
    </xf>
    <xf numFmtId="193" fontId="5" fillId="7" borderId="186">
      <alignment vertical="center"/>
      <protection locked="0"/>
    </xf>
    <xf numFmtId="4" fontId="59" fillId="53" borderId="201" applyNumberFormat="0" applyProtection="0">
      <alignment vertical="center"/>
    </xf>
    <xf numFmtId="186" fontId="56" fillId="15" borderId="199" applyNumberFormat="0" applyProtection="0">
      <alignment horizontal="left" vertical="top" indent="1"/>
    </xf>
    <xf numFmtId="186" fontId="56" fillId="63" borderId="191" applyNumberFormat="0" applyProtection="0">
      <alignment horizontal="left" vertical="center" indent="1"/>
    </xf>
    <xf numFmtId="4" fontId="56" fillId="55" borderId="191" applyNumberFormat="0" applyProtection="0">
      <alignment horizontal="right" vertical="center"/>
    </xf>
    <xf numFmtId="4" fontId="56" fillId="60" borderId="191" applyNumberFormat="0" applyProtection="0">
      <alignment horizontal="right" vertical="center"/>
    </xf>
    <xf numFmtId="186" fontId="27" fillId="21" borderId="181" applyNumberFormat="0" applyProtection="0">
      <alignment horizontal="left" vertical="center" indent="1"/>
    </xf>
    <xf numFmtId="186" fontId="28" fillId="50" borderId="197">
      <alignment vertical="center"/>
    </xf>
    <xf numFmtId="4" fontId="56" fillId="23" borderId="20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4" fontId="56" fillId="23" borderId="201"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57" fillId="44" borderId="202" applyNumberFormat="0" applyAlignment="0" applyProtection="0"/>
    <xf numFmtId="186" fontId="56" fillId="14" borderId="199" applyNumberFormat="0" applyProtection="0">
      <alignment horizontal="left" vertical="top" indent="1"/>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56" fillId="58" borderId="191" applyNumberFormat="0" applyProtection="0">
      <alignment horizontal="right" vertical="center"/>
    </xf>
    <xf numFmtId="186" fontId="57" fillId="44" borderId="192" applyNumberFormat="0" applyAlignment="0" applyProtection="0"/>
    <xf numFmtId="186" fontId="57" fillId="44" borderId="202" applyNumberFormat="0" applyAlignment="0" applyProtection="0"/>
    <xf numFmtId="37" fontId="33" fillId="0" borderId="204" applyNumberFormat="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4" fontId="56" fillId="15" borderId="205" applyNumberFormat="0" applyProtection="0">
      <alignment horizontal="left" vertical="center" indent="1"/>
    </xf>
    <xf numFmtId="4" fontId="72" fillId="82" borderId="189" applyNumberFormat="0" applyProtection="0">
      <alignment horizontal="right" vertical="center"/>
    </xf>
    <xf numFmtId="4" fontId="56" fillId="57" borderId="205" applyNumberFormat="0" applyProtection="0">
      <alignment horizontal="right" vertical="center"/>
    </xf>
    <xf numFmtId="193" fontId="28" fillId="50" borderId="197">
      <alignment vertical="center"/>
    </xf>
    <xf numFmtId="0" fontId="27" fillId="63" borderId="189" applyNumberFormat="0" applyProtection="0">
      <alignment horizontal="left" vertical="top" indent="1"/>
    </xf>
    <xf numFmtId="186" fontId="56" fillId="67" borderId="207"/>
    <xf numFmtId="188" fontId="5" fillId="69" borderId="197">
      <alignment vertical="center"/>
    </xf>
    <xf numFmtId="196" fontId="5" fillId="70" borderId="197">
      <alignment horizontal="right" vertical="center"/>
      <protection locked="0"/>
    </xf>
    <xf numFmtId="172" fontId="5" fillId="7" borderId="197">
      <alignment vertical="center"/>
      <protection locked="0"/>
    </xf>
    <xf numFmtId="191" fontId="28" fillId="49" borderId="197">
      <alignment vertical="center"/>
    </xf>
    <xf numFmtId="186" fontId="56" fillId="40" borderId="191" applyNumberFormat="0" applyFont="0" applyAlignment="0" applyProtection="0"/>
    <xf numFmtId="186" fontId="60" fillId="52" borderId="18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91" fontId="28" fillId="49" borderId="197">
      <alignment vertical="center"/>
    </xf>
    <xf numFmtId="186" fontId="60" fillId="52" borderId="199" applyNumberFormat="0" applyProtection="0">
      <alignment horizontal="left" vertical="top" indent="1"/>
    </xf>
    <xf numFmtId="4" fontId="59" fillId="65" borderId="191" applyNumberFormat="0" applyProtection="0">
      <alignment horizontal="right" vertical="center"/>
    </xf>
    <xf numFmtId="186" fontId="27" fillId="14" borderId="189" applyNumberFormat="0" applyProtection="0">
      <alignment horizontal="left" vertical="center"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top" indent="1"/>
    </xf>
    <xf numFmtId="193" fontId="28" fillId="50" borderId="177">
      <alignment vertical="center"/>
    </xf>
    <xf numFmtId="186" fontId="57" fillId="44" borderId="192" applyNumberFormat="0" applyAlignment="0" applyProtection="0"/>
    <xf numFmtId="4" fontId="27" fillId="21" borderId="205" applyNumberFormat="0" applyProtection="0">
      <alignment horizontal="left" vertical="center" indent="1"/>
    </xf>
    <xf numFmtId="4" fontId="72" fillId="87" borderId="199" applyNumberFormat="0" applyProtection="0">
      <alignment horizontal="right" vertical="center"/>
    </xf>
    <xf numFmtId="4" fontId="70" fillId="53" borderId="199" applyNumberFormat="0" applyProtection="0">
      <alignment vertical="center"/>
    </xf>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7" borderId="197"/>
    <xf numFmtId="4" fontId="59" fillId="53" borderId="191" applyNumberFormat="0" applyProtection="0">
      <alignment vertical="center"/>
    </xf>
    <xf numFmtId="186" fontId="27" fillId="14"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202" applyNumberFormat="0" applyAlignment="0" applyProtection="0"/>
    <xf numFmtId="186" fontId="56" fillId="63" borderId="199" applyNumberFormat="0" applyProtection="0">
      <alignment horizontal="left" vertical="top" indent="1"/>
    </xf>
    <xf numFmtId="4" fontId="56" fillId="16" borderId="191" applyNumberFormat="0" applyProtection="0">
      <alignment horizontal="right" vertical="center"/>
    </xf>
    <xf numFmtId="186" fontId="56" fillId="14" borderId="191" applyNumberFormat="0" applyProtection="0">
      <alignment horizontal="left" vertical="center"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0" fillId="41" borderId="191" applyNumberFormat="0" applyAlignment="0" applyProtection="0"/>
    <xf numFmtId="4" fontId="72" fillId="79" borderId="18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42" fillId="44" borderId="201" applyNumberFormat="0" applyAlignment="0" applyProtection="0"/>
    <xf numFmtId="4" fontId="63" fillId="66" borderId="195" applyNumberFormat="0" applyProtection="0">
      <alignment horizontal="left" vertical="center" indent="1"/>
    </xf>
    <xf numFmtId="186" fontId="56" fillId="40" borderId="191" applyNumberFormat="0" applyFont="0" applyAlignment="0" applyProtection="0"/>
    <xf numFmtId="186" fontId="56" fillId="11" borderId="191" applyNumberFormat="0" applyProtection="0">
      <alignment horizontal="left" vertical="center" indent="1"/>
    </xf>
    <xf numFmtId="186" fontId="27" fillId="63" borderId="181" applyNumberFormat="0" applyProtection="0">
      <alignment horizontal="left" vertical="center" indent="1"/>
    </xf>
    <xf numFmtId="4" fontId="56" fillId="23" borderId="191" applyNumberFormat="0" applyProtection="0">
      <alignment horizontal="right" vertical="center"/>
    </xf>
    <xf numFmtId="186" fontId="56" fillId="14" borderId="181" applyNumberFormat="0" applyProtection="0">
      <alignment horizontal="left" vertical="top" indent="1"/>
    </xf>
    <xf numFmtId="4" fontId="56" fillId="23" borderId="191" applyNumberFormat="0" applyProtection="0">
      <alignment horizontal="right" vertical="center"/>
    </xf>
    <xf numFmtId="188" fontId="5" fillId="70" borderId="186">
      <alignment horizontal="right" vertical="center"/>
      <protection locked="0"/>
    </xf>
    <xf numFmtId="186" fontId="56" fillId="14" borderId="189" applyNumberFormat="0" applyProtection="0">
      <alignment horizontal="left" vertical="top" indent="1"/>
    </xf>
    <xf numFmtId="186" fontId="28" fillId="50" borderId="197">
      <alignment vertical="center"/>
    </xf>
    <xf numFmtId="4" fontId="56" fillId="15" borderId="182" applyNumberFormat="0" applyProtection="0">
      <alignment horizontal="left" vertical="center"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4" fontId="56" fillId="0" borderId="179" applyNumberFormat="0" applyProtection="0">
      <alignment horizontal="right" vertical="center"/>
    </xf>
    <xf numFmtId="186" fontId="27" fillId="21" borderId="189" applyNumberFormat="0" applyProtection="0">
      <alignment horizontal="left" vertical="center" indent="1"/>
    </xf>
    <xf numFmtId="186" fontId="27" fillId="63" borderId="199" applyNumberFormat="0" applyProtection="0">
      <alignment horizontal="left" vertical="top" indent="1"/>
    </xf>
    <xf numFmtId="186" fontId="56" fillId="40" borderId="179" applyNumberFormat="0" applyFont="0" applyAlignment="0" applyProtection="0"/>
    <xf numFmtId="193" fontId="28" fillId="12" borderId="177">
      <alignment vertical="center"/>
      <protection locked="0"/>
    </xf>
    <xf numFmtId="193" fontId="28" fillId="50" borderId="186">
      <alignment vertical="center"/>
    </xf>
    <xf numFmtId="191" fontId="5" fillId="69" borderId="207">
      <alignment vertical="center"/>
    </xf>
    <xf numFmtId="186" fontId="50" fillId="41" borderId="191" applyNumberFormat="0" applyAlignment="0" applyProtection="0"/>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37" fontId="33" fillId="0" borderId="194" applyNumberFormat="0"/>
    <xf numFmtId="186" fontId="56" fillId="14" borderId="181" applyNumberFormat="0" applyProtection="0">
      <alignment horizontal="left" vertical="top" indent="1"/>
    </xf>
    <xf numFmtId="4" fontId="62" fillId="48" borderId="189" applyNumberFormat="0" applyProtection="0">
      <alignment vertical="center"/>
    </xf>
    <xf numFmtId="4" fontId="63" fillId="66" borderId="182"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186" fontId="61" fillId="21" borderId="183" applyBorder="0"/>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15" borderId="182" applyNumberFormat="0" applyProtection="0">
      <alignment horizontal="left" vertical="center" indent="1"/>
    </xf>
    <xf numFmtId="186" fontId="42" fillId="44" borderId="179" applyNumberFormat="0" applyAlignment="0" applyProtection="0"/>
    <xf numFmtId="194" fontId="33" fillId="0" borderId="187" applyFill="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63" borderId="19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91" fontId="28" fillId="51" borderId="197">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86" fontId="27" fillId="64" borderId="177" applyNumberFormat="0">
      <protection locked="0"/>
    </xf>
    <xf numFmtId="4" fontId="72" fillId="83" borderId="199" applyNumberFormat="0" applyProtection="0">
      <alignment horizontal="right" vertical="center"/>
    </xf>
    <xf numFmtId="186" fontId="56" fillId="63" borderId="189" applyNumberFormat="0" applyProtection="0">
      <alignment horizontal="left" vertical="top" indent="1"/>
    </xf>
    <xf numFmtId="186" fontId="62" fillId="48" borderId="199" applyNumberFormat="0" applyProtection="0">
      <alignment horizontal="left" vertical="top" indent="1"/>
    </xf>
    <xf numFmtId="4" fontId="56" fillId="16" borderId="201" applyNumberFormat="0" applyProtection="0">
      <alignment horizontal="right" vertical="center"/>
    </xf>
    <xf numFmtId="4" fontId="56" fillId="59" borderId="201" applyNumberFormat="0" applyProtection="0">
      <alignment horizontal="right" vertical="center"/>
    </xf>
    <xf numFmtId="4" fontId="56" fillId="19" borderId="191" applyNumberFormat="0" applyProtection="0">
      <alignment horizontal="right" vertical="center"/>
    </xf>
    <xf numFmtId="4" fontId="62" fillId="11" borderId="189" applyNumberFormat="0" applyProtection="0">
      <alignment horizontal="left" vertical="center" indent="1"/>
    </xf>
    <xf numFmtId="186" fontId="56" fillId="14" borderId="199" applyNumberFormat="0" applyProtection="0">
      <alignment horizontal="left" vertical="top" indent="1"/>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90" fontId="5" fillId="13" borderId="177">
      <alignment vertical="center"/>
    </xf>
    <xf numFmtId="186" fontId="56" fillId="15"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4" fontId="62" fillId="48" borderId="199" applyNumberFormat="0" applyProtection="0">
      <alignment vertical="center"/>
    </xf>
    <xf numFmtId="186" fontId="56" fillId="21" borderId="199" applyNumberFormat="0" applyProtection="0">
      <alignment horizontal="left" vertical="top" indent="1"/>
    </xf>
    <xf numFmtId="186" fontId="56" fillId="62" borderId="20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8" fontId="5" fillId="70" borderId="177">
      <alignment horizontal="right" vertical="center"/>
      <protection locked="0"/>
    </xf>
    <xf numFmtId="4" fontId="59" fillId="65" borderId="191" applyNumberFormat="0" applyProtection="0">
      <alignment horizontal="righ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4" fontId="56" fillId="57" borderId="195" applyNumberFormat="0" applyProtection="0">
      <alignment horizontal="right" vertical="center"/>
    </xf>
    <xf numFmtId="4" fontId="56" fillId="56" borderId="191" applyNumberFormat="0" applyProtection="0">
      <alignment horizontal="right" vertical="center"/>
    </xf>
    <xf numFmtId="186" fontId="56" fillId="21" borderId="181" applyNumberFormat="0" applyProtection="0">
      <alignment horizontal="left" vertical="top" indent="1"/>
    </xf>
    <xf numFmtId="4" fontId="56" fillId="61"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0" fontId="5" fillId="69" borderId="186">
      <alignment vertical="center"/>
    </xf>
    <xf numFmtId="186" fontId="56" fillId="40" borderId="201" applyNumberFormat="0" applyFont="0" applyAlignment="0" applyProtection="0"/>
    <xf numFmtId="186" fontId="62" fillId="15" borderId="181" applyNumberFormat="0" applyProtection="0">
      <alignment horizontal="left" vertical="top" indent="1"/>
    </xf>
    <xf numFmtId="4" fontId="56" fillId="55"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186" fontId="56" fillId="14" borderId="17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188" fontId="5" fillId="13" borderId="186">
      <alignment vertical="center"/>
    </xf>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44" fillId="0" borderId="196" applyNumberFormat="0" applyFill="0" applyAlignment="0" applyProtection="0"/>
    <xf numFmtId="193" fontId="28" fillId="12" borderId="197">
      <alignment vertical="center"/>
      <protection locked="0"/>
    </xf>
    <xf numFmtId="186" fontId="42" fillId="44" borderId="191" applyNumberFormat="0" applyAlignment="0" applyProtection="0"/>
    <xf numFmtId="186" fontId="44" fillId="0" borderId="196" applyNumberFormat="0" applyFill="0" applyAlignment="0" applyProtection="0"/>
    <xf numFmtId="186" fontId="56"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4" fontId="56" fillId="16" borderId="179" applyNumberFormat="0" applyProtection="0">
      <alignment horizontal="right" vertical="center"/>
    </xf>
    <xf numFmtId="186" fontId="56" fillId="21" borderId="181" applyNumberFormat="0" applyProtection="0">
      <alignment horizontal="left" vertical="top" indent="1"/>
    </xf>
    <xf numFmtId="186" fontId="62" fillId="15" borderId="181" applyNumberFormat="0" applyProtection="0">
      <alignment horizontal="left" vertical="top" indent="1"/>
    </xf>
    <xf numFmtId="4" fontId="56" fillId="55"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8" fontId="5" fillId="13" borderId="186">
      <alignment vertical="center"/>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21" borderId="189" applyNumberFormat="0" applyProtection="0">
      <alignment horizontal="left" vertical="top" indent="1"/>
    </xf>
    <xf numFmtId="186" fontId="56" fillId="40" borderId="179" applyNumberFormat="0" applyFont="0" applyAlignment="0" applyProtection="0"/>
    <xf numFmtId="0" fontId="27" fillId="14" borderId="199" applyNumberFormat="0" applyProtection="0">
      <alignment horizontal="left" vertical="top" indent="1"/>
    </xf>
    <xf numFmtId="186" fontId="56" fillId="63"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27" fillId="14" borderId="189" applyNumberFormat="0" applyProtection="0">
      <alignment horizontal="left" vertical="center" indent="1"/>
    </xf>
    <xf numFmtId="186" fontId="57" fillId="44" borderId="192" applyNumberFormat="0" applyAlignment="0" applyProtection="0"/>
    <xf numFmtId="186" fontId="56" fillId="21" borderId="189"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91" fontId="5" fillId="13" borderId="177">
      <alignment vertical="center"/>
    </xf>
    <xf numFmtId="186" fontId="56" fillId="14" borderId="199" applyNumberFormat="0" applyProtection="0">
      <alignment horizontal="left" vertical="top" indent="1"/>
    </xf>
    <xf numFmtId="186" fontId="56" fillId="40" borderId="191" applyNumberFormat="0" applyFont="0" applyAlignment="0" applyProtection="0"/>
    <xf numFmtId="4" fontId="56" fillId="54" borderId="17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4" fontId="62" fillId="48" borderId="189" applyNumberFormat="0" applyProtection="0">
      <alignment vertical="center"/>
    </xf>
    <xf numFmtId="4" fontId="59" fillId="65" borderId="201" applyNumberFormat="0" applyProtection="0">
      <alignment horizontal="right" vertical="center"/>
    </xf>
    <xf numFmtId="4" fontId="56" fillId="53" borderId="191"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191" fontId="28" fillId="49" borderId="197">
      <alignment vertical="center"/>
    </xf>
    <xf numFmtId="193" fontId="28" fillId="12" borderId="177">
      <alignment vertical="center"/>
      <protection locked="0"/>
    </xf>
    <xf numFmtId="186" fontId="56" fillId="62" borderId="191" applyNumberFormat="0" applyProtection="0">
      <alignment horizontal="left" vertical="center" indent="1"/>
    </xf>
    <xf numFmtId="4" fontId="56" fillId="52" borderId="201" applyNumberFormat="0" applyProtection="0">
      <alignment vertical="center"/>
    </xf>
    <xf numFmtId="4" fontId="56" fillId="55" borderId="191" applyNumberFormat="0" applyProtection="0">
      <alignment horizontal="right" vertical="center"/>
    </xf>
    <xf numFmtId="186" fontId="28" fillId="51" borderId="177">
      <alignment horizontal="right" vertical="center"/>
      <protection locked="0"/>
    </xf>
    <xf numFmtId="186" fontId="44" fillId="0" borderId="185" applyNumberFormat="0" applyFill="0" applyAlignment="0" applyProtection="0"/>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5" fillId="7" borderId="177">
      <alignment vertical="center"/>
      <protection locked="0"/>
    </xf>
    <xf numFmtId="4" fontId="56" fillId="56" borderId="201" applyNumberFormat="0" applyProtection="0">
      <alignment horizontal="right" vertical="center"/>
    </xf>
    <xf numFmtId="186" fontId="57" fillId="44" borderId="192" applyNumberFormat="0" applyAlignment="0" applyProtection="0"/>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0" borderId="201" applyNumberFormat="0" applyFont="0" applyAlignment="0" applyProtection="0"/>
    <xf numFmtId="186" fontId="57" fillId="44" borderId="192" applyNumberFormat="0" applyAlignment="0" applyProtection="0"/>
    <xf numFmtId="186" fontId="56" fillId="40" borderId="179" applyNumberFormat="0" applyFont="0" applyAlignment="0" applyProtection="0"/>
    <xf numFmtId="4" fontId="56" fillId="16" borderId="201" applyNumberFormat="0" applyProtection="0">
      <alignment horizontal="right" vertical="center"/>
    </xf>
    <xf numFmtId="4" fontId="56" fillId="56" borderId="191" applyNumberFormat="0" applyProtection="0">
      <alignment horizontal="right" vertical="center"/>
    </xf>
    <xf numFmtId="186" fontId="27" fillId="14" borderId="189" applyNumberFormat="0" applyProtection="0">
      <alignment horizontal="left" vertical="top" indent="1"/>
    </xf>
    <xf numFmtId="172" fontId="28" fillId="12" borderId="207">
      <alignment vertical="center"/>
      <protection locked="0"/>
    </xf>
    <xf numFmtId="193" fontId="28" fillId="12" borderId="177">
      <alignment vertical="center"/>
      <protection locked="0"/>
    </xf>
    <xf numFmtId="186" fontId="56" fillId="63" borderId="199" applyNumberFormat="0" applyProtection="0">
      <alignment horizontal="left" vertical="top" indent="1"/>
    </xf>
    <xf numFmtId="186" fontId="60" fillId="52" borderId="189" applyNumberFormat="0" applyProtection="0">
      <alignment horizontal="left" vertical="top" indent="1"/>
    </xf>
    <xf numFmtId="4" fontId="76" fillId="87" borderId="189" applyNumberFormat="0" applyProtection="0">
      <alignment horizontal="right" vertical="center"/>
    </xf>
    <xf numFmtId="172" fontId="28" fillId="12" borderId="197">
      <alignment vertical="center"/>
      <protection locked="0"/>
    </xf>
    <xf numFmtId="186" fontId="27" fillId="21" borderId="199" applyNumberFormat="0" applyProtection="0">
      <alignment horizontal="left" vertical="top" indent="1"/>
    </xf>
    <xf numFmtId="186" fontId="56" fillId="63" borderId="189" applyNumberFormat="0" applyProtection="0">
      <alignment horizontal="left" vertical="top" indent="1"/>
    </xf>
    <xf numFmtId="37" fontId="33" fillId="0" borderId="194" applyNumberFormat="0"/>
    <xf numFmtId="4" fontId="56" fillId="58" borderId="201" applyNumberFormat="0" applyProtection="0">
      <alignment horizontal="right" vertical="center"/>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2" borderId="201" applyNumberFormat="0" applyProtection="0">
      <alignment vertical="center"/>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91" fontId="5" fillId="7" borderId="177">
      <alignment vertical="center"/>
      <protection locked="0"/>
    </xf>
    <xf numFmtId="4" fontId="59" fillId="65" borderId="191" applyNumberFormat="0" applyProtection="0">
      <alignment horizontal="right" vertical="center"/>
    </xf>
    <xf numFmtId="186" fontId="61" fillId="21" borderId="193" applyBorder="0"/>
    <xf numFmtId="186" fontId="56" fillId="40"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4" fontId="72" fillId="84" borderId="189"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62" fillId="48" borderId="189" applyNumberFormat="0" applyProtection="0">
      <alignment horizontal="left" vertical="top" indent="1"/>
    </xf>
    <xf numFmtId="186" fontId="42" fillId="44" borderId="20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60" fillId="52" borderId="199" applyNumberFormat="0" applyProtection="0">
      <alignment horizontal="left" vertical="top" indent="1"/>
    </xf>
    <xf numFmtId="4" fontId="56" fillId="16"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186" fontId="60" fillId="52" borderId="181"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63" borderId="181" applyNumberFormat="0" applyProtection="0">
      <alignment horizontal="left" vertical="top" indent="1"/>
    </xf>
    <xf numFmtId="4" fontId="56" fillId="52" borderId="179" applyNumberFormat="0" applyProtection="0">
      <alignment vertical="center"/>
    </xf>
    <xf numFmtId="186" fontId="27" fillId="15" borderId="189" applyNumberFormat="0" applyProtection="0">
      <alignment horizontal="left" vertical="top" indent="1"/>
    </xf>
    <xf numFmtId="4" fontId="56" fillId="61" borderId="195" applyNumberFormat="0" applyProtection="0">
      <alignment horizontal="left" vertical="center" indent="1"/>
    </xf>
    <xf numFmtId="4" fontId="56" fillId="55"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63" fillId="66" borderId="195" applyNumberFormat="0" applyProtection="0">
      <alignment horizontal="left" vertical="center" indent="1"/>
    </xf>
    <xf numFmtId="4" fontId="56" fillId="16"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4" fontId="72" fillId="81" borderId="181" applyNumberFormat="0" applyProtection="0">
      <alignment horizontal="right" vertical="center"/>
    </xf>
    <xf numFmtId="172" fontId="5" fillId="7" borderId="186">
      <alignmen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56" fillId="16" borderId="179" applyNumberFormat="0" applyProtection="0">
      <alignment horizontal="right" vertical="center"/>
    </xf>
    <xf numFmtId="186" fontId="56" fillId="40" borderId="179" applyNumberFormat="0" applyFont="0" applyAlignment="0" applyProtection="0"/>
    <xf numFmtId="186" fontId="27" fillId="63" borderId="199" applyNumberFormat="0" applyProtection="0">
      <alignment horizontal="left" vertical="center" indent="1"/>
    </xf>
    <xf numFmtId="186" fontId="56" fillId="21" borderId="189" applyNumberFormat="0" applyProtection="0">
      <alignment horizontal="left" vertical="top" indent="1"/>
    </xf>
    <xf numFmtId="186" fontId="28" fillId="49" borderId="177">
      <alignment vertical="center"/>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27" fillId="14" borderId="199" applyNumberFormat="0" applyProtection="0">
      <alignment horizontal="left" vertical="top" indent="1"/>
    </xf>
    <xf numFmtId="186" fontId="56" fillId="21"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2" fillId="48" borderId="189" applyNumberFormat="0" applyProtection="0">
      <alignment vertical="center"/>
    </xf>
    <xf numFmtId="0" fontId="5" fillId="69" borderId="177">
      <alignment vertical="center"/>
    </xf>
    <xf numFmtId="191" fontId="28" fillId="12" borderId="177">
      <alignment vertical="center"/>
      <protection locked="0"/>
    </xf>
    <xf numFmtId="186" fontId="56" fillId="11" borderId="191" applyNumberFormat="0" applyProtection="0">
      <alignment horizontal="left" vertical="center" indent="1"/>
    </xf>
    <xf numFmtId="186" fontId="56" fillId="11" borderId="191" applyNumberFormat="0" applyProtection="0">
      <alignment horizontal="left" vertical="center" indent="1"/>
    </xf>
    <xf numFmtId="191" fontId="28" fillId="51" borderId="197">
      <alignment horizontal="right" vertical="center"/>
      <protection locked="0"/>
    </xf>
    <xf numFmtId="186" fontId="27" fillId="14" borderId="189" applyNumberFormat="0" applyProtection="0">
      <alignment horizontal="left" vertical="top" indent="1"/>
    </xf>
    <xf numFmtId="186" fontId="27" fillId="21" borderId="189"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4" fontId="56" fillId="56" borderId="191" applyNumberFormat="0" applyProtection="0">
      <alignment horizontal="right" vertical="center"/>
    </xf>
    <xf numFmtId="186" fontId="56" fillId="40" borderId="191" applyNumberFormat="0" applyFont="0" applyAlignment="0" applyProtection="0"/>
    <xf numFmtId="4" fontId="70" fillId="86" borderId="189" applyNumberFormat="0" applyProtection="0">
      <alignment horizontal="left" vertical="center" indent="1"/>
    </xf>
    <xf numFmtId="191" fontId="5" fillId="7" borderId="186">
      <alignment vertical="center"/>
      <protection locked="0"/>
    </xf>
    <xf numFmtId="191" fontId="28" fillId="50" borderId="197">
      <alignment vertical="center"/>
    </xf>
    <xf numFmtId="186" fontId="56" fillId="14" borderId="181"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center" indent="1"/>
    </xf>
    <xf numFmtId="4" fontId="56" fillId="56" borderId="191" applyNumberFormat="0" applyProtection="0">
      <alignment horizontal="right" vertical="center"/>
    </xf>
    <xf numFmtId="4" fontId="56" fillId="54" borderId="179" applyNumberFormat="0" applyProtection="0">
      <alignment horizontal="left" vertical="center" indent="1"/>
    </xf>
    <xf numFmtId="186" fontId="56" fillId="21" borderId="181" applyNumberFormat="0" applyProtection="0">
      <alignment horizontal="left" vertical="top" indent="1"/>
    </xf>
    <xf numFmtId="191" fontId="28" fillId="49" borderId="186">
      <alignment vertical="center"/>
    </xf>
    <xf numFmtId="193" fontId="28" fillId="12" borderId="177">
      <alignment vertical="center"/>
      <protection locked="0"/>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91" applyNumberFormat="0" applyProtection="0">
      <alignment horizontal="left" vertical="center" indent="1"/>
    </xf>
    <xf numFmtId="4" fontId="56" fillId="56" borderId="191" applyNumberFormat="0" applyProtection="0">
      <alignment horizontal="right" vertical="center"/>
    </xf>
    <xf numFmtId="186" fontId="56" fillId="40" borderId="191" applyNumberFormat="0" applyFont="0" applyAlignment="0" applyProtection="0"/>
    <xf numFmtId="186" fontId="56" fillId="15" borderId="181" applyNumberFormat="0" applyProtection="0">
      <alignment horizontal="left" vertical="top" indent="1"/>
    </xf>
    <xf numFmtId="4" fontId="56" fillId="0" borderId="201" applyNumberFormat="0" applyProtection="0">
      <alignment horizontal="right" vertical="center"/>
    </xf>
    <xf numFmtId="186" fontId="27" fillId="14" borderId="189" applyNumberFormat="0" applyProtection="0">
      <alignment horizontal="left" vertical="center" indent="1"/>
    </xf>
    <xf numFmtId="186" fontId="56" fillId="15" borderId="199" applyNumberFormat="0" applyProtection="0">
      <alignment horizontal="left" vertical="top" indent="1"/>
    </xf>
    <xf numFmtId="0" fontId="37" fillId="48"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40" borderId="179" applyNumberFormat="0" applyFont="0" applyAlignment="0" applyProtection="0"/>
    <xf numFmtId="4" fontId="56" fillId="57" borderId="205" applyNumberFormat="0" applyProtection="0">
      <alignment horizontal="right" vertical="center"/>
    </xf>
    <xf numFmtId="4" fontId="56" fillId="14" borderId="195" applyNumberFormat="0" applyProtection="0">
      <alignment horizontal="left" vertical="center"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70" fillId="86" borderId="190" applyNumberFormat="0" applyProtection="0">
      <alignment horizontal="left" vertical="center" indent="1"/>
    </xf>
    <xf numFmtId="186" fontId="27" fillId="14" borderId="181" applyNumberFormat="0" applyProtection="0">
      <alignment horizontal="left" vertical="center" indent="1"/>
    </xf>
    <xf numFmtId="186" fontId="27" fillId="64" borderId="207" applyNumberFormat="0">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4" fontId="59" fillId="53" borderId="201" applyNumberFormat="0" applyProtection="0">
      <alignment vertical="center"/>
    </xf>
    <xf numFmtId="4" fontId="56" fillId="19" borderId="191" applyNumberFormat="0" applyProtection="0">
      <alignment horizontal="right" vertical="center"/>
    </xf>
    <xf numFmtId="186" fontId="56" fillId="40" borderId="191" applyNumberFormat="0" applyFont="0" applyAlignment="0" applyProtection="0"/>
    <xf numFmtId="186" fontId="27" fillId="63" borderId="199" applyNumberFormat="0" applyProtection="0">
      <alignment horizontal="left" vertical="top" indent="1"/>
    </xf>
    <xf numFmtId="191" fontId="5" fillId="13" borderId="186">
      <alignment vertical="center"/>
    </xf>
    <xf numFmtId="186" fontId="28" fillId="12" borderId="197">
      <alignment vertical="center"/>
      <protection locked="0"/>
    </xf>
    <xf numFmtId="186" fontId="57" fillId="44" borderId="192" applyNumberFormat="0" applyAlignment="0" applyProtection="0"/>
    <xf numFmtId="186" fontId="27" fillId="15" borderId="189" applyNumberFormat="0" applyProtection="0">
      <alignment horizontal="left" vertical="top" indent="1"/>
    </xf>
    <xf numFmtId="0" fontId="5" fillId="69" borderId="186">
      <alignment vertical="center"/>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72" fontId="28" fillId="12" borderId="207">
      <alignment vertical="center"/>
      <protection locked="0"/>
    </xf>
    <xf numFmtId="186" fontId="44" fillId="0" borderId="206" applyNumberFormat="0" applyFill="0" applyAlignment="0" applyProtection="0"/>
    <xf numFmtId="186" fontId="27" fillId="14" borderId="189" applyNumberFormat="0" applyProtection="0">
      <alignment horizontal="left" vertical="center" indent="1"/>
    </xf>
    <xf numFmtId="186" fontId="27" fillId="15" borderId="181" applyNumberFormat="0" applyProtection="0">
      <alignment horizontal="left" vertical="top" indent="1"/>
    </xf>
    <xf numFmtId="186" fontId="56" fillId="14" borderId="18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28" fillId="50" borderId="197">
      <alignment vertical="center"/>
    </xf>
    <xf numFmtId="190" fontId="28" fillId="50" borderId="177">
      <alignment vertical="center"/>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91" fontId="5" fillId="7" borderId="197">
      <alignment vertical="center"/>
      <protection locked="0"/>
    </xf>
    <xf numFmtId="186" fontId="56" fillId="63" borderId="199" applyNumberFormat="0" applyProtection="0">
      <alignment horizontal="left" vertical="top" indent="1"/>
    </xf>
    <xf numFmtId="186" fontId="56" fillId="14" borderId="179" applyNumberFormat="0" applyProtection="0">
      <alignment horizontal="left" vertical="center"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0" fillId="41" borderId="191" applyNumberFormat="0" applyAlignment="0" applyProtection="0"/>
    <xf numFmtId="4" fontId="56" fillId="59" borderId="191" applyNumberFormat="0" applyProtection="0">
      <alignment horizontal="right" vertical="center"/>
    </xf>
    <xf numFmtId="186" fontId="27" fillId="14" borderId="189" applyNumberFormat="0" applyProtection="0">
      <alignment horizontal="left" vertical="center" indent="1"/>
    </xf>
    <xf numFmtId="4" fontId="56" fillId="0" borderId="201" applyNumberFormat="0" applyProtection="0">
      <alignment horizontal="right" vertical="center"/>
    </xf>
    <xf numFmtId="186" fontId="56" fillId="21" borderId="181" applyNumberFormat="0" applyProtection="0">
      <alignment horizontal="left" vertical="top" indent="1"/>
    </xf>
    <xf numFmtId="186" fontId="56" fillId="63" borderId="189" applyNumberFormat="0" applyProtection="0">
      <alignment horizontal="left" vertical="top" indent="1"/>
    </xf>
    <xf numFmtId="4" fontId="64" fillId="64" borderId="179" applyNumberFormat="0" applyProtection="0">
      <alignment horizontal="right" vertical="center"/>
    </xf>
    <xf numFmtId="186" fontId="56" fillId="21" borderId="189" applyNumberFormat="0" applyProtection="0">
      <alignment horizontal="left" vertical="top" indent="1"/>
    </xf>
    <xf numFmtId="186" fontId="56" fillId="40" borderId="179" applyNumberFormat="0" applyFont="0" applyAlignment="0" applyProtection="0"/>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61" fillId="21" borderId="193" applyBorder="0"/>
    <xf numFmtId="4" fontId="27" fillId="21" borderId="195" applyNumberFormat="0" applyProtection="0">
      <alignment horizontal="left" vertical="center" indent="1"/>
    </xf>
    <xf numFmtId="186" fontId="56" fillId="21" borderId="199" applyNumberFormat="0" applyProtection="0">
      <alignment horizontal="left" vertical="top" indent="1"/>
    </xf>
    <xf numFmtId="186" fontId="56" fillId="21" borderId="181" applyNumberFormat="0" applyProtection="0">
      <alignment horizontal="left" vertical="top" indent="1"/>
    </xf>
    <xf numFmtId="4" fontId="56" fillId="14" borderId="195" applyNumberFormat="0" applyProtection="0">
      <alignment horizontal="left" vertical="center"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42" fillId="44" borderId="191" applyNumberFormat="0" applyAlignment="0" applyProtection="0"/>
    <xf numFmtId="4" fontId="56" fillId="0" borderId="201" applyNumberFormat="0" applyProtection="0">
      <alignment horizontal="right" vertical="center"/>
    </xf>
    <xf numFmtId="4" fontId="27" fillId="21" borderId="205" applyNumberFormat="0" applyProtection="0">
      <alignment horizontal="left" vertical="center" indent="1"/>
    </xf>
    <xf numFmtId="186" fontId="27" fillId="14" borderId="199"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4" fontId="56" fillId="0" borderId="191" applyNumberFormat="0" applyProtection="0">
      <alignment horizontal="right" vertical="center"/>
    </xf>
    <xf numFmtId="4" fontId="59" fillId="53" borderId="191" applyNumberFormat="0" applyProtection="0">
      <alignment vertical="center"/>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21"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15" borderId="199" applyNumberFormat="0" applyProtection="0">
      <alignment horizontal="left" vertical="top"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193" fontId="5" fillId="69" borderId="177">
      <alignment vertical="center"/>
    </xf>
    <xf numFmtId="4" fontId="56" fillId="57" borderId="195" applyNumberFormat="0" applyProtection="0">
      <alignment horizontal="right" vertical="center"/>
    </xf>
    <xf numFmtId="37" fontId="33" fillId="0" borderId="194" applyNumberFormat="0"/>
    <xf numFmtId="4" fontId="56" fillId="54" borderId="191" applyNumberFormat="0" applyProtection="0">
      <alignment horizontal="left" vertical="center" indent="1"/>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42" fillId="44" borderId="179" applyNumberFormat="0" applyAlignment="0" applyProtection="0"/>
    <xf numFmtId="186" fontId="27" fillId="14" borderId="189" applyNumberFormat="0" applyProtection="0">
      <alignment horizontal="left" vertical="top" indent="1"/>
    </xf>
    <xf numFmtId="193" fontId="28" fillId="50" borderId="197">
      <alignment vertical="center"/>
    </xf>
    <xf numFmtId="0" fontId="27" fillId="63" borderId="189" applyNumberFormat="0" applyProtection="0">
      <alignment horizontal="left" vertical="center" indent="1"/>
    </xf>
    <xf numFmtId="193" fontId="5" fillId="7" borderId="186">
      <alignment vertical="center"/>
      <protection locked="0"/>
    </xf>
    <xf numFmtId="186" fontId="56" fillId="11" borderId="191" applyNumberFormat="0" applyProtection="0">
      <alignment horizontal="left" vertical="center" indent="1"/>
    </xf>
    <xf numFmtId="186" fontId="56" fillId="63" borderId="181" applyNumberFormat="0" applyProtection="0">
      <alignment horizontal="left" vertical="top" indent="1"/>
    </xf>
    <xf numFmtId="191" fontId="28" fillId="50" borderId="186">
      <alignment vertical="center"/>
    </xf>
    <xf numFmtId="186" fontId="62" fillId="15" borderId="181" applyNumberFormat="0" applyProtection="0">
      <alignment horizontal="left" vertical="top" indent="1"/>
    </xf>
    <xf numFmtId="4" fontId="56" fillId="61" borderId="182" applyNumberFormat="0" applyProtection="0">
      <alignment horizontal="left" vertical="center" indent="1"/>
    </xf>
    <xf numFmtId="186" fontId="56" fillId="21" borderId="181" applyNumberFormat="0" applyProtection="0">
      <alignment horizontal="left" vertical="top" indent="1"/>
    </xf>
    <xf numFmtId="37" fontId="33" fillId="0" borderId="194" applyNumberFormat="0"/>
    <xf numFmtId="4" fontId="56" fillId="57" borderId="205" applyNumberFormat="0" applyProtection="0">
      <alignment horizontal="right" vertical="center"/>
    </xf>
    <xf numFmtId="186" fontId="56" fillId="14" borderId="181" applyNumberFormat="0" applyProtection="0">
      <alignment horizontal="left" vertical="top" indent="1"/>
    </xf>
    <xf numFmtId="4" fontId="56" fillId="19" borderId="179" applyNumberFormat="0" applyProtection="0">
      <alignment horizontal="right" vertical="center"/>
    </xf>
    <xf numFmtId="186" fontId="56" fillId="40" borderId="179" applyNumberFormat="0" applyFont="0" applyAlignment="0" applyProtection="0"/>
    <xf numFmtId="186" fontId="56" fillId="63" borderId="189" applyNumberFormat="0" applyProtection="0">
      <alignment horizontal="left" vertical="top" indent="1"/>
    </xf>
    <xf numFmtId="4" fontId="56" fillId="0" borderId="179" applyNumberFormat="0" applyProtection="0">
      <alignment horizontal="right" vertical="center"/>
    </xf>
    <xf numFmtId="4" fontId="27" fillId="21" borderId="182" applyNumberFormat="0" applyProtection="0">
      <alignment horizontal="left" vertical="center"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4" fontId="56" fillId="56" borderId="191" applyNumberFormat="0" applyProtection="0">
      <alignment horizontal="right" vertical="center"/>
    </xf>
    <xf numFmtId="186" fontId="27" fillId="21" borderId="181" applyNumberFormat="0" applyProtection="0">
      <alignment horizontal="left" vertical="top" indent="1"/>
    </xf>
    <xf numFmtId="4" fontId="56" fillId="52" borderId="191" applyNumberFormat="0" applyProtection="0">
      <alignment vertical="center"/>
    </xf>
    <xf numFmtId="186" fontId="61" fillId="21" borderId="193" applyBorder="0"/>
    <xf numFmtId="186" fontId="27" fillId="14" borderId="181" applyNumberFormat="0" applyProtection="0">
      <alignment horizontal="left" vertical="center" indent="1"/>
    </xf>
    <xf numFmtId="0" fontId="27" fillId="21" borderId="181" applyNumberFormat="0" applyProtection="0">
      <alignment horizontal="left" vertical="top" indent="1"/>
    </xf>
    <xf numFmtId="191" fontId="5" fillId="69" borderId="186">
      <alignment vertical="center"/>
    </xf>
    <xf numFmtId="186" fontId="56" fillId="14" borderId="181" applyNumberFormat="0" applyProtection="0">
      <alignment horizontal="left" vertical="top" indent="1"/>
    </xf>
    <xf numFmtId="186" fontId="56" fillId="63" borderId="179"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91" fontId="5" fillId="7" borderId="186">
      <alignment vertical="center"/>
      <protection locked="0"/>
    </xf>
    <xf numFmtId="186" fontId="27" fillId="21" borderId="181" applyNumberFormat="0" applyProtection="0">
      <alignment horizontal="left" vertical="top" indent="1"/>
    </xf>
    <xf numFmtId="186" fontId="28" fillId="49" borderId="186">
      <alignment vertical="center"/>
    </xf>
    <xf numFmtId="186" fontId="50" fillId="41" borderId="191" applyNumberFormat="0" applyAlignment="0" applyProtection="0"/>
    <xf numFmtId="186" fontId="44" fillId="0" borderId="185" applyNumberFormat="0" applyFill="0" applyAlignment="0" applyProtection="0"/>
    <xf numFmtId="186" fontId="56" fillId="15" borderId="189" applyNumberFormat="0" applyProtection="0">
      <alignment horizontal="left" vertical="top" indent="1"/>
    </xf>
    <xf numFmtId="190" fontId="5" fillId="13" borderId="197">
      <alignment vertical="center"/>
    </xf>
    <xf numFmtId="186" fontId="44" fillId="0" borderId="206" applyNumberFormat="0" applyFill="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40" borderId="179" applyNumberFormat="0" applyFont="0" applyAlignment="0" applyProtection="0"/>
    <xf numFmtId="186" fontId="56" fillId="40" borderId="191" applyNumberFormat="0" applyFont="0" applyAlignment="0" applyProtection="0"/>
    <xf numFmtId="186" fontId="61" fillId="21" borderId="203" applyBorder="0"/>
    <xf numFmtId="186" fontId="28" fillId="50" borderId="186">
      <alignment vertical="center"/>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61" fillId="21" borderId="193" applyBorder="0"/>
    <xf numFmtId="186" fontId="56" fillId="40" borderId="191" applyNumberFormat="0" applyFont="0" applyAlignment="0" applyProtection="0"/>
    <xf numFmtId="186" fontId="56" fillId="14" borderId="199" applyNumberFormat="0" applyProtection="0">
      <alignment horizontal="left" vertical="top" indent="1"/>
    </xf>
    <xf numFmtId="186" fontId="61" fillId="21" borderId="193" applyBorder="0"/>
    <xf numFmtId="186" fontId="27" fillId="63" borderId="181" applyNumberFormat="0" applyProtection="0">
      <alignment horizontal="left" vertical="top" indent="1"/>
    </xf>
    <xf numFmtId="190" fontId="5" fillId="13" borderId="186">
      <alignment vertical="center"/>
    </xf>
    <xf numFmtId="186" fontId="56" fillId="14" borderId="181" applyNumberFormat="0" applyProtection="0">
      <alignment horizontal="left" vertical="top" indent="1"/>
    </xf>
    <xf numFmtId="186" fontId="28" fillId="49" borderId="197">
      <alignment vertical="center"/>
    </xf>
    <xf numFmtId="186" fontId="27" fillId="14" borderId="189" applyNumberFormat="0" applyProtection="0">
      <alignment horizontal="left" vertical="center" indent="1"/>
    </xf>
    <xf numFmtId="4" fontId="56" fillId="19" borderId="191" applyNumberFormat="0" applyProtection="0">
      <alignment horizontal="right" vertical="center"/>
    </xf>
    <xf numFmtId="186" fontId="28" fillId="49" borderId="177">
      <alignment vertical="center"/>
    </xf>
    <xf numFmtId="4" fontId="56" fillId="19" borderId="201" applyNumberFormat="0" applyProtection="0">
      <alignment horizontal="right" vertical="center"/>
    </xf>
    <xf numFmtId="186" fontId="28" fillId="51" borderId="197">
      <alignment horizontal="right" vertical="center"/>
      <protection locked="0"/>
    </xf>
    <xf numFmtId="193" fontId="28" fillId="12" borderId="177">
      <alignment vertical="center"/>
      <protection locked="0"/>
    </xf>
    <xf numFmtId="0" fontId="5" fillId="70" borderId="186">
      <alignment horizontal="right" vertical="center"/>
      <protection locked="0"/>
    </xf>
    <xf numFmtId="186" fontId="56" fillId="15" borderId="181" applyNumberFormat="0" applyProtection="0">
      <alignment horizontal="left" vertical="top" indent="1"/>
    </xf>
    <xf numFmtId="186" fontId="56" fillId="40" borderId="19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99" applyNumberFormat="0" applyProtection="0">
      <alignment horizontal="left" vertical="top" indent="1"/>
    </xf>
    <xf numFmtId="191" fontId="28" fillId="12" borderId="177">
      <alignment vertical="center"/>
      <protection locked="0"/>
    </xf>
    <xf numFmtId="172" fontId="28" fillId="12" borderId="186">
      <alignment vertical="center"/>
      <protection locked="0"/>
    </xf>
    <xf numFmtId="186" fontId="27" fillId="15" borderId="199" applyNumberFormat="0" applyProtection="0">
      <alignment horizontal="left" vertical="center" indent="1"/>
    </xf>
    <xf numFmtId="0" fontId="5" fillId="13" borderId="197">
      <alignment vertical="center"/>
    </xf>
    <xf numFmtId="4" fontId="56" fillId="58" borderId="191" applyNumberFormat="0" applyProtection="0">
      <alignment horizontal="right" vertical="center"/>
    </xf>
    <xf numFmtId="186" fontId="27" fillId="21" borderId="199" applyNumberFormat="0" applyProtection="0">
      <alignment horizontal="left" vertical="top" indent="1"/>
    </xf>
    <xf numFmtId="4" fontId="56" fillId="19" borderId="179" applyNumberFormat="0" applyProtection="0">
      <alignment horizontal="right" vertical="center"/>
    </xf>
    <xf numFmtId="186" fontId="27" fillId="14" borderId="189" applyNumberFormat="0" applyProtection="0">
      <alignment horizontal="left" vertical="top" indent="1"/>
    </xf>
    <xf numFmtId="0" fontId="5" fillId="13" borderId="186">
      <alignment vertical="center"/>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61" fillId="21" borderId="203" applyBorder="0"/>
    <xf numFmtId="4" fontId="56" fillId="23" borderId="191" applyNumberFormat="0" applyProtection="0">
      <alignment horizontal="right" vertical="center"/>
    </xf>
    <xf numFmtId="4" fontId="59" fillId="65" borderId="201" applyNumberFormat="0" applyProtection="0">
      <alignment horizontal="right" vertical="center"/>
    </xf>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70" fillId="53" borderId="189" applyNumberFormat="0" applyProtection="0">
      <alignment vertical="center"/>
    </xf>
    <xf numFmtId="186" fontId="27" fillId="15" borderId="18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44" fillId="0" borderId="185" applyNumberFormat="0" applyFill="0" applyAlignment="0" applyProtection="0"/>
    <xf numFmtId="186" fontId="56" fillId="40" borderId="191" applyNumberFormat="0" applyFont="0" applyAlignment="0" applyProtection="0"/>
    <xf numFmtId="186" fontId="42" fillId="44" borderId="191" applyNumberFormat="0" applyAlignment="0" applyProtection="0"/>
    <xf numFmtId="0" fontId="5" fillId="70" borderId="197">
      <alignment horizontal="right" vertical="center"/>
      <protection locked="0"/>
    </xf>
    <xf numFmtId="4" fontId="56" fillId="54" borderId="20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94" fontId="33" fillId="0" borderId="198" applyFill="0"/>
    <xf numFmtId="186" fontId="42" fillId="44" borderId="201" applyNumberFormat="0" applyAlignment="0" applyProtection="0"/>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4" fontId="56" fillId="54" borderId="201" applyNumberFormat="0" applyProtection="0">
      <alignment horizontal="left" vertical="center"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4" fontId="72" fillId="87" borderId="189" applyNumberFormat="0" applyProtection="0">
      <alignment horizontal="right" vertical="center"/>
    </xf>
    <xf numFmtId="4" fontId="27" fillId="21" borderId="195" applyNumberFormat="0" applyProtection="0">
      <alignment horizontal="left" vertical="center" indent="1"/>
    </xf>
    <xf numFmtId="186" fontId="56" fillId="14" borderId="191" applyNumberFormat="0" applyProtection="0">
      <alignment horizontal="left" vertical="center" indent="1"/>
    </xf>
    <xf numFmtId="191" fontId="5" fillId="13" borderId="197">
      <alignment vertical="center"/>
    </xf>
    <xf numFmtId="193" fontId="5" fillId="69" borderId="197">
      <alignment vertical="center"/>
    </xf>
    <xf numFmtId="188" fontId="5" fillId="69" borderId="197">
      <alignment vertical="center"/>
    </xf>
    <xf numFmtId="0" fontId="5" fillId="7" borderId="197">
      <alignment vertical="center"/>
      <protection locked="0"/>
    </xf>
    <xf numFmtId="191" fontId="28" fillId="50" borderId="197">
      <alignment vertical="center"/>
    </xf>
    <xf numFmtId="186" fontId="44" fillId="0" borderId="206" applyNumberFormat="0" applyFill="0" applyAlignment="0" applyProtection="0"/>
    <xf numFmtId="186" fontId="56" fillId="14" borderId="191" applyNumberFormat="0" applyProtection="0">
      <alignment horizontal="left" vertical="center" indent="1"/>
    </xf>
    <xf numFmtId="186" fontId="27" fillId="14" borderId="189" applyNumberFormat="0" applyProtection="0">
      <alignment horizontal="left" vertical="center" indent="1"/>
    </xf>
    <xf numFmtId="191" fontId="5" fillId="69" borderId="197">
      <alignment vertical="center"/>
    </xf>
    <xf numFmtId="186" fontId="56" fillId="14" borderId="199" applyNumberFormat="0" applyProtection="0">
      <alignment horizontal="left" vertical="top" indent="1"/>
    </xf>
    <xf numFmtId="186" fontId="42" fillId="44" borderId="19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8" fontId="28" fillId="51" borderId="197">
      <alignment horizontal="right" vertical="center"/>
      <protection locked="0"/>
    </xf>
    <xf numFmtId="186" fontId="27" fillId="63" borderId="199" applyNumberFormat="0" applyProtection="0">
      <alignment horizontal="left" vertical="center" indent="1"/>
    </xf>
    <xf numFmtId="188" fontId="28" fillId="49" borderId="197">
      <alignment vertical="center"/>
    </xf>
    <xf numFmtId="37" fontId="33" fillId="0" borderId="194" applyNumberFormat="0"/>
    <xf numFmtId="186" fontId="56" fillId="62" borderId="191"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14" borderId="205" applyNumberFormat="0" applyProtection="0">
      <alignment horizontal="left" vertical="center" indent="1"/>
    </xf>
    <xf numFmtId="186" fontId="56" fillId="63" borderId="189" applyNumberFormat="0" applyProtection="0">
      <alignment horizontal="left" vertical="top" indent="1"/>
    </xf>
    <xf numFmtId="4" fontId="56" fillId="15" borderId="19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62" fillId="15" borderId="189" applyNumberFormat="0" applyProtection="0">
      <alignment horizontal="left" vertical="top" indent="1"/>
    </xf>
    <xf numFmtId="4" fontId="56" fillId="16" borderId="201" applyNumberFormat="0" applyProtection="0">
      <alignment horizontal="right" vertical="center"/>
    </xf>
    <xf numFmtId="186" fontId="57" fillId="44" borderId="192" applyNumberFormat="0" applyAlignment="0" applyProtection="0"/>
    <xf numFmtId="4" fontId="56" fillId="0" borderId="191" applyNumberFormat="0" applyProtection="0">
      <alignment horizontal="right" vertical="center"/>
    </xf>
    <xf numFmtId="0" fontId="27" fillId="14" borderId="199" applyNumberFormat="0" applyProtection="0">
      <alignment horizontal="left" vertical="center" indent="1"/>
    </xf>
    <xf numFmtId="4" fontId="76" fillId="87" borderId="199" applyNumberFormat="0" applyProtection="0">
      <alignment horizontal="right" vertical="center"/>
    </xf>
    <xf numFmtId="186" fontId="42" fillId="44" borderId="191" applyNumberFormat="0" applyAlignment="0" applyProtection="0"/>
    <xf numFmtId="4" fontId="72" fillId="78" borderId="19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27" fillId="64" borderId="197" applyNumberFormat="0">
      <protection locked="0"/>
    </xf>
    <xf numFmtId="4" fontId="64" fillId="64" borderId="191" applyNumberFormat="0" applyProtection="0">
      <alignment horizontal="right" vertical="center"/>
    </xf>
    <xf numFmtId="186" fontId="57" fillId="44" borderId="192" applyNumberForma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1" borderId="191" applyNumberFormat="0" applyProtection="0">
      <alignment horizontal="left" vertical="center"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4" fontId="56" fillId="58" borderId="191" applyNumberFormat="0" applyProtection="0">
      <alignment horizontal="right" vertical="center"/>
    </xf>
    <xf numFmtId="186" fontId="56" fillId="21" borderId="189" applyNumberFormat="0" applyProtection="0">
      <alignment horizontal="left" vertical="top" indent="1"/>
    </xf>
    <xf numFmtId="0" fontId="27" fillId="14" borderId="189" applyNumberFormat="0" applyProtection="0">
      <alignment horizontal="left" vertical="center" indent="1"/>
    </xf>
    <xf numFmtId="186" fontId="28" fillId="51" borderId="177">
      <alignment horizontal="right" vertical="center"/>
      <protection locked="0"/>
    </xf>
    <xf numFmtId="4" fontId="56" fillId="23" borderId="201" applyNumberFormat="0" applyProtection="0">
      <alignment horizontal="right" vertical="center"/>
    </xf>
    <xf numFmtId="186" fontId="56" fillId="21" borderId="189" applyNumberFormat="0" applyProtection="0">
      <alignment horizontal="left" vertical="top" indent="1"/>
    </xf>
    <xf numFmtId="4" fontId="56" fillId="60" borderId="179"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186" fontId="60" fillId="52" borderId="181" applyNumberFormat="0" applyProtection="0">
      <alignment horizontal="left" vertical="top" indent="1"/>
    </xf>
    <xf numFmtId="186" fontId="27" fillId="63" borderId="181" applyNumberFormat="0" applyProtection="0">
      <alignment horizontal="left" vertical="top" indent="1"/>
    </xf>
    <xf numFmtId="186" fontId="56" fillId="21" borderId="181" applyNumberFormat="0" applyProtection="0">
      <alignment horizontal="left" vertical="top" indent="1"/>
    </xf>
    <xf numFmtId="4" fontId="56" fillId="0" borderId="201" applyNumberFormat="0" applyProtection="0">
      <alignment horizontal="right" vertical="center"/>
    </xf>
    <xf numFmtId="186" fontId="56" fillId="14" borderId="199" applyNumberFormat="0" applyProtection="0">
      <alignment horizontal="left" vertical="top" indent="1"/>
    </xf>
    <xf numFmtId="4" fontId="62" fillId="48" borderId="199" applyNumberFormat="0" applyProtection="0">
      <alignment vertical="center"/>
    </xf>
    <xf numFmtId="4" fontId="56" fillId="19" borderId="20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192" applyNumberFormat="0" applyAlignment="0" applyProtection="0"/>
    <xf numFmtId="186" fontId="27" fillId="63" borderId="189" applyNumberFormat="0" applyProtection="0">
      <alignment horizontal="left" vertical="center" indent="1"/>
    </xf>
    <xf numFmtId="186" fontId="62" fillId="48" borderId="189" applyNumberFormat="0" applyProtection="0">
      <alignment horizontal="left" vertical="top" indent="1"/>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14" borderId="189" applyNumberFormat="0" applyProtection="0">
      <alignment horizontal="left" vertical="top" indent="1"/>
    </xf>
    <xf numFmtId="193" fontId="28" fillId="12" borderId="197">
      <alignment vertical="center"/>
      <protection locked="0"/>
    </xf>
    <xf numFmtId="190" fontId="28" fillId="49" borderId="197">
      <alignment vertical="center"/>
    </xf>
    <xf numFmtId="186" fontId="50" fillId="41" borderId="191" applyNumberFormat="0" applyAlignment="0" applyProtection="0"/>
    <xf numFmtId="4" fontId="56" fillId="1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8" fontId="5" fillId="7" borderId="197">
      <alignment vertical="center"/>
      <protection locked="0"/>
    </xf>
    <xf numFmtId="191" fontId="5" fillId="70" borderId="177">
      <alignment horizontal="right" vertical="center"/>
      <protection locked="0"/>
    </xf>
    <xf numFmtId="186" fontId="56" fillId="15" borderId="199" applyNumberFormat="0" applyProtection="0">
      <alignment horizontal="left" vertical="top" indent="1"/>
    </xf>
    <xf numFmtId="4" fontId="64" fillId="64" borderId="201" applyNumberFormat="0" applyProtection="0">
      <alignment horizontal="right" vertical="center"/>
    </xf>
    <xf numFmtId="186" fontId="56" fillId="14" borderId="189" applyNumberFormat="0" applyProtection="0">
      <alignment horizontal="left" vertical="top" indent="1"/>
    </xf>
    <xf numFmtId="186" fontId="27" fillId="21" borderId="181" applyNumberFormat="0" applyProtection="0">
      <alignment horizontal="left" vertical="center" indent="1"/>
    </xf>
    <xf numFmtId="4" fontId="56" fillId="52" borderId="179" applyNumberFormat="0" applyProtection="0">
      <alignment vertical="center"/>
    </xf>
    <xf numFmtId="186" fontId="56" fillId="15" borderId="199" applyNumberFormat="0" applyProtection="0">
      <alignment horizontal="left" vertical="top" indent="1"/>
    </xf>
    <xf numFmtId="4" fontId="72" fillId="79" borderId="181" applyNumberFormat="0" applyProtection="0">
      <alignment horizontal="right" vertical="center"/>
    </xf>
    <xf numFmtId="4" fontId="27" fillId="21" borderId="195" applyNumberFormat="0" applyProtection="0">
      <alignment horizontal="left" vertical="center" indent="1"/>
    </xf>
    <xf numFmtId="190" fontId="28" fillId="51" borderId="186">
      <alignment horizontal="right" vertical="center"/>
      <protection locked="0"/>
    </xf>
    <xf numFmtId="186" fontId="56" fillId="15"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5" borderId="181" applyNumberFormat="0" applyProtection="0">
      <alignment horizontal="left" vertical="top" indent="1"/>
    </xf>
    <xf numFmtId="186" fontId="56" fillId="15" borderId="199" applyNumberFormat="0" applyProtection="0">
      <alignment horizontal="left" vertical="top" indent="1"/>
    </xf>
    <xf numFmtId="191" fontId="5" fillId="13" borderId="177">
      <alignment vertical="center"/>
    </xf>
    <xf numFmtId="186" fontId="56" fillId="21" borderId="189" applyNumberFormat="0" applyProtection="0">
      <alignment horizontal="left" vertical="top" indent="1"/>
    </xf>
    <xf numFmtId="4" fontId="56" fillId="59" borderId="179" applyNumberFormat="0" applyProtection="0">
      <alignment horizontal="right" vertical="center"/>
    </xf>
    <xf numFmtId="4" fontId="56" fillId="59" borderId="201" applyNumberFormat="0" applyProtection="0">
      <alignment horizontal="right" vertical="center"/>
    </xf>
    <xf numFmtId="4" fontId="64" fillId="64" borderId="191" applyNumberFormat="0" applyProtection="0">
      <alignment horizontal="right" vertical="center"/>
    </xf>
    <xf numFmtId="186" fontId="56" fillId="40" borderId="191" applyNumberFormat="0" applyFont="0" applyAlignment="0" applyProtection="0"/>
    <xf numFmtId="193" fontId="28" fillId="12" borderId="197">
      <alignment vertical="center"/>
      <protection locked="0"/>
    </xf>
    <xf numFmtId="186" fontId="28" fillId="12" borderId="207">
      <alignment vertical="center"/>
      <protection locked="0"/>
    </xf>
    <xf numFmtId="4" fontId="56" fillId="14" borderId="195" applyNumberFormat="0" applyProtection="0">
      <alignment horizontal="left" vertical="center" indent="1"/>
    </xf>
    <xf numFmtId="186" fontId="44" fillId="0" borderId="185" applyNumberFormat="0" applyFill="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3" borderId="199" applyNumberFormat="0" applyProtection="0">
      <alignment horizontal="right" vertical="center"/>
    </xf>
    <xf numFmtId="4" fontId="56" fillId="19" borderId="201" applyNumberFormat="0" applyProtection="0">
      <alignment horizontal="right" vertical="center"/>
    </xf>
    <xf numFmtId="186" fontId="56"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62" fillId="48" borderId="181" applyNumberFormat="0" applyProtection="0">
      <alignment horizontal="left" vertical="top" indent="1"/>
    </xf>
    <xf numFmtId="186" fontId="27" fillId="14" borderId="189" applyNumberFormat="0" applyProtection="0">
      <alignment horizontal="left" vertical="center" indent="1"/>
    </xf>
    <xf numFmtId="186" fontId="27" fillId="63" borderId="181" applyNumberFormat="0" applyProtection="0">
      <alignment horizontal="left" vertical="center" indent="1"/>
    </xf>
    <xf numFmtId="191" fontId="28" fillId="51" borderId="186">
      <alignment horizontal="right" vertical="center"/>
      <protection locked="0"/>
    </xf>
    <xf numFmtId="186" fontId="56" fillId="40" borderId="191" applyNumberFormat="0" applyFont="0" applyAlignment="0" applyProtection="0"/>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27" fillId="64" borderId="197" applyNumberFormat="0">
      <protection locked="0"/>
    </xf>
    <xf numFmtId="186" fontId="56" fillId="21" borderId="189" applyNumberFormat="0" applyProtection="0">
      <alignment horizontal="left" vertical="top" indent="1"/>
    </xf>
    <xf numFmtId="191" fontId="5" fillId="7" borderId="197">
      <alignment vertical="center"/>
      <protection locked="0"/>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27" fillId="15" borderId="181" applyNumberFormat="0" applyProtection="0">
      <alignment horizontal="left" vertical="center" indent="1"/>
    </xf>
    <xf numFmtId="4" fontId="71"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186" fontId="62" fillId="48" borderId="181" applyNumberFormat="0" applyProtection="0">
      <alignment horizontal="left" vertical="top" indent="1"/>
    </xf>
    <xf numFmtId="186" fontId="60" fillId="52" borderId="181" applyNumberFormat="0" applyProtection="0">
      <alignment horizontal="left" vertical="top" indent="1"/>
    </xf>
    <xf numFmtId="186" fontId="50" fillId="41" borderId="179" applyNumberFormat="0" applyAlignment="0" applyProtection="0"/>
    <xf numFmtId="4" fontId="56" fillId="61" borderId="182"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72" fontId="5" fillId="7" borderId="186">
      <alignment vertical="center"/>
      <protection locked="0"/>
    </xf>
    <xf numFmtId="4" fontId="64" fillId="64" borderId="191" applyNumberFormat="0" applyProtection="0">
      <alignment horizontal="right" vertical="center"/>
    </xf>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79" applyNumberFormat="0" applyProtection="0">
      <alignment horizontal="left" vertical="center" indent="1"/>
    </xf>
    <xf numFmtId="191" fontId="5" fillId="69" borderId="177">
      <alignment vertical="center"/>
    </xf>
    <xf numFmtId="193" fontId="28" fillId="50" borderId="197">
      <alignment vertical="center"/>
    </xf>
    <xf numFmtId="186" fontId="27" fillId="63" borderId="189" applyNumberFormat="0" applyProtection="0">
      <alignment horizontal="left" vertical="center" indent="1"/>
    </xf>
    <xf numFmtId="190" fontId="5" fillId="70" borderId="177">
      <alignment horizontal="right" vertical="center"/>
      <protection locked="0"/>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62" fillId="48" borderId="181" applyNumberFormat="0" applyProtection="0">
      <alignment vertical="center"/>
    </xf>
    <xf numFmtId="4" fontId="59" fillId="65" borderId="201" applyNumberFormat="0" applyProtection="0">
      <alignment horizontal="right" vertical="center"/>
    </xf>
    <xf numFmtId="4" fontId="62" fillId="48" borderId="199" applyNumberFormat="0" applyProtection="0">
      <alignment vertical="center"/>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91" fontId="5" fillId="69" borderId="197">
      <alignment vertical="center"/>
    </xf>
    <xf numFmtId="186" fontId="56" fillId="63" borderId="189" applyNumberFormat="0" applyProtection="0">
      <alignment horizontal="left" vertical="top" indent="1"/>
    </xf>
    <xf numFmtId="4" fontId="56" fillId="0" borderId="191"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8" fontId="28" fillId="51" borderId="186">
      <alignment horizontal="right" vertical="center"/>
      <protection locked="0"/>
    </xf>
    <xf numFmtId="186" fontId="27" fillId="15" borderId="189" applyNumberFormat="0" applyProtection="0">
      <alignment horizontal="left" vertical="center" indent="1"/>
    </xf>
    <xf numFmtId="188" fontId="28" fillId="49" borderId="177">
      <alignment vertical="center"/>
    </xf>
    <xf numFmtId="191" fontId="5" fillId="69" borderId="186">
      <alignment vertical="center"/>
    </xf>
    <xf numFmtId="4" fontId="56" fillId="54" borderId="191" applyNumberFormat="0" applyProtection="0">
      <alignment horizontal="left" vertical="center" indent="1"/>
    </xf>
    <xf numFmtId="4" fontId="70" fillId="53" borderId="189" applyNumberFormat="0" applyProtection="0">
      <alignment vertical="center"/>
    </xf>
    <xf numFmtId="191" fontId="28" fillId="12" borderId="197">
      <alignment vertical="center"/>
      <protection locked="0"/>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4" fontId="56" fillId="55"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15" borderId="191" applyNumberFormat="0" applyProtection="0">
      <alignment horizontal="right" vertical="center"/>
    </xf>
    <xf numFmtId="188" fontId="5" fillId="69" borderId="177">
      <alignment vertical="center"/>
    </xf>
    <xf numFmtId="4" fontId="63" fillId="66" borderId="182" applyNumberFormat="0" applyProtection="0">
      <alignment horizontal="left" vertical="center" indent="1"/>
    </xf>
    <xf numFmtId="186" fontId="56" fillId="21"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62" borderId="179" applyNumberFormat="0" applyProtection="0">
      <alignment horizontal="left" vertical="center" indent="1"/>
    </xf>
    <xf numFmtId="37" fontId="33" fillId="0" borderId="184" applyNumberFormat="0"/>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27" fillId="21" borderId="181"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72" fillId="84" borderId="189" applyNumberFormat="0" applyProtection="0">
      <alignment horizontal="righ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56" fillId="52" borderId="201" applyNumberFormat="0" applyProtection="0">
      <alignmen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4" fontId="56" fillId="53" borderId="201" applyNumberFormat="0" applyProtection="0">
      <alignment horizontal="left" vertical="center" indent="1"/>
    </xf>
    <xf numFmtId="186" fontId="27" fillId="14" borderId="189" applyNumberFormat="0" applyProtection="0">
      <alignment horizontal="left" vertical="top" indent="1"/>
    </xf>
    <xf numFmtId="4" fontId="56" fillId="16" borderId="201" applyNumberFormat="0" applyProtection="0">
      <alignment horizontal="right" vertical="center"/>
    </xf>
    <xf numFmtId="4" fontId="56" fillId="61" borderId="195" applyNumberFormat="0" applyProtection="0">
      <alignment horizontal="left" vertical="center" indent="1"/>
    </xf>
    <xf numFmtId="4" fontId="62" fillId="11" borderId="189" applyNumberFormat="0" applyProtection="0">
      <alignment horizontal="left" vertical="center" indent="1"/>
    </xf>
    <xf numFmtId="188" fontId="5" fillId="7" borderId="177">
      <alignment vertical="center"/>
      <protection locked="0"/>
    </xf>
    <xf numFmtId="186" fontId="56" fillId="14" borderId="189" applyNumberFormat="0" applyProtection="0">
      <alignment horizontal="left" vertical="top" indent="1"/>
    </xf>
    <xf numFmtId="186" fontId="57" fillId="44" borderId="192" applyNumberForma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8" fontId="5" fillId="13" borderId="207">
      <alignment vertical="center"/>
    </xf>
    <xf numFmtId="4" fontId="72" fillId="82"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15" borderId="20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4" fontId="56" fillId="59"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56" fillId="19" borderId="191" applyNumberFormat="0" applyProtection="0">
      <alignment horizontal="right" vertical="center"/>
    </xf>
    <xf numFmtId="4" fontId="59" fillId="53" borderId="179" applyNumberFormat="0" applyProtection="0">
      <alignment vertical="center"/>
    </xf>
    <xf numFmtId="186" fontId="42" fillId="44" borderId="179" applyNumberFormat="0" applyAlignment="0" applyProtection="0"/>
    <xf numFmtId="186" fontId="27" fillId="63" borderId="199" applyNumberFormat="0" applyProtection="0">
      <alignment horizontal="left" vertical="center" indent="1"/>
    </xf>
    <xf numFmtId="186" fontId="56" fillId="63" borderId="181" applyNumberFormat="0" applyProtection="0">
      <alignment horizontal="left" vertical="top" indent="1"/>
    </xf>
    <xf numFmtId="191" fontId="28" fillId="51" borderId="186">
      <alignment horizontal="right" vertical="center"/>
      <protection locked="0"/>
    </xf>
    <xf numFmtId="186" fontId="44" fillId="0" borderId="206" applyNumberFormat="0" applyFill="0" applyAlignment="0" applyProtection="0"/>
    <xf numFmtId="186" fontId="60" fillId="52" borderId="189" applyNumberFormat="0" applyProtection="0">
      <alignment horizontal="left" vertical="top" indent="1"/>
    </xf>
    <xf numFmtId="186" fontId="60" fillId="52" borderId="181" applyNumberFormat="0" applyProtection="0">
      <alignment horizontal="left" vertical="top" indent="1"/>
    </xf>
    <xf numFmtId="191" fontId="28" fillId="49" borderId="197">
      <alignment vertical="center"/>
    </xf>
    <xf numFmtId="188" fontId="5" fillId="70" borderId="197">
      <alignment horizontal="right" vertical="center"/>
      <protection locked="0"/>
    </xf>
    <xf numFmtId="186" fontId="56" fillId="21" borderId="189" applyNumberFormat="0" applyProtection="0">
      <alignment horizontal="left" vertical="top" indent="1"/>
    </xf>
    <xf numFmtId="186" fontId="42" fillId="44" borderId="191" applyNumberFormat="0" applyAlignment="0" applyProtection="0"/>
    <xf numFmtId="4" fontId="56" fillId="59"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4" fontId="72" fillId="50" borderId="181" applyNumberFormat="0" applyProtection="0">
      <alignment horizontal="right" vertical="center"/>
    </xf>
    <xf numFmtId="186" fontId="27" fillId="15" borderId="181" applyNumberFormat="0" applyProtection="0">
      <alignment horizontal="left" vertical="center"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64" fillId="64" borderId="179" applyNumberFormat="0" applyProtection="0">
      <alignment horizontal="right" vertical="center"/>
    </xf>
    <xf numFmtId="4" fontId="56" fillId="59" borderId="179" applyNumberFormat="0" applyProtection="0">
      <alignment horizontal="right" vertical="center"/>
    </xf>
    <xf numFmtId="186" fontId="56" fillId="40" borderId="179" applyNumberFormat="0" applyFont="0" applyAlignment="0" applyProtection="0"/>
    <xf numFmtId="186" fontId="56" fillId="40" borderId="201" applyNumberFormat="0" applyFont="0" applyAlignment="0" applyProtection="0"/>
    <xf numFmtId="186" fontId="56" fillId="11" borderId="191" applyNumberFormat="0" applyProtection="0">
      <alignment horizontal="left" vertical="center" indent="1"/>
    </xf>
    <xf numFmtId="190" fontId="28" fillId="51" borderId="177">
      <alignment horizontal="right" vertical="center"/>
      <protection locked="0"/>
    </xf>
    <xf numFmtId="186" fontId="56" fillId="15" borderId="189" applyNumberFormat="0" applyProtection="0">
      <alignment horizontal="left" vertical="top" indent="1"/>
    </xf>
    <xf numFmtId="4" fontId="27" fillId="21" borderId="205" applyNumberFormat="0" applyProtection="0">
      <alignment horizontal="left" vertical="center" indent="1"/>
    </xf>
    <xf numFmtId="193" fontId="28" fillId="12" borderId="197">
      <alignment vertical="center"/>
      <protection locked="0"/>
    </xf>
    <xf numFmtId="186" fontId="42" fillId="44" borderId="201" applyNumberFormat="0" applyAlignment="0" applyProtection="0"/>
    <xf numFmtId="4" fontId="56" fillId="52" borderId="201" applyNumberFormat="0" applyProtection="0">
      <alignment vertical="center"/>
    </xf>
    <xf numFmtId="186" fontId="56" fillId="63" borderId="189" applyNumberFormat="0" applyProtection="0">
      <alignment horizontal="left" vertical="top" indent="1"/>
    </xf>
    <xf numFmtId="4" fontId="56" fillId="15" borderId="195" applyNumberFormat="0" applyProtection="0">
      <alignment horizontal="left" vertical="center" indent="1"/>
    </xf>
    <xf numFmtId="4" fontId="56" fillId="53" borderId="19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96" fontId="5" fillId="69" borderId="197">
      <alignment vertical="center"/>
    </xf>
    <xf numFmtId="190" fontId="5" fillId="69" borderId="177">
      <alignment vertical="center"/>
    </xf>
    <xf numFmtId="191" fontId="28" fillId="12" borderId="177">
      <alignment vertical="center"/>
      <protection locked="0"/>
    </xf>
    <xf numFmtId="186" fontId="28" fillId="12" borderId="177">
      <alignment vertical="center"/>
      <protection locked="0"/>
    </xf>
    <xf numFmtId="4" fontId="27" fillId="21" borderId="195" applyNumberFormat="0" applyProtection="0">
      <alignment horizontal="left" vertical="center" indent="1"/>
    </xf>
    <xf numFmtId="4" fontId="56" fillId="57" borderId="195" applyNumberFormat="0" applyProtection="0">
      <alignment horizontal="right" vertical="center"/>
    </xf>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15" borderId="182" applyNumberFormat="0" applyProtection="0">
      <alignment horizontal="left" vertical="center" indent="1"/>
    </xf>
    <xf numFmtId="186" fontId="27" fillId="64" borderId="186" applyNumberFormat="0">
      <protection locked="0"/>
    </xf>
    <xf numFmtId="4" fontId="56" fillId="56" borderId="191" applyNumberFormat="0" applyProtection="0">
      <alignment horizontal="right" vertical="center"/>
    </xf>
    <xf numFmtId="4" fontId="72" fillId="87" borderId="189" applyNumberFormat="0" applyProtection="0">
      <alignment horizontal="right" vertical="center"/>
    </xf>
    <xf numFmtId="172" fontId="5" fillId="7" borderId="186">
      <alignment vertical="center"/>
      <protection locked="0"/>
    </xf>
    <xf numFmtId="193" fontId="28" fillId="12" borderId="186">
      <alignment vertical="center"/>
      <protection locked="0"/>
    </xf>
    <xf numFmtId="186" fontId="27" fillId="14" borderId="181" applyNumberFormat="0" applyProtection="0">
      <alignment horizontal="left" vertical="top" indent="1"/>
    </xf>
    <xf numFmtId="186" fontId="50" fillId="41" borderId="191"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27" fillId="15" borderId="181" applyNumberFormat="0" applyProtection="0">
      <alignment horizontal="left" vertical="top" indent="1"/>
    </xf>
    <xf numFmtId="186" fontId="50" fillId="41" borderId="191" applyNumberFormat="0" applyAlignment="0" applyProtection="0"/>
    <xf numFmtId="188" fontId="5" fillId="69" borderId="207">
      <alignment vertical="center"/>
    </xf>
    <xf numFmtId="4" fontId="56" fillId="0" borderId="179" applyNumberFormat="0" applyProtection="0">
      <alignment horizontal="right" vertical="center"/>
    </xf>
    <xf numFmtId="186" fontId="56" fillId="11" borderId="179" applyNumberFormat="0" applyProtection="0">
      <alignment horizontal="left" vertical="center" indent="1"/>
    </xf>
    <xf numFmtId="186" fontId="57" fillId="44" borderId="180" applyNumberFormat="0" applyAlignment="0" applyProtection="0"/>
    <xf numFmtId="191" fontId="28" fillId="50" borderId="197">
      <alignment vertical="center"/>
    </xf>
    <xf numFmtId="186" fontId="56" fillId="21" borderId="199" applyNumberFormat="0" applyProtection="0">
      <alignment horizontal="left" vertical="top" indent="1"/>
    </xf>
    <xf numFmtId="186" fontId="27" fillId="21" borderId="181"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2" borderId="179" applyNumberFormat="0" applyProtection="0">
      <alignment horizontal="left" vertical="center" indent="1"/>
    </xf>
    <xf numFmtId="186" fontId="56" fillId="40" borderId="191" applyNumberFormat="0" applyFont="0" applyAlignment="0" applyProtection="0"/>
    <xf numFmtId="186" fontId="27" fillId="14" borderId="189" applyNumberFormat="0" applyProtection="0">
      <alignment horizontal="left" vertical="top" indent="1"/>
    </xf>
    <xf numFmtId="4" fontId="27" fillId="21" borderId="205" applyNumberFormat="0" applyProtection="0">
      <alignment horizontal="left" vertical="center" indent="1"/>
    </xf>
    <xf numFmtId="186" fontId="56" fillId="14" borderId="181" applyNumberFormat="0" applyProtection="0">
      <alignment horizontal="left" vertical="top" indent="1"/>
    </xf>
    <xf numFmtId="4" fontId="74" fillId="87" borderId="181" applyNumberFormat="0" applyProtection="0">
      <alignment vertical="center"/>
    </xf>
    <xf numFmtId="196" fontId="5" fillId="69" borderId="186">
      <alignment vertical="center"/>
    </xf>
    <xf numFmtId="186" fontId="56" fillId="63" borderId="181" applyNumberFormat="0" applyProtection="0">
      <alignment horizontal="left" vertical="top"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6" fontId="27" fillId="14" borderId="181" applyNumberFormat="0" applyProtection="0">
      <alignment horizontal="left" vertical="top" indent="1"/>
    </xf>
    <xf numFmtId="186" fontId="56" fillId="40" borderId="179" applyNumberFormat="0" applyFont="0" applyAlignment="0" applyProtection="0"/>
    <xf numFmtId="186" fontId="56" fillId="62" borderId="179" applyNumberFormat="0" applyProtection="0">
      <alignment horizontal="left" vertical="center" indent="1"/>
    </xf>
    <xf numFmtId="186"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90" fontId="28" fillId="49" borderId="197">
      <alignment vertical="center"/>
    </xf>
    <xf numFmtId="186" fontId="56" fillId="63" borderId="189" applyNumberFormat="0" applyProtection="0">
      <alignment horizontal="left" vertical="top" indent="1"/>
    </xf>
    <xf numFmtId="186" fontId="56" fillId="67" borderId="186"/>
    <xf numFmtId="191" fontId="28" fillId="49" borderId="197">
      <alignment vertical="center"/>
    </xf>
    <xf numFmtId="186" fontId="57" fillId="44" borderId="202" applyNumberFormat="0" applyAlignment="0" applyProtection="0"/>
    <xf numFmtId="186" fontId="56" fillId="11" borderId="191"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179" applyNumberFormat="0" applyFont="0" applyAlignment="0" applyProtection="0"/>
    <xf numFmtId="186" fontId="56" fillId="14" borderId="179" applyNumberFormat="0" applyProtection="0">
      <alignment horizontal="left" vertical="center" indent="1"/>
    </xf>
    <xf numFmtId="186" fontId="27" fillId="15" borderId="189" applyNumberFormat="0" applyProtection="0">
      <alignment horizontal="left" vertical="center" indent="1"/>
    </xf>
    <xf numFmtId="186" fontId="28" fillId="49" borderId="177">
      <alignment vertical="center"/>
    </xf>
    <xf numFmtId="186" fontId="27" fillId="63" borderId="181" applyNumberFormat="0" applyProtection="0">
      <alignment horizontal="left" vertical="top" indent="1"/>
    </xf>
    <xf numFmtId="191" fontId="5" fillId="70" borderId="186">
      <alignment horizontal="right" vertical="center"/>
      <protection locked="0"/>
    </xf>
    <xf numFmtId="4" fontId="56" fillId="61" borderId="195"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186" fontId="42" fillId="44" borderId="201" applyNumberFormat="0" applyAlignment="0" applyProtection="0"/>
    <xf numFmtId="186" fontId="56" fillId="63" borderId="191" applyNumberFormat="0" applyProtection="0">
      <alignment horizontal="left" vertical="center" indent="1"/>
    </xf>
    <xf numFmtId="4" fontId="59" fillId="65" borderId="201"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61" fillId="21" borderId="203" applyBorder="0"/>
    <xf numFmtId="186" fontId="56" fillId="11" borderId="191" applyNumberFormat="0" applyProtection="0">
      <alignment horizontal="left" vertical="center" indent="1"/>
    </xf>
    <xf numFmtId="4" fontId="56" fillId="54" borderId="201" applyNumberFormat="0" applyProtection="0">
      <alignment horizontal="left" vertical="center" indent="1"/>
    </xf>
    <xf numFmtId="4" fontId="56" fillId="14" borderId="182" applyNumberFormat="0" applyProtection="0">
      <alignment horizontal="left" vertical="center" indent="1"/>
    </xf>
    <xf numFmtId="186" fontId="42" fillId="44" borderId="201" applyNumberFormat="0" applyAlignment="0" applyProtection="0"/>
    <xf numFmtId="186" fontId="56" fillId="14" borderId="189" applyNumberFormat="0" applyProtection="0">
      <alignment horizontal="left" vertical="top" indent="1"/>
    </xf>
    <xf numFmtId="186" fontId="56" fillId="40" borderId="179" applyNumberFormat="0" applyFont="0" applyAlignment="0" applyProtection="0"/>
    <xf numFmtId="4" fontId="56" fillId="19" borderId="191" applyNumberFormat="0" applyProtection="0">
      <alignment horizontal="right" vertical="center"/>
    </xf>
    <xf numFmtId="4" fontId="64" fillId="64"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23" borderId="201" applyNumberFormat="0" applyProtection="0">
      <alignment horizontal="right" vertical="center"/>
    </xf>
    <xf numFmtId="186" fontId="56" fillId="40" borderId="201" applyNumberFormat="0" applyFont="0" applyAlignment="0" applyProtection="0"/>
    <xf numFmtId="186" fontId="62" fillId="48" borderId="199" applyNumberFormat="0" applyProtection="0">
      <alignment horizontal="left" vertical="top" indent="1"/>
    </xf>
    <xf numFmtId="186" fontId="27" fillId="63" borderId="189" applyNumberFormat="0" applyProtection="0">
      <alignment horizontal="left" vertical="top" indent="1"/>
    </xf>
    <xf numFmtId="190" fontId="28" fillId="51" borderId="186">
      <alignment horizontal="right" vertical="center"/>
      <protection locked="0"/>
    </xf>
    <xf numFmtId="186" fontId="56" fillId="21" borderId="181" applyNumberFormat="0" applyProtection="0">
      <alignment horizontal="left" vertical="top" indent="1"/>
    </xf>
    <xf numFmtId="188" fontId="5" fillId="13" borderId="207">
      <alignment vertical="center"/>
    </xf>
    <xf numFmtId="186" fontId="28" fillId="50" borderId="186">
      <alignment vertical="center"/>
    </xf>
    <xf numFmtId="4" fontId="59" fillId="53" borderId="179" applyNumberFormat="0" applyProtection="0">
      <alignment vertical="center"/>
    </xf>
    <xf numFmtId="186" fontId="56" fillId="21" borderId="189" applyNumberFormat="0" applyProtection="0">
      <alignment horizontal="left" vertical="top" indent="1"/>
    </xf>
    <xf numFmtId="188" fontId="5" fillId="13" borderId="177">
      <alignment vertical="center"/>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7" fillId="44" borderId="202" applyNumberFormat="0" applyAlignment="0" applyProtection="0"/>
    <xf numFmtId="186" fontId="27" fillId="63" borderId="199" applyNumberFormat="0" applyProtection="0">
      <alignment horizontal="left" vertical="top" indent="1"/>
    </xf>
    <xf numFmtId="191" fontId="28" fillId="50" borderId="197">
      <alignment vertical="center"/>
    </xf>
    <xf numFmtId="186" fontId="56" fillId="21" borderId="199" applyNumberFormat="0" applyProtection="0">
      <alignment horizontal="left" vertical="top" indent="1"/>
    </xf>
    <xf numFmtId="4" fontId="62" fillId="11" borderId="189" applyNumberFormat="0" applyProtection="0">
      <alignment horizontal="left" vertical="center" indent="1"/>
    </xf>
    <xf numFmtId="186" fontId="57" fillId="44" borderId="192" applyNumberFormat="0" applyAlignment="0" applyProtection="0"/>
    <xf numFmtId="186" fontId="62" fillId="15" borderId="199" applyNumberFormat="0" applyProtection="0">
      <alignment horizontal="left" vertical="top" indent="1"/>
    </xf>
    <xf numFmtId="4" fontId="56" fillId="57" borderId="195" applyNumberFormat="0" applyProtection="0">
      <alignment horizontal="right" vertical="center"/>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62" fillId="48" borderId="19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8" fontId="5" fillId="69" borderId="177">
      <alignment vertical="center"/>
    </xf>
    <xf numFmtId="4" fontId="56" fillId="54" borderId="191" applyNumberFormat="0" applyProtection="0">
      <alignment horizontal="left" vertical="center" indent="1"/>
    </xf>
    <xf numFmtId="4" fontId="56" fillId="56" borderId="191" applyNumberFormat="0" applyProtection="0">
      <alignment horizontal="right" vertical="center"/>
    </xf>
    <xf numFmtId="186" fontId="56" fillId="14" borderId="189" applyNumberFormat="0" applyProtection="0">
      <alignment horizontal="left" vertical="top" indent="1"/>
    </xf>
    <xf numFmtId="191" fontId="28" fillId="12" borderId="197">
      <alignment vertical="center"/>
      <protection locked="0"/>
    </xf>
    <xf numFmtId="186" fontId="56" fillId="40" borderId="191" applyNumberFormat="0" applyFont="0" applyAlignment="0" applyProtection="0"/>
    <xf numFmtId="4" fontId="70" fillId="86" borderId="189" applyNumberFormat="0" applyProtection="0">
      <alignment horizontal="left" vertical="center" indent="1"/>
    </xf>
    <xf numFmtId="191" fontId="5" fillId="69" borderId="177">
      <alignment vertical="center"/>
    </xf>
    <xf numFmtId="186" fontId="56" fillId="21" borderId="189" applyNumberFormat="0" applyProtection="0">
      <alignment horizontal="left" vertical="top" indent="1"/>
    </xf>
    <xf numFmtId="4" fontId="63" fillId="66" borderId="195" applyNumberFormat="0" applyProtection="0">
      <alignment horizontal="left" vertical="center"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56" fillId="15" borderId="189" applyNumberFormat="0" applyProtection="0">
      <alignment horizontal="left" vertical="top" indent="1"/>
    </xf>
    <xf numFmtId="0" fontId="27" fillId="15" borderId="189" applyNumberFormat="0" applyProtection="0">
      <alignment horizontal="left" vertical="center" indent="1"/>
    </xf>
    <xf numFmtId="0"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63" borderId="189" applyNumberFormat="0" applyProtection="0">
      <alignment horizontal="left" vertical="top" indent="1"/>
    </xf>
    <xf numFmtId="4" fontId="59" fillId="65" borderId="179" applyNumberFormat="0" applyProtection="0">
      <alignment horizontal="right" vertical="center"/>
    </xf>
    <xf numFmtId="4" fontId="56" fillId="16" borderId="179" applyNumberFormat="0" applyProtection="0">
      <alignment horizontal="right" vertical="center"/>
    </xf>
    <xf numFmtId="186" fontId="56" fillId="21" borderId="181" applyNumberFormat="0" applyProtection="0">
      <alignment horizontal="left" vertical="top" indent="1"/>
    </xf>
    <xf numFmtId="186" fontId="60" fillId="52" borderId="199" applyNumberFormat="0" applyProtection="0">
      <alignment horizontal="left" vertical="top" indent="1"/>
    </xf>
    <xf numFmtId="4" fontId="56" fillId="52" borderId="191" applyNumberFormat="0" applyProtection="0">
      <alignment vertical="center"/>
    </xf>
    <xf numFmtId="186" fontId="56" fillId="14" borderId="181" applyNumberFormat="0" applyProtection="0">
      <alignment horizontal="left" vertical="top" indent="1"/>
    </xf>
    <xf numFmtId="4" fontId="56" fillId="58" borderId="179" applyNumberFormat="0" applyProtection="0">
      <alignment horizontal="right" vertical="center"/>
    </xf>
    <xf numFmtId="186" fontId="42" fillId="44" borderId="179" applyNumberFormat="0" applyAlignment="0" applyProtection="0"/>
    <xf numFmtId="4" fontId="27" fillId="21" borderId="195" applyNumberFormat="0" applyProtection="0">
      <alignment horizontal="left" vertical="center" indent="1"/>
    </xf>
    <xf numFmtId="4" fontId="62" fillId="11" borderId="181" applyNumberFormat="0" applyProtection="0">
      <alignment horizontal="left" vertical="center" indent="1"/>
    </xf>
    <xf numFmtId="4" fontId="56" fillId="61" borderId="182" applyNumberFormat="0" applyProtection="0">
      <alignment horizontal="left" vertical="center" indent="1"/>
    </xf>
    <xf numFmtId="186" fontId="56" fillId="40" borderId="191" applyNumberFormat="0" applyFont="0" applyAlignment="0" applyProtection="0"/>
    <xf numFmtId="186" fontId="56" fillId="15" borderId="189" applyNumberFormat="0" applyProtection="0">
      <alignment horizontal="left" vertical="top" indent="1"/>
    </xf>
    <xf numFmtId="172" fontId="28" fillId="12" borderId="197">
      <alignment vertical="center"/>
      <protection locked="0"/>
    </xf>
    <xf numFmtId="186" fontId="56" fillId="21" borderId="189" applyNumberFormat="0" applyProtection="0">
      <alignment horizontal="left" vertical="top" indent="1"/>
    </xf>
    <xf numFmtId="4" fontId="56" fillId="57" borderId="205" applyNumberFormat="0" applyProtection="0">
      <alignment horizontal="right" vertical="center"/>
    </xf>
    <xf numFmtId="186" fontId="27" fillId="21" borderId="181" applyNumberFormat="0" applyProtection="0">
      <alignment horizontal="left" vertical="center" indent="1"/>
    </xf>
    <xf numFmtId="4" fontId="56" fillId="53" borderId="191" applyNumberFormat="0" applyProtection="0">
      <alignment horizontal="left" vertical="center" indent="1"/>
    </xf>
    <xf numFmtId="4" fontId="62" fillId="11" borderId="189" applyNumberFormat="0" applyProtection="0">
      <alignment horizontal="left" vertical="center" indent="1"/>
    </xf>
    <xf numFmtId="186" fontId="56" fillId="63" borderId="181" applyNumberFormat="0" applyProtection="0">
      <alignment horizontal="left" vertical="top" indent="1"/>
    </xf>
    <xf numFmtId="188" fontId="5" fillId="7" borderId="186">
      <alignment vertical="center"/>
      <protection locked="0"/>
    </xf>
    <xf numFmtId="186" fontId="56" fillId="14" borderId="179" applyNumberFormat="0" applyProtection="0">
      <alignment horizontal="left" vertical="center"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188" fontId="5" fillId="13" borderId="186">
      <alignment vertical="center"/>
    </xf>
    <xf numFmtId="186" fontId="27" fillId="21" borderId="181" applyNumberFormat="0" applyProtection="0">
      <alignment horizontal="left" vertical="center" indent="1"/>
    </xf>
    <xf numFmtId="191" fontId="28" fillId="49" borderId="186">
      <alignment vertical="center"/>
    </xf>
    <xf numFmtId="4" fontId="56" fillId="14" borderId="195"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28" fillId="50" borderId="186">
      <alignment vertical="center"/>
    </xf>
    <xf numFmtId="186" fontId="28" fillId="49" borderId="197">
      <alignment vertical="center"/>
    </xf>
    <xf numFmtId="0" fontId="5" fillId="70" borderId="197">
      <alignment horizontal="righ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44" fillId="0" borderId="185" applyNumberFormat="0" applyFill="0" applyAlignment="0" applyProtection="0"/>
    <xf numFmtId="186" fontId="27" fillId="15" borderId="181" applyNumberFormat="0" applyProtection="0">
      <alignment horizontal="left" vertical="center"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56" fillId="15" borderId="191" applyNumberFormat="0" applyProtection="0">
      <alignment horizontal="right" vertical="center"/>
    </xf>
    <xf numFmtId="186" fontId="57" fillId="44" borderId="202" applyNumberFormat="0" applyAlignment="0" applyProtection="0"/>
    <xf numFmtId="186" fontId="56" fillId="40" borderId="191" applyNumberFormat="0" applyFont="0" applyAlignment="0" applyProtection="0"/>
    <xf numFmtId="4" fontId="56" fillId="14" borderId="195" applyNumberFormat="0" applyProtection="0">
      <alignment horizontal="left" vertical="center" indent="1"/>
    </xf>
    <xf numFmtId="4" fontId="72" fillId="82" borderId="189"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28" fillId="50" borderId="197">
      <alignmen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201" applyNumberFormat="0" applyProtection="0">
      <alignment horizontal="right" vertical="center"/>
    </xf>
    <xf numFmtId="0" fontId="27" fillId="15" borderId="199" applyNumberFormat="0" applyProtection="0">
      <alignment horizontal="left" vertical="top" indent="1"/>
    </xf>
    <xf numFmtId="193" fontId="5" fillId="7" borderId="197">
      <alignment vertical="center"/>
      <protection locked="0"/>
    </xf>
    <xf numFmtId="188" fontId="5" fillId="13" borderId="186">
      <alignment vertical="center"/>
    </xf>
    <xf numFmtId="172" fontId="28" fillId="12" borderId="186">
      <alignment vertical="center"/>
      <protection locked="0"/>
    </xf>
    <xf numFmtId="186" fontId="57" fillId="44" borderId="180" applyNumberFormat="0" applyAlignment="0" applyProtection="0"/>
    <xf numFmtId="4" fontId="56" fillId="56" borderId="179" applyNumberFormat="0" applyProtection="0">
      <alignment horizontal="right" vertical="center"/>
    </xf>
    <xf numFmtId="186" fontId="27" fillId="15" borderId="181" applyNumberFormat="0" applyProtection="0">
      <alignment horizontal="left" vertical="center" indent="1"/>
    </xf>
    <xf numFmtId="193" fontId="5" fillId="69" borderId="186">
      <alignment vertical="center"/>
    </xf>
    <xf numFmtId="4" fontId="56" fillId="52" borderId="191" applyNumberFormat="0" applyProtection="0">
      <alignment vertical="center"/>
    </xf>
    <xf numFmtId="4" fontId="56" fillId="55" borderId="191" applyNumberFormat="0" applyProtection="0">
      <alignment horizontal="right" vertical="center"/>
    </xf>
    <xf numFmtId="191" fontId="5" fillId="70" borderId="177">
      <alignment horizontal="righ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91" fontId="28" fillId="50"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93" fontId="28" fillId="12" borderId="177">
      <alignment vertical="center"/>
      <protection locked="0"/>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4" fontId="56" fillId="19" borderId="191" applyNumberFormat="0" applyProtection="0">
      <alignment horizontal="right" vertical="center"/>
    </xf>
    <xf numFmtId="4" fontId="56" fillId="23" borderId="201" applyNumberFormat="0" applyProtection="0">
      <alignment horizontal="right" vertical="center"/>
    </xf>
    <xf numFmtId="186" fontId="44" fillId="0" borderId="196" applyNumberFormat="0" applyFill="0" applyAlignment="0" applyProtection="0"/>
    <xf numFmtId="186" fontId="62" fillId="48" borderId="189" applyNumberFormat="0" applyProtection="0">
      <alignment horizontal="left" vertical="top" indent="1"/>
    </xf>
    <xf numFmtId="188" fontId="5" fillId="7" borderId="197">
      <alignment vertical="center"/>
      <protection locked="0"/>
    </xf>
    <xf numFmtId="186" fontId="56" fillId="63" borderId="201" applyNumberFormat="0" applyProtection="0">
      <alignment horizontal="left" vertical="center" indent="1"/>
    </xf>
    <xf numFmtId="4" fontId="56" fillId="59" borderId="191" applyNumberFormat="0" applyProtection="0">
      <alignment horizontal="right" vertical="center"/>
    </xf>
    <xf numFmtId="191" fontId="5" fillId="7" borderId="197">
      <alignment vertical="center"/>
      <protection locked="0"/>
    </xf>
    <xf numFmtId="4" fontId="72" fillId="87" borderId="189" applyNumberFormat="0" applyProtection="0">
      <alignmen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4" fontId="56" fillId="15" borderId="201" applyNumberFormat="0" applyProtection="0">
      <alignment horizontal="right" vertical="center"/>
    </xf>
    <xf numFmtId="0" fontId="27" fillId="14" borderId="189" applyNumberFormat="0" applyProtection="0">
      <alignment horizontal="left" vertical="center" indent="1"/>
    </xf>
    <xf numFmtId="186" fontId="61" fillId="21" borderId="193" applyBorder="0"/>
    <xf numFmtId="191" fontId="28" fillId="12" borderId="197">
      <alignment vertical="center"/>
      <protection locked="0"/>
    </xf>
    <xf numFmtId="4" fontId="27" fillId="21" borderId="195" applyNumberFormat="0" applyProtection="0">
      <alignment horizontal="left" vertical="center"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27" fillId="15" borderId="189" applyNumberFormat="0" applyProtection="0">
      <alignment horizontal="left" vertical="top" indent="1"/>
    </xf>
    <xf numFmtId="186" fontId="61" fillId="21" borderId="193" applyBorder="0"/>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37" fontId="33" fillId="0" borderId="194" applyNumberFormat="0"/>
    <xf numFmtId="186" fontId="50" fillId="41" borderId="191" applyNumberFormat="0" applyAlignment="0" applyProtection="0"/>
    <xf numFmtId="186" fontId="56" fillId="21" borderId="189" applyNumberFormat="0" applyProtection="0">
      <alignment horizontal="left" vertical="top" indent="1"/>
    </xf>
    <xf numFmtId="186" fontId="27" fillId="63" borderId="189" applyNumberFormat="0" applyProtection="0">
      <alignment horizontal="left" vertical="top" indent="1"/>
    </xf>
    <xf numFmtId="4" fontId="56" fillId="14" borderId="20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0" fontId="73" fillId="52" borderId="189" applyNumberFormat="0" applyProtection="0">
      <alignment horizontal="left" vertical="top" indent="1"/>
    </xf>
    <xf numFmtId="0" fontId="37" fillId="48" borderId="189" applyNumberFormat="0" applyProtection="0">
      <alignment horizontal="left" vertical="top" indent="1"/>
    </xf>
    <xf numFmtId="186" fontId="56" fillId="11" borderId="191" applyNumberFormat="0" applyProtection="0">
      <alignment horizontal="left" vertical="center" indent="1"/>
    </xf>
    <xf numFmtId="4" fontId="72" fillId="86" borderId="189" applyNumberFormat="0" applyProtection="0">
      <alignment horizontal="right" vertical="center"/>
    </xf>
    <xf numFmtId="188" fontId="5" fillId="13" borderId="197">
      <alignment vertical="center"/>
    </xf>
    <xf numFmtId="193" fontId="5" fillId="69" borderId="197">
      <alignment vertical="center"/>
    </xf>
    <xf numFmtId="191" fontId="5" fillId="69" borderId="197">
      <alignment vertical="center"/>
    </xf>
    <xf numFmtId="193" fontId="5" fillId="7" borderId="197">
      <alignment vertical="center"/>
      <protection locked="0"/>
    </xf>
    <xf numFmtId="191" fontId="28" fillId="50" borderId="197">
      <alignment vertical="center"/>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top" indent="1"/>
    </xf>
    <xf numFmtId="190" fontId="5" fillId="70" borderId="197">
      <alignment horizontal="right" vertical="center"/>
      <protection locked="0"/>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top" indent="1"/>
    </xf>
    <xf numFmtId="191" fontId="28" fillId="12" borderId="197">
      <alignment vertical="center"/>
      <protection locked="0"/>
    </xf>
    <xf numFmtId="186" fontId="27" fillId="15" borderId="199" applyNumberFormat="0" applyProtection="0">
      <alignment horizontal="left" vertical="center" indent="1"/>
    </xf>
    <xf numFmtId="4" fontId="56" fillId="52" borderId="191" applyNumberFormat="0" applyProtection="0">
      <alignment vertical="center"/>
    </xf>
    <xf numFmtId="186" fontId="56" fillId="21" borderId="199" applyNumberFormat="0" applyProtection="0">
      <alignment horizontal="left" vertical="top" indent="1"/>
    </xf>
    <xf numFmtId="186" fontId="28" fillId="12" borderId="197">
      <alignmen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27" fillId="21"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4" fontId="64" fillId="64" borderId="201" applyNumberFormat="0" applyProtection="0">
      <alignment horizontal="right" vertical="center"/>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4" fontId="56" fillId="15" borderId="201" applyNumberFormat="0" applyProtection="0">
      <alignment horizontal="right" vertical="center"/>
    </xf>
    <xf numFmtId="186" fontId="50" fillId="41" borderId="201" applyNumberFormat="0" applyAlignment="0" applyProtection="0"/>
    <xf numFmtId="4" fontId="59" fillId="65" borderId="191" applyNumberFormat="0" applyProtection="0">
      <alignment horizontal="right" vertical="center"/>
    </xf>
    <xf numFmtId="0" fontId="27" fillId="63" borderId="199" applyNumberFormat="0" applyProtection="0">
      <alignment horizontal="left" vertical="top" indent="1"/>
    </xf>
    <xf numFmtId="4" fontId="75" fillId="88" borderId="200" applyNumberFormat="0" applyProtection="0">
      <alignment horizontal="left" vertical="center" indent="1"/>
    </xf>
    <xf numFmtId="186" fontId="56" fillId="40" borderId="191" applyNumberFormat="0" applyFont="0" applyAlignment="0" applyProtection="0"/>
    <xf numFmtId="4" fontId="59" fillId="53" borderId="191" applyNumberFormat="0" applyProtection="0">
      <alignment vertical="center"/>
    </xf>
    <xf numFmtId="196" fontId="5" fillId="69" borderId="197">
      <alignment vertical="center"/>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23" borderId="20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8" fontId="28" fillId="49" borderId="177">
      <alignment vertical="center"/>
    </xf>
    <xf numFmtId="186" fontId="56" fillId="62" borderId="201" applyNumberFormat="0" applyProtection="0">
      <alignment horizontal="left" vertical="center" indent="1"/>
    </xf>
    <xf numFmtId="186" fontId="61" fillId="21" borderId="203" applyBorder="0"/>
    <xf numFmtId="4" fontId="56" fillId="0" borderId="201" applyNumberFormat="0" applyProtection="0">
      <alignment horizontal="righ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91" fontId="28" fillId="50" borderId="177">
      <alignment vertical="center"/>
    </xf>
    <xf numFmtId="186" fontId="56" fillId="63" borderId="189" applyNumberFormat="0" applyProtection="0">
      <alignment horizontal="left" vertical="top" indent="1"/>
    </xf>
    <xf numFmtId="0" fontId="27" fillId="63" borderId="189" applyNumberFormat="0" applyProtection="0">
      <alignment horizontal="left" vertical="center" indent="1"/>
    </xf>
    <xf numFmtId="0" fontId="5" fillId="7" borderId="177">
      <alignment vertical="center"/>
      <protection locked="0"/>
    </xf>
    <xf numFmtId="186" fontId="56" fillId="21" borderId="181" applyNumberFormat="0" applyProtection="0">
      <alignment horizontal="left" vertical="top" indent="1"/>
    </xf>
    <xf numFmtId="186" fontId="56" fillId="63" borderId="201" applyNumberFormat="0" applyProtection="0">
      <alignment horizontal="left" vertical="center" indent="1"/>
    </xf>
    <xf numFmtId="191" fontId="28" fillId="51" borderId="177">
      <alignment horizontal="right" vertical="center"/>
      <protection locked="0"/>
    </xf>
    <xf numFmtId="186" fontId="56" fillId="15" borderId="189" applyNumberFormat="0" applyProtection="0">
      <alignment horizontal="left" vertical="top" indent="1"/>
    </xf>
    <xf numFmtId="191" fontId="28" fillId="50" borderId="186">
      <alignment vertical="center"/>
    </xf>
    <xf numFmtId="4" fontId="56" fillId="19" borderId="179" applyNumberFormat="0" applyProtection="0">
      <alignment horizontal="right" vertical="center"/>
    </xf>
    <xf numFmtId="186" fontId="27" fillId="14" borderId="199" applyNumberFormat="0" applyProtection="0">
      <alignment horizontal="left" vertical="center" indent="1"/>
    </xf>
    <xf numFmtId="186" fontId="56" fillId="15" borderId="189" applyNumberFormat="0" applyProtection="0">
      <alignment horizontal="left" vertical="top" indent="1"/>
    </xf>
    <xf numFmtId="4" fontId="56" fillId="53" borderId="179" applyNumberFormat="0" applyProtection="0">
      <alignment horizontal="left" vertical="center" indent="1"/>
    </xf>
    <xf numFmtId="186" fontId="27" fillId="63" borderId="181" applyNumberFormat="0" applyProtection="0">
      <alignment horizontal="left" vertical="center" indent="1"/>
    </xf>
    <xf numFmtId="186" fontId="56" fillId="21" borderId="181" applyNumberFormat="0" applyProtection="0">
      <alignment horizontal="left" vertical="top" indent="1"/>
    </xf>
    <xf numFmtId="188" fontId="28" fillId="51" borderId="197">
      <alignment horizontal="right" vertical="center"/>
      <protection locked="0"/>
    </xf>
    <xf numFmtId="190" fontId="5" fillId="70" borderId="207">
      <alignment horizontal="right" vertical="center"/>
      <protection locked="0"/>
    </xf>
    <xf numFmtId="4" fontId="27" fillId="21" borderId="195" applyNumberFormat="0" applyProtection="0">
      <alignment horizontal="left" vertical="center" indent="1"/>
    </xf>
    <xf numFmtId="4" fontId="56" fillId="60" borderId="201" applyNumberFormat="0" applyProtection="0">
      <alignment horizontal="right" vertical="center"/>
    </xf>
    <xf numFmtId="186" fontId="56" fillId="63" borderId="189" applyNumberFormat="0" applyProtection="0">
      <alignment horizontal="left" vertical="top" indent="1"/>
    </xf>
    <xf numFmtId="186" fontId="27" fillId="1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53" borderId="191" applyNumberFormat="0" applyProtection="0">
      <alignment horizontal="left" vertical="center" indent="1"/>
    </xf>
    <xf numFmtId="4" fontId="59" fillId="65" borderId="201" applyNumberFormat="0" applyProtection="0">
      <alignment horizontal="right" vertical="center"/>
    </xf>
    <xf numFmtId="186" fontId="56" fillId="14" borderId="179" applyNumberFormat="0" applyProtection="0">
      <alignment horizontal="left" vertical="center" indent="1"/>
    </xf>
    <xf numFmtId="186" fontId="56" fillId="11" borderId="179" applyNumberFormat="0" applyProtection="0">
      <alignment horizontal="left" vertical="center" indent="1"/>
    </xf>
    <xf numFmtId="191" fontId="5" fillId="70" borderId="197">
      <alignment horizontal="right" vertical="center"/>
      <protection locked="0"/>
    </xf>
    <xf numFmtId="4" fontId="56" fillId="54" borderId="191" applyNumberFormat="0" applyProtection="0">
      <alignment horizontal="left" vertical="center" indent="1"/>
    </xf>
    <xf numFmtId="4" fontId="56" fillId="59" borderId="191" applyNumberFormat="0" applyProtection="0">
      <alignment horizontal="right" vertical="center"/>
    </xf>
    <xf numFmtId="188" fontId="28" fillId="50" borderId="177">
      <alignment vertical="center"/>
    </xf>
    <xf numFmtId="4" fontId="56" fillId="60" borderId="179" applyNumberFormat="0" applyProtection="0">
      <alignment horizontal="right" vertical="center"/>
    </xf>
    <xf numFmtId="186" fontId="56" fillId="63" borderId="181" applyNumberFormat="0" applyProtection="0">
      <alignment horizontal="left" vertical="top" indent="1"/>
    </xf>
    <xf numFmtId="4" fontId="62" fillId="11" borderId="189" applyNumberFormat="0" applyProtection="0">
      <alignment horizontal="left" vertical="center" indent="1"/>
    </xf>
    <xf numFmtId="172" fontId="5" fillId="7" borderId="197">
      <alignment vertical="center"/>
      <protection locked="0"/>
    </xf>
    <xf numFmtId="191" fontId="28" fillId="51" borderId="177">
      <alignment horizontal="right" vertical="center"/>
      <protection locked="0"/>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0" fillId="41" borderId="191" applyNumberFormat="0" applyAlignment="0" applyProtection="0"/>
    <xf numFmtId="186" fontId="27" fillId="63" borderId="199" applyNumberFormat="0" applyProtection="0">
      <alignment horizontal="left" vertical="center" indent="1"/>
    </xf>
    <xf numFmtId="186" fontId="28" fillId="49" borderId="207">
      <alignment vertical="center"/>
    </xf>
    <xf numFmtId="4" fontId="56" fillId="14" borderId="205" applyNumberFormat="0" applyProtection="0">
      <alignment horizontal="left" vertical="center" indent="1"/>
    </xf>
    <xf numFmtId="186" fontId="56" fillId="15" borderId="189" applyNumberFormat="0" applyProtection="0">
      <alignment horizontal="left" vertical="top" indent="1"/>
    </xf>
    <xf numFmtId="191" fontId="28" fillId="51" borderId="197">
      <alignment horizontal="right" vertical="center"/>
      <protection locked="0"/>
    </xf>
    <xf numFmtId="186" fontId="56" fillId="40" borderId="201" applyNumberFormat="0" applyFont="0" applyAlignment="0" applyProtection="0"/>
    <xf numFmtId="193" fontId="28" fillId="50" borderId="207">
      <alignment vertical="center"/>
    </xf>
    <xf numFmtId="4" fontId="64" fillId="64" borderId="201" applyNumberFormat="0" applyProtection="0">
      <alignment horizontal="right" vertical="center"/>
    </xf>
    <xf numFmtId="4" fontId="56" fillId="0" borderId="191" applyNumberFormat="0" applyProtection="0">
      <alignment horizontal="right" vertical="center"/>
    </xf>
    <xf numFmtId="186" fontId="27" fillId="14" borderId="199" applyNumberFormat="0" applyProtection="0">
      <alignment horizontal="left" vertical="center" indent="1"/>
    </xf>
    <xf numFmtId="186" fontId="56" fillId="14" borderId="17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56" fillId="19" borderId="201" applyNumberFormat="0" applyProtection="0">
      <alignment horizontal="right" vertical="center"/>
    </xf>
    <xf numFmtId="0" fontId="27" fillId="15" borderId="189" applyNumberFormat="0" applyProtection="0">
      <alignment horizontal="left" vertical="top" indent="1"/>
    </xf>
    <xf numFmtId="186" fontId="56" fillId="14" borderId="189" applyNumberFormat="0" applyProtection="0">
      <alignment horizontal="left" vertical="top" indent="1"/>
    </xf>
    <xf numFmtId="186" fontId="56" fillId="11" borderId="191" applyNumberFormat="0" applyProtection="0">
      <alignment horizontal="left" vertical="center" indent="1"/>
    </xf>
    <xf numFmtId="37" fontId="33" fillId="0" borderId="194" applyNumberFormat="0"/>
    <xf numFmtId="186" fontId="56" fillId="40" borderId="201" applyNumberFormat="0" applyFont="0" applyAlignment="0" applyProtection="0"/>
    <xf numFmtId="186" fontId="56" fillId="14" borderId="189" applyNumberFormat="0" applyProtection="0">
      <alignment horizontal="left" vertical="top" indent="1"/>
    </xf>
    <xf numFmtId="194" fontId="33" fillId="0" borderId="178" applyFill="0"/>
    <xf numFmtId="4" fontId="56" fillId="61" borderId="205" applyNumberFormat="0" applyProtection="0">
      <alignment horizontal="left" vertical="center" indent="1"/>
    </xf>
    <xf numFmtId="186" fontId="44" fillId="0" borderId="196" applyNumberFormat="0" applyFill="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42" fillId="44" borderId="201" applyNumberFormat="0" applyAlignment="0" applyProtection="0"/>
    <xf numFmtId="186" fontId="56" fillId="15" borderId="199" applyNumberFormat="0" applyProtection="0">
      <alignment horizontal="left" vertical="top" indent="1"/>
    </xf>
    <xf numFmtId="186" fontId="56" fillId="14" borderId="201" applyNumberFormat="0" applyProtection="0">
      <alignment horizontal="left" vertical="center" indent="1"/>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1" borderId="199"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21" borderId="18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73" fillId="52" borderId="189" applyNumberFormat="0" applyProtection="0">
      <alignment horizontal="left" vertical="top" indent="1"/>
    </xf>
    <xf numFmtId="191" fontId="5" fillId="13"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4" fontId="62" fillId="11" borderId="181" applyNumberFormat="0" applyProtection="0">
      <alignment horizontal="left" vertical="center" indent="1"/>
    </xf>
    <xf numFmtId="186" fontId="44" fillId="0" borderId="185" applyNumberFormat="0" applyFill="0" applyAlignment="0" applyProtection="0"/>
    <xf numFmtId="186" fontId="56" fillId="63" borderId="179" applyNumberFormat="0" applyProtection="0">
      <alignment horizontal="left" vertical="center" indent="1"/>
    </xf>
    <xf numFmtId="191" fontId="28" fillId="50" borderId="186">
      <alignment vertical="center"/>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194" fontId="33" fillId="0" borderId="187" applyFill="0"/>
    <xf numFmtId="186" fontId="56" fillId="21" borderId="189" applyNumberFormat="0" applyProtection="0">
      <alignment horizontal="left" vertical="top" indent="1"/>
    </xf>
    <xf numFmtId="186" fontId="42" fillId="44" borderId="191" applyNumberFormat="0" applyAlignment="0" applyProtection="0"/>
    <xf numFmtId="186" fontId="56" fillId="21" borderId="181" applyNumberFormat="0" applyProtection="0">
      <alignment horizontal="left" vertical="top" indent="1"/>
    </xf>
    <xf numFmtId="4" fontId="70"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4" fontId="62" fillId="11" borderId="181" applyNumberFormat="0" applyProtection="0">
      <alignment horizontal="left" vertical="center" indent="1"/>
    </xf>
    <xf numFmtId="4" fontId="56" fillId="53" borderId="179" applyNumberFormat="0" applyProtection="0">
      <alignment horizontal="left" vertical="center" indent="1"/>
    </xf>
    <xf numFmtId="186" fontId="50" fillId="41" borderId="179" applyNumberFormat="0" applyAlignment="0" applyProtection="0"/>
    <xf numFmtId="4" fontId="56" fillId="60" borderId="179" applyNumberFormat="0" applyProtection="0">
      <alignment horizontal="right" vertical="center"/>
    </xf>
    <xf numFmtId="4" fontId="56" fillId="23" borderId="179" applyNumberFormat="0" applyProtection="0">
      <alignment horizontal="right" vertical="center"/>
    </xf>
    <xf numFmtId="4" fontId="56" fillId="19" borderId="191" applyNumberFormat="0" applyProtection="0">
      <alignment horizontal="right" vertical="center"/>
    </xf>
    <xf numFmtId="186" fontId="62" fillId="15" borderId="199" applyNumberFormat="0" applyProtection="0">
      <alignment horizontal="left" vertical="top" indent="1"/>
    </xf>
    <xf numFmtId="186" fontId="56" fillId="63" borderId="199" applyNumberFormat="0" applyProtection="0">
      <alignment horizontal="left" vertical="top" indent="1"/>
    </xf>
    <xf numFmtId="4" fontId="56" fillId="19" borderId="201" applyNumberFormat="0" applyProtection="0">
      <alignment horizontal="right" vertical="center"/>
    </xf>
    <xf numFmtId="4" fontId="62" fillId="48" borderId="199" applyNumberFormat="0" applyProtection="0">
      <alignment vertical="center"/>
    </xf>
    <xf numFmtId="186" fontId="27" fillId="15" borderId="189"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4" fontId="64" fillId="64" borderId="201" applyNumberFormat="0" applyProtection="0">
      <alignment horizontal="right" vertical="center"/>
    </xf>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4" fontId="62" fillId="48" borderId="189" applyNumberFormat="0" applyProtection="0">
      <alignment vertical="center"/>
    </xf>
    <xf numFmtId="186" fontId="56" fillId="14" borderId="19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62" fillId="15" borderId="189" applyNumberFormat="0" applyProtection="0">
      <alignment horizontal="left" vertical="top" indent="1"/>
    </xf>
    <xf numFmtId="186" fontId="56" fillId="14" borderId="199" applyNumberFormat="0" applyProtection="0">
      <alignment horizontal="left" vertical="top" indent="1"/>
    </xf>
    <xf numFmtId="186" fontId="27" fillId="14" borderId="189" applyNumberFormat="0" applyProtection="0">
      <alignment horizontal="left" vertical="top" indent="1"/>
    </xf>
    <xf numFmtId="37" fontId="33" fillId="0" borderId="194" applyNumberFormat="0"/>
    <xf numFmtId="186" fontId="27" fillId="21" borderId="181" applyNumberFormat="0" applyProtection="0">
      <alignment horizontal="left" vertical="center"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14" borderId="181" applyNumberFormat="0" applyProtection="0">
      <alignment horizontal="left" vertical="top" indent="1"/>
    </xf>
    <xf numFmtId="0" fontId="27" fillId="64" borderId="186" applyNumberFormat="0">
      <protection locked="0"/>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62" fillId="48"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90" fontId="5" fillId="70" borderId="186">
      <alignment horizontal="right" vertical="center"/>
      <protection locked="0"/>
    </xf>
    <xf numFmtId="186" fontId="56" fillId="21" borderId="181" applyNumberFormat="0" applyProtection="0">
      <alignment horizontal="left" vertical="top" indent="1"/>
    </xf>
    <xf numFmtId="193"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62" fillId="48" borderId="199" applyNumberFormat="0" applyProtection="0">
      <alignment horizontal="left" vertical="top" indent="1"/>
    </xf>
    <xf numFmtId="4" fontId="56" fillId="14" borderId="195" applyNumberFormat="0" applyProtection="0">
      <alignment horizontal="left" vertical="center" indent="1"/>
    </xf>
    <xf numFmtId="186" fontId="56" fillId="40" borderId="179" applyNumberFormat="0" applyFont="0" applyAlignment="0" applyProtection="0"/>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28" fillId="49" borderId="186">
      <alignment vertical="center"/>
    </xf>
    <xf numFmtId="186" fontId="50" fillId="41" borderId="179" applyNumberFormat="0" applyAlignment="0" applyProtection="0"/>
    <xf numFmtId="4" fontId="56" fillId="19" borderId="179" applyNumberFormat="0" applyProtection="0">
      <alignment horizontal="right" vertical="center"/>
    </xf>
    <xf numFmtId="0" fontId="5" fillId="70" borderId="186">
      <alignment horizontal="right" vertical="center"/>
      <protection locked="0"/>
    </xf>
    <xf numFmtId="186" fontId="61" fillId="21" borderId="183" applyBorder="0"/>
    <xf numFmtId="191" fontId="28" fillId="50" borderId="197">
      <alignment vertical="center"/>
    </xf>
    <xf numFmtId="186" fontId="57" fillId="44" borderId="202" applyNumberFormat="0" applyAlignment="0" applyProtection="0"/>
    <xf numFmtId="172" fontId="28" fillId="12" borderId="186">
      <alignment vertical="center"/>
      <protection locked="0"/>
    </xf>
    <xf numFmtId="186" fontId="56" fillId="14" borderId="181" applyNumberFormat="0" applyProtection="0">
      <alignment horizontal="left" vertical="top" indent="1"/>
    </xf>
    <xf numFmtId="191" fontId="28" fillId="51" borderId="197">
      <alignment horizontal="right" vertical="center"/>
      <protection locked="0"/>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27" fillId="14" borderId="189"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7" fillId="44" borderId="192" applyNumberFormat="0" applyAlignment="0" applyProtection="0"/>
    <xf numFmtId="191" fontId="28" fillId="50" borderId="177">
      <alignment vertical="center"/>
    </xf>
    <xf numFmtId="4" fontId="59" fillId="53" borderId="201" applyNumberFormat="0" applyProtection="0">
      <alignment vertical="center"/>
    </xf>
    <xf numFmtId="191" fontId="5" fillId="7" borderId="197">
      <alignment vertical="center"/>
      <protection locked="0"/>
    </xf>
    <xf numFmtId="191" fontId="28" fillId="50" borderId="197">
      <alignment vertical="center"/>
    </xf>
    <xf numFmtId="186" fontId="56" fillId="15"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1" borderId="199" applyNumberFormat="0" applyProtection="0">
      <alignment horizontal="left" vertical="top" indent="1"/>
    </xf>
    <xf numFmtId="186" fontId="56" fillId="14" borderId="19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91" fontId="28" fillId="50" borderId="207">
      <alignment vertical="center"/>
    </xf>
    <xf numFmtId="186" fontId="56" fillId="40" borderId="201" applyNumberFormat="0" applyFont="0" applyAlignment="0" applyProtection="0"/>
    <xf numFmtId="186" fontId="56" fillId="63" borderId="181" applyNumberFormat="0" applyProtection="0">
      <alignment horizontal="left" vertical="top" indent="1"/>
    </xf>
    <xf numFmtId="4" fontId="56" fillId="52" borderId="191" applyNumberFormat="0" applyProtection="0">
      <alignment vertical="center"/>
    </xf>
    <xf numFmtId="0" fontId="27" fillId="21" borderId="189" applyNumberFormat="0" applyProtection="0">
      <alignment horizontal="left" vertical="center" indent="1"/>
    </xf>
    <xf numFmtId="186" fontId="56" fillId="40" borderId="201" applyNumberFormat="0" applyFont="0" applyAlignment="0" applyProtection="0"/>
    <xf numFmtId="4" fontId="56" fillId="52" borderId="191" applyNumberFormat="0" applyProtection="0">
      <alignment vertical="center"/>
    </xf>
    <xf numFmtId="4" fontId="56" fillId="58" borderId="179" applyNumberFormat="0" applyProtection="0">
      <alignment horizontal="right" vertical="center"/>
    </xf>
    <xf numFmtId="186" fontId="56" fillId="15" borderId="189" applyNumberFormat="0" applyProtection="0">
      <alignment horizontal="left" vertical="top" indent="1"/>
    </xf>
    <xf numFmtId="4" fontId="56" fillId="55" borderId="191" applyNumberFormat="0" applyProtection="0">
      <alignment horizontal="right" vertical="center"/>
    </xf>
    <xf numFmtId="4" fontId="56" fillId="61" borderId="195"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186" fontId="56" fillId="14" borderId="179" applyNumberFormat="0" applyProtection="0">
      <alignment horizontal="left" vertical="center" indent="1"/>
    </xf>
    <xf numFmtId="188" fontId="5" fillId="70" borderId="186">
      <alignment horizontal="right" vertical="center"/>
      <protection locked="0"/>
    </xf>
    <xf numFmtId="186" fontId="56" fillId="15" borderId="199" applyNumberFormat="0" applyProtection="0">
      <alignment horizontal="left" vertical="top" indent="1"/>
    </xf>
    <xf numFmtId="4" fontId="72" fillId="49" borderId="189"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7" fillId="44" borderId="192" applyNumberFormat="0" applyAlignment="0" applyProtection="0"/>
    <xf numFmtId="0" fontId="5" fillId="13" borderId="197">
      <alignment vertical="center"/>
    </xf>
    <xf numFmtId="186" fontId="56" fillId="63" borderId="189" applyNumberFormat="0" applyProtection="0">
      <alignment horizontal="left" vertical="top" indent="1"/>
    </xf>
    <xf numFmtId="186" fontId="56" fillId="11" borderId="201" applyNumberFormat="0" applyProtection="0">
      <alignment horizontal="left" vertical="center" indent="1"/>
    </xf>
    <xf numFmtId="186" fontId="61" fillId="21" borderId="193" applyBorder="0"/>
    <xf numFmtId="186" fontId="56" fillId="40" borderId="191" applyNumberFormat="0" applyFont="0" applyAlignment="0" applyProtection="0"/>
    <xf numFmtId="4" fontId="56" fillId="61" borderId="205" applyNumberFormat="0" applyProtection="0">
      <alignment horizontal="left" vertical="center" indent="1"/>
    </xf>
    <xf numFmtId="4" fontId="56" fillId="55" borderId="191" applyNumberFormat="0" applyProtection="0">
      <alignment horizontal="right" vertical="center"/>
    </xf>
    <xf numFmtId="4" fontId="62" fillId="48" borderId="199" applyNumberFormat="0" applyProtection="0">
      <alignment vertical="center"/>
    </xf>
    <xf numFmtId="186" fontId="27" fillId="21" borderId="189" applyNumberFormat="0" applyProtection="0">
      <alignment horizontal="left" vertical="top" indent="1"/>
    </xf>
    <xf numFmtId="186" fontId="28" fillId="12" borderId="197">
      <alignmen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4" fontId="59" fillId="53" borderId="201" applyNumberFormat="0" applyProtection="0">
      <alignment vertical="center"/>
    </xf>
    <xf numFmtId="4" fontId="56" fillId="54" borderId="191" applyNumberFormat="0" applyProtection="0">
      <alignment horizontal="left" vertical="center" indent="1"/>
    </xf>
    <xf numFmtId="186" fontId="62" fillId="48" borderId="18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72" fillId="87" borderId="189" applyNumberFormat="0" applyProtection="0">
      <alignment horizontal="right" vertical="center"/>
    </xf>
    <xf numFmtId="191" fontId="5" fillId="7" borderId="177">
      <alignment vertical="center"/>
      <protection locked="0"/>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2" borderId="191" applyNumberFormat="0" applyProtection="0">
      <alignment vertical="center"/>
    </xf>
    <xf numFmtId="4" fontId="62" fillId="11" borderId="189" applyNumberFormat="0" applyProtection="0">
      <alignment horizontal="left" vertical="center" indent="1"/>
    </xf>
    <xf numFmtId="186" fontId="27" fillId="63" borderId="189" applyNumberFormat="0" applyProtection="0">
      <alignment horizontal="left" vertical="center"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44" fillId="0" borderId="196" applyNumberFormat="0" applyFill="0" applyAlignment="0" applyProtection="0"/>
    <xf numFmtId="0" fontId="27" fillId="21" borderId="189" applyNumberFormat="0" applyProtection="0">
      <alignment horizontal="left" vertical="center" indent="1"/>
    </xf>
    <xf numFmtId="193"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91" fontId="28" fillId="51" borderId="177">
      <alignment horizontal="right" vertical="center"/>
      <protection locked="0"/>
    </xf>
    <xf numFmtId="186" fontId="62" fillId="48" borderId="181" applyNumberFormat="0" applyProtection="0">
      <alignment horizontal="left" vertical="top" indent="1"/>
    </xf>
    <xf numFmtId="4" fontId="56" fillId="59" borderId="179" applyNumberFormat="0" applyProtection="0">
      <alignment horizontal="right" vertical="center"/>
    </xf>
    <xf numFmtId="186" fontId="56" fillId="11" borderId="179" applyNumberFormat="0" applyProtection="0">
      <alignment horizontal="left" vertical="center" indent="1"/>
    </xf>
    <xf numFmtId="186" fontId="42" fillId="44" borderId="179" applyNumberForma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7" borderId="182" applyNumberFormat="0" applyProtection="0">
      <alignment horizontal="right" vertical="center"/>
    </xf>
    <xf numFmtId="186" fontId="50" fillId="41" borderId="179" applyNumberFormat="0" applyAlignment="0" applyProtection="0"/>
    <xf numFmtId="186" fontId="50" fillId="41" borderId="191" applyNumberFormat="0" applyAlignment="0" applyProtection="0"/>
    <xf numFmtId="4" fontId="62" fillId="48" borderId="181" applyNumberFormat="0" applyProtection="0">
      <alignment vertical="center"/>
    </xf>
    <xf numFmtId="4" fontId="56" fillId="16" borderId="179" applyNumberFormat="0" applyProtection="0">
      <alignment horizontal="right" vertical="center"/>
    </xf>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56" fillId="15" borderId="182" applyNumberFormat="0" applyProtection="0">
      <alignment horizontal="left" vertical="center" indent="1"/>
    </xf>
    <xf numFmtId="4" fontId="56" fillId="55" borderId="191" applyNumberFormat="0" applyProtection="0">
      <alignment horizontal="right" vertical="center"/>
    </xf>
    <xf numFmtId="4" fontId="56" fillId="0" borderId="191" applyNumberFormat="0" applyProtection="0">
      <alignment horizontal="right" vertical="center"/>
    </xf>
    <xf numFmtId="186" fontId="56" fillId="63" borderId="181" applyNumberFormat="0" applyProtection="0">
      <alignment horizontal="left" vertical="top" indent="1"/>
    </xf>
    <xf numFmtId="4" fontId="72" fillId="86" borderId="181" applyNumberFormat="0" applyProtection="0">
      <alignment horizontal="right" vertical="center"/>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4" fontId="56" fillId="15" borderId="182" applyNumberFormat="0" applyProtection="0">
      <alignment horizontal="left" vertical="center" indent="1"/>
    </xf>
    <xf numFmtId="190" fontId="28" fillId="49" borderId="186">
      <alignment vertical="center"/>
    </xf>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5" borderId="189" applyNumberFormat="0" applyProtection="0">
      <alignment horizontal="left" vertical="center" indent="1"/>
    </xf>
    <xf numFmtId="4" fontId="56" fillId="23" borderId="179" applyNumberFormat="0" applyProtection="0">
      <alignment horizontal="right" vertical="center"/>
    </xf>
    <xf numFmtId="186" fontId="56" fillId="40" borderId="179" applyNumberFormat="0" applyFont="0" applyAlignment="0" applyProtection="0"/>
    <xf numFmtId="188" fontId="5" fillId="7" borderId="186">
      <alignment vertical="center"/>
      <protection locked="0"/>
    </xf>
    <xf numFmtId="4" fontId="56" fillId="23" borderId="179" applyNumberFormat="0" applyProtection="0">
      <alignment horizontal="right" vertical="center"/>
    </xf>
    <xf numFmtId="186" fontId="56" fillId="63" borderId="199" applyNumberFormat="0" applyProtection="0">
      <alignment horizontal="left" vertical="top" indent="1"/>
    </xf>
    <xf numFmtId="188" fontId="28" fillId="50" borderId="197">
      <alignment vertical="center"/>
    </xf>
    <xf numFmtId="186" fontId="56" fillId="21" borderId="199" applyNumberFormat="0" applyProtection="0">
      <alignment horizontal="left" vertical="top" indent="1"/>
    </xf>
    <xf numFmtId="4" fontId="56" fillId="54" borderId="191" applyNumberFormat="0" applyProtection="0">
      <alignment horizontal="left" vertical="center" indent="1"/>
    </xf>
    <xf numFmtId="4" fontId="56" fillId="15" borderId="179" applyNumberFormat="0" applyProtection="0">
      <alignment horizontal="right" vertical="center"/>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91" fontId="5" fillId="13" borderId="186">
      <alignment vertical="center"/>
    </xf>
    <xf numFmtId="4" fontId="76" fillId="87" borderId="181" applyNumberFormat="0" applyProtection="0">
      <alignment horizontal="right" vertical="center"/>
    </xf>
    <xf numFmtId="186" fontId="56" fillId="15"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23"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81" applyNumberFormat="0" applyProtection="0">
      <alignment horizontal="left" vertical="top" indent="1"/>
    </xf>
    <xf numFmtId="193" fontId="5" fillId="69" borderId="186">
      <alignment vertical="center"/>
    </xf>
    <xf numFmtId="4" fontId="56" fillId="56" borderId="191" applyNumberFormat="0" applyProtection="0">
      <alignment horizontal="right" vertical="center"/>
    </xf>
    <xf numFmtId="186" fontId="56" fillId="63" borderId="199" applyNumberFormat="0" applyProtection="0">
      <alignment horizontal="left" vertical="top" indent="1"/>
    </xf>
    <xf numFmtId="4" fontId="56" fillId="53" borderId="191" applyNumberFormat="0" applyProtection="0">
      <alignment horizontal="left" vertical="center" indent="1"/>
    </xf>
    <xf numFmtId="4" fontId="72" fillId="81" borderId="199" applyNumberFormat="0" applyProtection="0">
      <alignment horizontal="right" vertical="center"/>
    </xf>
    <xf numFmtId="4" fontId="56" fillId="15" borderId="195" applyNumberFormat="0" applyProtection="0">
      <alignment horizontal="left" vertical="center" indent="1"/>
    </xf>
    <xf numFmtId="4" fontId="56" fillId="57" borderId="195" applyNumberFormat="0" applyProtection="0">
      <alignment horizontal="right" vertical="center"/>
    </xf>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86" fontId="27" fillId="63" borderId="189" applyNumberFormat="0" applyProtection="0">
      <alignment horizontal="left" vertical="top" indent="1"/>
    </xf>
    <xf numFmtId="191" fontId="28" fillId="12"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7" fillId="44" borderId="202" applyNumberFormat="0" applyAlignment="0" applyProtection="0"/>
    <xf numFmtId="186" fontId="27" fillId="63" borderId="199" applyNumberFormat="0" applyProtection="0">
      <alignment horizontal="left" vertical="top" indent="1"/>
    </xf>
    <xf numFmtId="4" fontId="56" fillId="61" borderId="205"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21" borderId="189" applyNumberFormat="0" applyProtection="0">
      <alignment horizontal="left" vertical="top" indent="1"/>
    </xf>
    <xf numFmtId="186" fontId="56" fillId="40" borderId="179"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28" fillId="12" borderId="197">
      <alignment vertical="center"/>
      <protection locked="0"/>
    </xf>
    <xf numFmtId="191" fontId="28" fillId="51" borderId="197">
      <alignment horizontal="right" vertical="center"/>
      <protection locked="0"/>
    </xf>
    <xf numFmtId="186" fontId="56" fillId="40" borderId="179" applyNumberFormat="0" applyFont="0" applyAlignment="0" applyProtection="0"/>
    <xf numFmtId="4" fontId="56" fillId="23" borderId="201" applyNumberFormat="0" applyProtection="0">
      <alignment horizontal="right" vertical="center"/>
    </xf>
    <xf numFmtId="188" fontId="28" fillId="51" borderId="207">
      <alignment horizontal="right" vertical="center"/>
      <protection locked="0"/>
    </xf>
    <xf numFmtId="4" fontId="56" fillId="0" borderId="201" applyNumberFormat="0" applyProtection="0">
      <alignment horizontal="right" vertical="center"/>
    </xf>
    <xf numFmtId="186" fontId="28" fillId="49" borderId="197">
      <alignment vertical="center"/>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28" fillId="51" borderId="177">
      <alignment horizontal="right" vertical="center"/>
      <protection locked="0"/>
    </xf>
    <xf numFmtId="186" fontId="61" fillId="21" borderId="203" applyBorder="0"/>
    <xf numFmtId="186" fontId="27" fillId="14" borderId="189" applyNumberFormat="0" applyProtection="0">
      <alignment horizontal="left" vertical="top" indent="1"/>
    </xf>
    <xf numFmtId="4" fontId="62" fillId="48" borderId="199"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4" fontId="56" fillId="15"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91" applyNumberFormat="0" applyFont="0" applyAlignment="0" applyProtection="0"/>
    <xf numFmtId="186" fontId="56" fillId="40" borderId="201" applyNumberFormat="0" applyFont="0" applyAlignment="0" applyProtection="0"/>
    <xf numFmtId="193" fontId="28" fillId="50" borderId="197">
      <alignment vertical="center"/>
    </xf>
    <xf numFmtId="186" fontId="57" fillId="44" borderId="202" applyNumberFormat="0" applyAlignment="0" applyProtection="0"/>
    <xf numFmtId="186" fontId="50" fillId="41" borderId="191" applyNumberForma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72" fontId="28" fillId="12" borderId="197">
      <alignment vertical="center"/>
      <protection locked="0"/>
    </xf>
    <xf numFmtId="186" fontId="56" fillId="40" borderId="179" applyNumberFormat="0" applyFont="0" applyAlignment="0" applyProtection="0"/>
    <xf numFmtId="188" fontId="28" fillId="50" borderId="197">
      <alignment vertical="center"/>
    </xf>
    <xf numFmtId="186" fontId="27" fillId="63" borderId="181" applyNumberFormat="0" applyProtection="0">
      <alignment horizontal="left" vertical="center" indent="1"/>
    </xf>
    <xf numFmtId="186" fontId="56" fillId="21" borderId="189" applyNumberFormat="0" applyProtection="0">
      <alignment horizontal="left" vertical="top" indent="1"/>
    </xf>
    <xf numFmtId="190" fontId="28" fillId="50" borderId="207">
      <alignment vertical="center"/>
    </xf>
    <xf numFmtId="186" fontId="27" fillId="21" borderId="189"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4" fontId="56" fillId="15"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4" fontId="59" fillId="53" borderId="191"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4" fontId="75" fillId="88" borderId="188" applyNumberFormat="0" applyProtection="0">
      <alignment horizontal="left" vertical="center" indent="1"/>
    </xf>
    <xf numFmtId="4" fontId="62" fillId="11" borderId="181" applyNumberFormat="0" applyProtection="0">
      <alignment horizontal="left" vertical="center" indent="1"/>
    </xf>
    <xf numFmtId="191" fontId="5" fillId="13" borderId="186">
      <alignment vertical="center"/>
    </xf>
    <xf numFmtId="186" fontId="60" fillId="52"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91" fontId="28" fillId="12" borderId="186">
      <alignment vertical="center"/>
      <protection locked="0"/>
    </xf>
    <xf numFmtId="186" fontId="56" fillId="40" borderId="191" applyNumberFormat="0" applyFont="0" applyAlignment="0" applyProtection="0"/>
    <xf numFmtId="0" fontId="5" fillId="13" borderId="186">
      <alignment vertical="center"/>
    </xf>
    <xf numFmtId="186" fontId="56" fillId="63" borderId="181" applyNumberFormat="0" applyProtection="0">
      <alignment horizontal="left" vertical="top" indent="1"/>
    </xf>
    <xf numFmtId="186" fontId="62" fillId="48" borderId="181" applyNumberFormat="0" applyProtection="0">
      <alignment horizontal="left" vertical="top" indent="1"/>
    </xf>
    <xf numFmtId="186" fontId="56" fillId="15" borderId="199" applyNumberFormat="0" applyProtection="0">
      <alignment horizontal="left" vertical="top" indent="1"/>
    </xf>
    <xf numFmtId="186" fontId="60" fillId="52" borderId="189" applyNumberFormat="0" applyProtection="0">
      <alignment horizontal="left" vertical="top" indent="1"/>
    </xf>
    <xf numFmtId="4" fontId="56" fillId="19" borderId="201" applyNumberFormat="0" applyProtection="0">
      <alignment horizontal="right" vertical="center"/>
    </xf>
    <xf numFmtId="186" fontId="27" fillId="63" borderId="199" applyNumberFormat="0" applyProtection="0">
      <alignment horizontal="left" vertical="center" indent="1"/>
    </xf>
    <xf numFmtId="0" fontId="27" fillId="21" borderId="199" applyNumberFormat="0" applyProtection="0">
      <alignment horizontal="left" vertical="center"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62" borderId="201" applyNumberFormat="0" applyProtection="0">
      <alignment horizontal="left" vertical="center" indent="1"/>
    </xf>
    <xf numFmtId="186" fontId="56" fillId="11" borderId="191" applyNumberFormat="0" applyProtection="0">
      <alignment horizontal="left" vertical="center" indent="1"/>
    </xf>
    <xf numFmtId="190" fontId="28" fillId="50" borderId="186">
      <alignment vertical="center"/>
    </xf>
    <xf numFmtId="186" fontId="56" fillId="40" borderId="201" applyNumberFormat="0" applyFont="0" applyAlignment="0" applyProtection="0"/>
    <xf numFmtId="188" fontId="5" fillId="13" borderId="17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21" borderId="189" applyNumberFormat="0" applyProtection="0">
      <alignment horizontal="left" vertical="top" indent="1"/>
    </xf>
    <xf numFmtId="4" fontId="56" fillId="14" borderId="205" applyNumberFormat="0" applyProtection="0">
      <alignment horizontal="left" vertical="center" indent="1"/>
    </xf>
    <xf numFmtId="186" fontId="56" fillId="14" borderId="199" applyNumberFormat="0" applyProtection="0">
      <alignment horizontal="left" vertical="top" indent="1"/>
    </xf>
    <xf numFmtId="4" fontId="72" fillId="80" borderId="189" applyNumberFormat="0" applyProtection="0">
      <alignment horizontal="right" vertical="center"/>
    </xf>
    <xf numFmtId="193" fontId="5" fillId="69" borderId="197">
      <alignment vertical="center"/>
    </xf>
    <xf numFmtId="186" fontId="56" fillId="63" borderId="189" applyNumberFormat="0" applyProtection="0">
      <alignment horizontal="left" vertical="top" indent="1"/>
    </xf>
    <xf numFmtId="186" fontId="50" fillId="41" borderId="201" applyNumberFormat="0" applyAlignment="0" applyProtection="0"/>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40" borderId="191" applyNumberFormat="0" applyFont="0" applyAlignment="0" applyProtection="0"/>
    <xf numFmtId="186" fontId="57" fillId="44" borderId="180" applyNumberFormat="0" applyAlignment="0" applyProtection="0"/>
    <xf numFmtId="190" fontId="28" fillId="51" borderId="186">
      <alignment horizontal="right" vertical="center"/>
      <protection locked="0"/>
    </xf>
    <xf numFmtId="186" fontId="28" fillId="50" borderId="197">
      <alignment vertical="center"/>
    </xf>
    <xf numFmtId="193" fontId="5" fillId="7" borderId="177">
      <alignment vertical="center"/>
      <protection locked="0"/>
    </xf>
    <xf numFmtId="186" fontId="56" fillId="63" borderId="189" applyNumberFormat="0" applyProtection="0">
      <alignment horizontal="left" vertical="top" indent="1"/>
    </xf>
    <xf numFmtId="190" fontId="28" fillId="50" borderId="186">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8" fontId="28" fillId="51" borderId="177">
      <alignment horizontal="right" vertical="center"/>
      <protection locked="0"/>
    </xf>
    <xf numFmtId="186" fontId="27" fillId="21" borderId="19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56" fillId="52" borderId="179" applyNumberFormat="0" applyProtection="0">
      <alignment vertical="center"/>
    </xf>
    <xf numFmtId="186" fontId="44" fillId="0" borderId="196" applyNumberFormat="0" applyFill="0" applyAlignment="0" applyProtection="0"/>
    <xf numFmtId="4" fontId="56" fillId="19" borderId="191" applyNumberFormat="0" applyProtection="0">
      <alignment horizontal="right" vertical="center"/>
    </xf>
    <xf numFmtId="186" fontId="56" fillId="15" borderId="181" applyNumberFormat="0" applyProtection="0">
      <alignment horizontal="left" vertical="top" indent="1"/>
    </xf>
    <xf numFmtId="4" fontId="72" fillId="78" borderId="181" applyNumberFormat="0" applyProtection="0">
      <alignment horizontal="right" vertical="center"/>
    </xf>
    <xf numFmtId="193" fontId="5" fillId="7" borderId="186">
      <alignment vertical="center"/>
      <protection locked="0"/>
    </xf>
    <xf numFmtId="186" fontId="56" fillId="15" borderId="181" applyNumberFormat="0" applyProtection="0">
      <alignment horizontal="left" vertical="top" indent="1"/>
    </xf>
    <xf numFmtId="186" fontId="44" fillId="0" borderId="196" applyNumberFormat="0" applyFill="0" applyAlignment="0" applyProtection="0"/>
    <xf numFmtId="193" fontId="28" fillId="50" borderId="177">
      <alignment vertical="center"/>
    </xf>
    <xf numFmtId="186" fontId="56" fillId="40" borderId="179" applyNumberFormat="0" applyFont="0" applyAlignment="0" applyProtection="0"/>
    <xf numFmtId="186" fontId="56" fillId="63" borderId="181" applyNumberFormat="0" applyProtection="0">
      <alignment horizontal="left" vertical="top" indent="1"/>
    </xf>
    <xf numFmtId="186" fontId="56" fillId="21" borderId="189" applyNumberFormat="0" applyProtection="0">
      <alignment horizontal="left" vertical="top" indent="1"/>
    </xf>
    <xf numFmtId="190" fontId="5" fillId="69" borderId="186">
      <alignment vertical="center"/>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28" fillId="50" borderId="197">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4" fontId="70" fillId="86" borderId="200" applyNumberFormat="0" applyProtection="0">
      <alignment horizontal="left" vertical="center" indent="1"/>
    </xf>
    <xf numFmtId="186" fontId="50" fillId="41" borderId="201" applyNumberFormat="0" applyAlignment="0" applyProtection="0"/>
    <xf numFmtId="37" fontId="33" fillId="0" borderId="204" applyNumberFormat="0"/>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37" fontId="33" fillId="0" borderId="184" applyNumberFormat="0"/>
    <xf numFmtId="186" fontId="56" fillId="21" borderId="199" applyNumberFormat="0" applyProtection="0">
      <alignment horizontal="left" vertical="top" indent="1"/>
    </xf>
    <xf numFmtId="186" fontId="56" fillId="14" borderId="191" applyNumberFormat="0" applyProtection="0">
      <alignment horizontal="left" vertical="center" indent="1"/>
    </xf>
    <xf numFmtId="186" fontId="27" fillId="63" borderId="189" applyNumberFormat="0" applyProtection="0">
      <alignment horizontal="left" vertical="center" indent="1"/>
    </xf>
    <xf numFmtId="4" fontId="56" fillId="14" borderId="205" applyNumberFormat="0" applyProtection="0">
      <alignment horizontal="left" vertical="center" indent="1"/>
    </xf>
    <xf numFmtId="186" fontId="27" fillId="14" borderId="189" applyNumberFormat="0" applyProtection="0">
      <alignment horizontal="left" vertical="center" indent="1"/>
    </xf>
    <xf numFmtId="186" fontId="56" fillId="63" borderId="189" applyNumberFormat="0" applyProtection="0">
      <alignment horizontal="left" vertical="top" indent="1"/>
    </xf>
    <xf numFmtId="4" fontId="74" fillId="87" borderId="199" applyNumberFormat="0" applyProtection="0">
      <alignment vertical="center"/>
    </xf>
    <xf numFmtId="4" fontId="56" fillId="15" borderId="195" applyNumberFormat="0" applyProtection="0">
      <alignment horizontal="left" vertical="center" indent="1"/>
    </xf>
    <xf numFmtId="4" fontId="56" fillId="16" borderId="201" applyNumberFormat="0" applyProtection="0">
      <alignment horizontal="right" vertical="center"/>
    </xf>
    <xf numFmtId="186" fontId="56" fillId="21" borderId="189" applyNumberFormat="0" applyProtection="0">
      <alignment horizontal="left" vertical="top" indent="1"/>
    </xf>
    <xf numFmtId="186" fontId="50" fillId="41" borderId="191" applyNumberFormat="0" applyAlignment="0" applyProtection="0"/>
    <xf numFmtId="186" fontId="56" fillId="15" borderId="189" applyNumberFormat="0" applyProtection="0">
      <alignment horizontal="left" vertical="top" indent="1"/>
    </xf>
    <xf numFmtId="186" fontId="50" fillId="41" borderId="201" applyNumberFormat="0" applyAlignment="0" applyProtection="0"/>
    <xf numFmtId="193" fontId="5" fillId="7" borderId="186">
      <alignment vertical="center"/>
      <protection locked="0"/>
    </xf>
    <xf numFmtId="186" fontId="56" fillId="40" borderId="179" applyNumberFormat="0" applyFont="0" applyAlignment="0" applyProtection="0"/>
    <xf numFmtId="188" fontId="28" fillId="50"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91" fontId="28" fillId="50" borderId="197">
      <alignment vertical="center"/>
    </xf>
    <xf numFmtId="191" fontId="28" fillId="49" borderId="197">
      <alignment vertical="center"/>
    </xf>
    <xf numFmtId="186" fontId="56" fillId="21" borderId="199" applyNumberFormat="0" applyProtection="0">
      <alignment horizontal="left" vertical="top" indent="1"/>
    </xf>
    <xf numFmtId="0" fontId="5" fillId="69" borderId="197">
      <alignment vertical="center"/>
    </xf>
    <xf numFmtId="191" fontId="28" fillId="50" borderId="207">
      <alignment vertical="center"/>
    </xf>
    <xf numFmtId="186" fontId="28" fillId="50" borderId="197">
      <alignment vertical="center"/>
    </xf>
    <xf numFmtId="191" fontId="5" fillId="70" borderId="197">
      <alignment horizontal="right" vertical="center"/>
      <protection locked="0"/>
    </xf>
    <xf numFmtId="190" fontId="28" fillId="49" borderId="197">
      <alignment vertical="center"/>
    </xf>
    <xf numFmtId="186" fontId="27" fillId="63" borderId="189" applyNumberFormat="0" applyProtection="0">
      <alignment horizontal="left" vertical="top" indent="1"/>
    </xf>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63" fillId="66" borderId="195" applyNumberFormat="0" applyProtection="0">
      <alignment horizontal="left" vertical="center" indent="1"/>
    </xf>
    <xf numFmtId="4" fontId="56" fillId="59" borderId="191" applyNumberFormat="0" applyProtection="0">
      <alignment horizontal="right" vertical="center"/>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4" fontId="56" fillId="60" borderId="201" applyNumberFormat="0" applyProtection="0">
      <alignment horizontal="right" vertical="center"/>
    </xf>
    <xf numFmtId="188" fontId="28" fillId="50" borderId="197">
      <alignment vertical="center"/>
    </xf>
    <xf numFmtId="4" fontId="56" fillId="0" borderId="179" applyNumberFormat="0" applyProtection="0">
      <alignment horizontal="right" vertical="center"/>
    </xf>
    <xf numFmtId="186" fontId="56" fillId="14" borderId="189" applyNumberFormat="0" applyProtection="0">
      <alignment horizontal="left" vertical="top" indent="1"/>
    </xf>
    <xf numFmtId="186" fontId="42" fillId="44" borderId="191" applyNumberFormat="0" applyAlignment="0" applyProtection="0"/>
    <xf numFmtId="186" fontId="56" fillId="62" borderId="191" applyNumberFormat="0" applyProtection="0">
      <alignment horizontal="left" vertical="center" indent="1"/>
    </xf>
    <xf numFmtId="186" fontId="56" fillId="21" borderId="181"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57" borderId="205" applyNumberFormat="0" applyProtection="0">
      <alignment horizontal="right" vertical="center"/>
    </xf>
    <xf numFmtId="4" fontId="56" fillId="53" borderId="201" applyNumberFormat="0" applyProtection="0">
      <alignment horizontal="left" vertical="center" indent="1"/>
    </xf>
    <xf numFmtId="186" fontId="56" fillId="63" borderId="199" applyNumberFormat="0" applyProtection="0">
      <alignment horizontal="left" vertical="top" indent="1"/>
    </xf>
    <xf numFmtId="0" fontId="5" fillId="7" borderId="177">
      <alignment vertical="center"/>
      <protection locked="0"/>
    </xf>
    <xf numFmtId="4" fontId="56" fillId="19" borderId="191" applyNumberFormat="0" applyProtection="0">
      <alignment horizontal="right" vertical="center"/>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57" borderId="195" applyNumberFormat="0" applyProtection="0">
      <alignment horizontal="right" vertical="center"/>
    </xf>
    <xf numFmtId="4" fontId="72" fillId="50" borderId="189" applyNumberFormat="0" applyProtection="0">
      <alignment horizontal="right" vertical="center"/>
    </xf>
    <xf numFmtId="186" fontId="42" fillId="44" borderId="201" applyNumberFormat="0" applyAlignment="0" applyProtection="0"/>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2" fillId="87" borderId="199" applyNumberFormat="0" applyProtection="0">
      <alignment horizontal="right" vertical="center"/>
    </xf>
    <xf numFmtId="186" fontId="56" fillId="15" borderId="199" applyNumberFormat="0" applyProtection="0">
      <alignment horizontal="left" vertical="top" indent="1"/>
    </xf>
    <xf numFmtId="4" fontId="64" fillId="64" borderId="191" applyNumberFormat="0" applyProtection="0">
      <alignment horizontal="right" vertical="center"/>
    </xf>
    <xf numFmtId="4" fontId="56" fillId="56" borderId="19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4" fontId="56" fillId="57" borderId="182" applyNumberFormat="0" applyProtection="0">
      <alignment horizontal="right" vertical="center"/>
    </xf>
    <xf numFmtId="186" fontId="44" fillId="0" borderId="196" applyNumberFormat="0" applyFill="0" applyAlignment="0" applyProtection="0"/>
    <xf numFmtId="186" fontId="27" fillId="63" borderId="181" applyNumberFormat="0" applyProtection="0">
      <alignment horizontal="left" vertical="center" indent="1"/>
    </xf>
    <xf numFmtId="186" fontId="56" fillId="21" borderId="189" applyNumberFormat="0" applyProtection="0">
      <alignment horizontal="left" vertical="top" indent="1"/>
    </xf>
    <xf numFmtId="4" fontId="56" fillId="15" borderId="205" applyNumberFormat="0" applyProtection="0">
      <alignment horizontal="left" vertical="center" indent="1"/>
    </xf>
    <xf numFmtId="4" fontId="72" fillId="50" borderId="189" applyNumberFormat="0" applyProtection="0">
      <alignment horizontal="right" vertical="center"/>
    </xf>
    <xf numFmtId="186" fontId="56" fillId="14" borderId="191" applyNumberFormat="0" applyProtection="0">
      <alignment horizontal="left" vertical="center" indent="1"/>
    </xf>
    <xf numFmtId="186" fontId="56" fillId="14" borderId="201" applyNumberFormat="0" applyProtection="0">
      <alignment horizontal="left" vertical="center" indent="1"/>
    </xf>
    <xf numFmtId="193" fontId="28" fillId="50" borderId="186">
      <alignment vertical="center"/>
    </xf>
    <xf numFmtId="186" fontId="27" fillId="14" borderId="189" applyNumberFormat="0" applyProtection="0">
      <alignment horizontal="left" vertical="center" indent="1"/>
    </xf>
    <xf numFmtId="190" fontId="28" fillId="49" borderId="177">
      <alignment vertical="center"/>
    </xf>
    <xf numFmtId="186" fontId="56" fillId="15" borderId="199" applyNumberFormat="0" applyProtection="0">
      <alignment horizontal="left" vertical="top" indent="1"/>
    </xf>
    <xf numFmtId="191" fontId="28" fillId="12" borderId="186">
      <alignment vertical="center"/>
      <protection locked="0"/>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44" fillId="0" borderId="185" applyNumberFormat="0" applyFill="0" applyAlignment="0" applyProtection="0"/>
    <xf numFmtId="190" fontId="5" fillId="69" borderId="186">
      <alignment vertical="center"/>
    </xf>
    <xf numFmtId="186" fontId="56" fillId="21" borderId="189" applyNumberFormat="0" applyProtection="0">
      <alignment horizontal="left" vertical="top" indent="1"/>
    </xf>
    <xf numFmtId="186" fontId="27" fillId="21" borderId="189" applyNumberFormat="0" applyProtection="0">
      <alignment horizontal="left" vertical="top" indent="1"/>
    </xf>
    <xf numFmtId="191" fontId="5" fillId="70" borderId="186">
      <alignment horizontal="right" vertical="center"/>
      <protection locked="0"/>
    </xf>
    <xf numFmtId="186" fontId="27" fillId="21" borderId="189" applyNumberFormat="0" applyProtection="0">
      <alignment horizontal="left" vertical="top" indent="1"/>
    </xf>
    <xf numFmtId="4" fontId="56" fillId="58" borderId="179" applyNumberFormat="0" applyProtection="0">
      <alignment horizontal="right" vertical="center"/>
    </xf>
    <xf numFmtId="186" fontId="56" fillId="15" borderId="199" applyNumberFormat="0" applyProtection="0">
      <alignment horizontal="left" vertical="top" indent="1"/>
    </xf>
    <xf numFmtId="191" fontId="28" fillId="12" borderId="177">
      <alignment vertical="center"/>
      <protection locked="0"/>
    </xf>
    <xf numFmtId="186" fontId="57" fillId="44" borderId="192" applyNumberFormat="0" applyAlignment="0" applyProtection="0"/>
    <xf numFmtId="4" fontId="56" fillId="53" borderId="191" applyNumberFormat="0" applyProtection="0">
      <alignment horizontal="left" vertical="center" indent="1"/>
    </xf>
    <xf numFmtId="196" fontId="5" fillId="69" borderId="177">
      <alignment vertical="center"/>
    </xf>
    <xf numFmtId="186" fontId="28" fillId="12" borderId="177">
      <alignment vertical="center"/>
      <protection locked="0"/>
    </xf>
    <xf numFmtId="186" fontId="56" fillId="40" borderId="191" applyNumberFormat="0" applyFont="0" applyAlignment="0" applyProtection="0"/>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59" fillId="12" borderId="177" applyNumberFormat="0" applyProtection="0">
      <alignment vertical="center"/>
    </xf>
    <xf numFmtId="186" fontId="56" fillId="14" borderId="189" applyNumberFormat="0" applyProtection="0">
      <alignment horizontal="left" vertical="top" indent="1"/>
    </xf>
    <xf numFmtId="4" fontId="27" fillId="2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4" fillId="87" borderId="189" applyNumberFormat="0" applyProtection="0">
      <alignment vertical="center"/>
    </xf>
    <xf numFmtId="191" fontId="5" fillId="7" borderId="186">
      <alignment vertical="center"/>
      <protection locked="0"/>
    </xf>
    <xf numFmtId="186" fontId="56" fillId="14" borderId="189" applyNumberFormat="0" applyProtection="0">
      <alignment horizontal="left" vertical="top" indent="1"/>
    </xf>
    <xf numFmtId="186" fontId="56" fillId="14" borderId="179" applyNumberFormat="0" applyProtection="0">
      <alignment horizontal="left" vertical="center" indent="1"/>
    </xf>
    <xf numFmtId="186" fontId="28" fillId="49" borderId="197">
      <alignment vertical="center"/>
    </xf>
    <xf numFmtId="186" fontId="27" fillId="21" borderId="189" applyNumberFormat="0" applyProtection="0">
      <alignment horizontal="left" vertical="center" indent="1"/>
    </xf>
    <xf numFmtId="186" fontId="56" fillId="11" borderId="179" applyNumberFormat="0" applyProtection="0">
      <alignment horizontal="left" vertical="center" indent="1"/>
    </xf>
    <xf numFmtId="186" fontId="56" fillId="21" borderId="181"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4" fontId="59" fillId="12" borderId="186" applyNumberFormat="0" applyProtection="0">
      <alignment vertical="center"/>
    </xf>
    <xf numFmtId="4" fontId="56" fillId="15" borderId="179" applyNumberFormat="0" applyProtection="0">
      <alignment horizontal="right" vertical="center"/>
    </xf>
    <xf numFmtId="186" fontId="56" fillId="40" borderId="179" applyNumberFormat="0" applyFont="0" applyAlignment="0" applyProtection="0"/>
    <xf numFmtId="186" fontId="56" fillId="15" borderId="199" applyNumberFormat="0" applyProtection="0">
      <alignment horizontal="left" vertical="top" indent="1"/>
    </xf>
    <xf numFmtId="4" fontId="64" fillId="64" borderId="179" applyNumberFormat="0" applyProtection="0">
      <alignment horizontal="right" vertical="center"/>
    </xf>
    <xf numFmtId="186" fontId="56" fillId="11" borderId="179" applyNumberFormat="0" applyProtection="0">
      <alignment horizontal="left" vertical="center" indent="1"/>
    </xf>
    <xf numFmtId="4" fontId="56" fillId="54" borderId="191" applyNumberFormat="0" applyProtection="0">
      <alignment horizontal="left" vertical="center" indent="1"/>
    </xf>
    <xf numFmtId="186" fontId="27" fillId="63" borderId="189" applyNumberFormat="0" applyProtection="0">
      <alignment horizontal="left" vertical="top" indent="1"/>
    </xf>
    <xf numFmtId="186" fontId="27" fillId="63" borderId="189" applyNumberFormat="0" applyProtection="0">
      <alignment horizontal="left" vertical="top" indent="1"/>
    </xf>
    <xf numFmtId="186" fontId="42" fillId="44" borderId="179" applyNumberFormat="0" applyAlignment="0" applyProtection="0"/>
    <xf numFmtId="186" fontId="56" fillId="63"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14" borderId="181" applyNumberFormat="0" applyProtection="0">
      <alignment horizontal="left" vertical="top" indent="1"/>
    </xf>
    <xf numFmtId="0" fontId="27" fillId="14" borderId="181"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11" borderId="181" applyNumberFormat="0" applyProtection="0">
      <alignment horizontal="left" vertical="center" indent="1"/>
    </xf>
    <xf numFmtId="4" fontId="27" fillId="21" borderId="182" applyNumberFormat="0" applyProtection="0">
      <alignment horizontal="left" vertical="center" indent="1"/>
    </xf>
    <xf numFmtId="186" fontId="56" fillId="14" borderId="179" applyNumberFormat="0" applyProtection="0">
      <alignment horizontal="left" vertical="center" indent="1"/>
    </xf>
    <xf numFmtId="188" fontId="5" fillId="70" borderId="186">
      <alignment horizontal="right" vertical="center"/>
      <protection locked="0"/>
    </xf>
    <xf numFmtId="186" fontId="56" fillId="21" borderId="181" applyNumberFormat="0" applyProtection="0">
      <alignment horizontal="left" vertical="top" indent="1"/>
    </xf>
    <xf numFmtId="191" fontId="28" fillId="12" borderId="186">
      <alignment vertical="center"/>
      <protection locked="0"/>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90" fontId="28" fillId="49" borderId="197">
      <alignment vertical="center"/>
    </xf>
    <xf numFmtId="4" fontId="64" fillId="64" borderId="191" applyNumberFormat="0" applyProtection="0">
      <alignment horizontal="right" vertical="center"/>
    </xf>
    <xf numFmtId="186" fontId="42" fillId="44" borderId="201" applyNumberFormat="0" applyAlignment="0" applyProtection="0"/>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8" fillId="50" borderId="186">
      <alignment vertical="center"/>
    </xf>
    <xf numFmtId="4" fontId="56" fillId="0" borderId="179" applyNumberFormat="0" applyProtection="0">
      <alignment horizontal="right" vertical="center"/>
    </xf>
    <xf numFmtId="4" fontId="56" fillId="57" borderId="195" applyNumberFormat="0" applyProtection="0">
      <alignment horizontal="right" vertical="center"/>
    </xf>
    <xf numFmtId="186" fontId="56" fillId="63" borderId="179" applyNumberFormat="0" applyProtection="0">
      <alignment horizontal="left" vertical="center" indent="1"/>
    </xf>
    <xf numFmtId="188" fontId="5" fillId="69" borderId="186">
      <alignment vertical="center"/>
    </xf>
    <xf numFmtId="186" fontId="61" fillId="21" borderId="193" applyBorder="0"/>
    <xf numFmtId="186" fontId="56" fillId="63" borderId="181" applyNumberFormat="0" applyProtection="0">
      <alignment horizontal="left" vertical="top" indent="1"/>
    </xf>
    <xf numFmtId="191" fontId="5" fillId="70" borderId="177">
      <alignment horizontal="right" vertical="center"/>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1" borderId="199" applyNumberFormat="0" applyProtection="0">
      <alignment horizontal="left" vertical="center" indent="1"/>
    </xf>
    <xf numFmtId="186" fontId="56" fillId="21" borderId="199" applyNumberFormat="0" applyProtection="0">
      <alignment horizontal="left" vertical="top" indent="1"/>
    </xf>
    <xf numFmtId="4" fontId="56" fillId="23" borderId="191" applyNumberFormat="0" applyProtection="0">
      <alignment horizontal="right" vertical="center"/>
    </xf>
    <xf numFmtId="193" fontId="5" fillId="69" borderId="197">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201" applyNumberFormat="0" applyAlignment="0" applyProtection="0"/>
    <xf numFmtId="4" fontId="56" fillId="60" borderId="191" applyNumberFormat="0" applyProtection="0">
      <alignment horizontal="right" vertical="center"/>
    </xf>
    <xf numFmtId="4" fontId="59" fillId="65" borderId="20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62" fillId="15" borderId="199" applyNumberFormat="0" applyProtection="0">
      <alignment horizontal="left" vertical="top" indent="1"/>
    </xf>
    <xf numFmtId="4" fontId="56" fillId="52" borderId="191" applyNumberFormat="0" applyProtection="0">
      <alignment vertical="center"/>
    </xf>
    <xf numFmtId="186" fontId="56" fillId="15" borderId="199" applyNumberFormat="0" applyProtection="0">
      <alignment horizontal="left" vertical="top" indent="1"/>
    </xf>
    <xf numFmtId="186" fontId="56" fillId="40" borderId="191" applyNumberFormat="0" applyFont="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99" applyNumberFormat="0" applyProtection="0">
      <alignment horizontal="left" vertical="top" indent="1"/>
    </xf>
    <xf numFmtId="186" fontId="56" fillId="21" borderId="189" applyNumberFormat="0" applyProtection="0">
      <alignment horizontal="left" vertical="top" indent="1"/>
    </xf>
    <xf numFmtId="4" fontId="56" fillId="56" borderId="191" applyNumberFormat="0" applyProtection="0">
      <alignment horizontal="right" vertical="center"/>
    </xf>
    <xf numFmtId="4" fontId="63" fillId="66" borderId="182" applyNumberFormat="0" applyProtection="0">
      <alignment horizontal="left" vertical="center" indent="1"/>
    </xf>
    <xf numFmtId="4" fontId="59" fillId="53" borderId="179" applyNumberFormat="0" applyProtection="0">
      <alignment vertical="center"/>
    </xf>
    <xf numFmtId="186" fontId="56" fillId="15" borderId="199" applyNumberFormat="0" applyProtection="0">
      <alignment horizontal="left" vertical="top" indent="1"/>
    </xf>
    <xf numFmtId="186" fontId="56" fillId="40" borderId="179" applyNumberFormat="0" applyFont="0" applyAlignment="0" applyProtection="0"/>
    <xf numFmtId="186" fontId="57" fillId="44" borderId="192" applyNumberFormat="0" applyAlignment="0" applyProtection="0"/>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7" fillId="44" borderId="192" applyNumberFormat="0" applyAlignment="0" applyProtection="0"/>
    <xf numFmtId="186" fontId="56" fillId="21" borderId="199" applyNumberFormat="0" applyProtection="0">
      <alignment horizontal="left" vertical="top" indent="1"/>
    </xf>
    <xf numFmtId="186" fontId="56" fillId="63" borderId="189" applyNumberFormat="0" applyProtection="0">
      <alignment horizontal="left" vertical="top" indent="1"/>
    </xf>
    <xf numFmtId="4" fontId="62" fillId="11" borderId="199" applyNumberFormat="0" applyProtection="0">
      <alignment horizontal="left" vertical="center" indent="1"/>
    </xf>
    <xf numFmtId="4" fontId="56" fillId="52" borderId="191" applyNumberFormat="0" applyProtection="0">
      <alignmen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57" fillId="44" borderId="192" applyNumberFormat="0" applyAlignment="0" applyProtection="0"/>
    <xf numFmtId="186" fontId="60" fillId="52" borderId="189" applyNumberFormat="0" applyProtection="0">
      <alignment horizontal="left" vertical="top" indent="1"/>
    </xf>
    <xf numFmtId="186" fontId="28" fillId="49" borderId="19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37" fontId="33" fillId="0" borderId="204" applyNumberFormat="0"/>
    <xf numFmtId="191" fontId="28" fillId="12" borderId="177">
      <alignment vertical="center"/>
      <protection locked="0"/>
    </xf>
    <xf numFmtId="186" fontId="60" fillId="52" borderId="189" applyNumberFormat="0" applyProtection="0">
      <alignment horizontal="left" vertical="top" indent="1"/>
    </xf>
    <xf numFmtId="4" fontId="56" fillId="53" borderId="191" applyNumberFormat="0" applyProtection="0">
      <alignment horizontal="left" vertical="center" indent="1"/>
    </xf>
    <xf numFmtId="194" fontId="33" fillId="0" borderId="198" applyFill="0"/>
    <xf numFmtId="191" fontId="28" fillId="12" borderId="197">
      <alignment vertical="center"/>
      <protection locked="0"/>
    </xf>
    <xf numFmtId="186" fontId="42" fillId="44" borderId="201" applyNumberFormat="0" applyAlignment="0" applyProtection="0"/>
    <xf numFmtId="4" fontId="70" fillId="86" borderId="190" applyNumberFormat="0" applyProtection="0">
      <alignment horizontal="left" vertical="center" indent="1"/>
    </xf>
    <xf numFmtId="191" fontId="5" fillId="7" borderId="177">
      <alignment vertical="center"/>
      <protection locked="0"/>
    </xf>
    <xf numFmtId="186" fontId="56" fillId="21" borderId="189" applyNumberFormat="0" applyProtection="0">
      <alignment horizontal="left" vertical="top" indent="1"/>
    </xf>
    <xf numFmtId="4" fontId="59" fillId="65" borderId="191" applyNumberFormat="0" applyProtection="0">
      <alignment horizontal="right" vertical="center"/>
    </xf>
    <xf numFmtId="186" fontId="57" fillId="44" borderId="192" applyNumberFormat="0" applyAlignment="0" applyProtection="0"/>
    <xf numFmtId="186" fontId="62" fillId="15" borderId="189" applyNumberFormat="0" applyProtection="0">
      <alignment horizontal="left" vertical="top" indent="1"/>
    </xf>
    <xf numFmtId="186" fontId="56" fillId="63" borderId="191" applyNumberFormat="0" applyProtection="0">
      <alignment horizontal="left" vertical="center" indent="1"/>
    </xf>
    <xf numFmtId="191" fontId="28" fillId="51" borderId="197">
      <alignment horizontal="right" vertical="center"/>
      <protection locked="0"/>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37" fontId="33" fillId="0" borderId="194" applyNumberFormat="0"/>
    <xf numFmtId="193" fontId="5" fillId="7" borderId="186">
      <alignment vertical="center"/>
      <protection locked="0"/>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56" fillId="40" borderId="201" applyNumberFormat="0" applyFont="0" applyAlignment="0" applyProtection="0"/>
    <xf numFmtId="4" fontId="62" fillId="11" borderId="181" applyNumberFormat="0" applyProtection="0">
      <alignment horizontal="left" vertical="center" indent="1"/>
    </xf>
    <xf numFmtId="4" fontId="56" fillId="58" borderId="179" applyNumberFormat="0" applyProtection="0">
      <alignment horizontal="right" vertical="center"/>
    </xf>
    <xf numFmtId="4" fontId="56" fillId="14" borderId="182" applyNumberFormat="0" applyProtection="0">
      <alignment horizontal="left" vertical="center" indent="1"/>
    </xf>
    <xf numFmtId="186" fontId="56" fillId="40" borderId="179" applyNumberFormat="0" applyFon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6"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61" fillId="21" borderId="183" applyBorder="0"/>
    <xf numFmtId="4" fontId="56" fillId="19" borderId="179" applyNumberFormat="0" applyProtection="0">
      <alignment horizontal="right" vertical="center"/>
    </xf>
    <xf numFmtId="186" fontId="56" fillId="63" borderId="19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6" fillId="62" borderId="191" applyNumberFormat="0" applyProtection="0">
      <alignment horizontal="left" vertical="center" indent="1"/>
    </xf>
    <xf numFmtId="186" fontId="56" fillId="63" borderId="189" applyNumberFormat="0" applyProtection="0">
      <alignment horizontal="left" vertical="top" indent="1"/>
    </xf>
    <xf numFmtId="4" fontId="56" fillId="14" borderId="182" applyNumberFormat="0" applyProtection="0">
      <alignment horizontal="left" vertical="center" indent="1"/>
    </xf>
    <xf numFmtId="4" fontId="56" fillId="56" borderId="191" applyNumberFormat="0" applyProtection="0">
      <alignment horizontal="right" vertical="center"/>
    </xf>
    <xf numFmtId="4" fontId="59" fillId="65" borderId="191" applyNumberFormat="0" applyProtection="0">
      <alignment horizontal="right" vertical="center"/>
    </xf>
    <xf numFmtId="186" fontId="56" fillId="63" borderId="181" applyNumberFormat="0" applyProtection="0">
      <alignment horizontal="left" vertical="top" indent="1"/>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27" fillId="14" borderId="181" applyNumberFormat="0" applyProtection="0">
      <alignment horizontal="left" vertical="top" indent="1"/>
    </xf>
    <xf numFmtId="186" fontId="50" fillId="41" borderId="179" applyNumberFormat="0" applyAlignment="0" applyProtection="0"/>
    <xf numFmtId="186" fontId="27" fillId="63" borderId="181" applyNumberFormat="0" applyProtection="0">
      <alignment horizontal="left" vertical="center" indent="1"/>
    </xf>
    <xf numFmtId="4" fontId="56" fillId="14" borderId="182" applyNumberFormat="0" applyProtection="0">
      <alignment horizontal="left" vertical="center" indent="1"/>
    </xf>
    <xf numFmtId="186" fontId="57" fillId="44" borderId="180" applyNumberFormat="0" applyAlignment="0" applyProtection="0"/>
    <xf numFmtId="186" fontId="27" fillId="15" borderId="199" applyNumberFormat="0" applyProtection="0">
      <alignment horizontal="left" vertical="top" indent="1"/>
    </xf>
    <xf numFmtId="186" fontId="56" fillId="15" borderId="189" applyNumberFormat="0" applyProtection="0">
      <alignment horizontal="left" vertical="top" indent="1"/>
    </xf>
    <xf numFmtId="4" fontId="72" fillId="80" borderId="189" applyNumberFormat="0" applyProtection="0">
      <alignment horizontal="right" vertical="center"/>
    </xf>
    <xf numFmtId="186" fontId="56" fillId="63" borderId="189" applyNumberFormat="0" applyProtection="0">
      <alignment horizontal="left" vertical="top" indent="1"/>
    </xf>
    <xf numFmtId="186" fontId="62" fillId="15" borderId="181" applyNumberFormat="0" applyProtection="0">
      <alignment horizontal="left" vertical="top" indent="1"/>
    </xf>
    <xf numFmtId="186" fontId="42" fillId="44" borderId="179" applyNumberFormat="0" applyAlignment="0" applyProtection="0"/>
    <xf numFmtId="4" fontId="56" fillId="57" borderId="182" applyNumberFormat="0" applyProtection="0">
      <alignment horizontal="right" vertical="center"/>
    </xf>
    <xf numFmtId="186" fontId="56" fillId="21" borderId="189" applyNumberFormat="0" applyProtection="0">
      <alignment horizontal="left" vertical="top" indent="1"/>
    </xf>
    <xf numFmtId="186" fontId="42" fillId="44" borderId="179" applyNumberFormat="0" applyAlignment="0" applyProtection="0"/>
    <xf numFmtId="186" fontId="56" fillId="63" borderId="181" applyNumberFormat="0" applyProtection="0">
      <alignment horizontal="left" vertical="top" indent="1"/>
    </xf>
    <xf numFmtId="186" fontId="56" fillId="40" borderId="191" applyNumberFormat="0" applyFont="0" applyAlignment="0" applyProtection="0"/>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7" fillId="44" borderId="192" applyNumberFormat="0" applyAlignment="0" applyProtection="0"/>
    <xf numFmtId="0" fontId="5" fillId="69" borderId="186">
      <alignment vertical="center"/>
    </xf>
    <xf numFmtId="186" fontId="56" fillId="63" borderId="189" applyNumberFormat="0" applyProtection="0">
      <alignment horizontal="left" vertical="top" indent="1"/>
    </xf>
    <xf numFmtId="186" fontId="57" fillId="44" borderId="192" applyNumberFormat="0" applyAlignment="0" applyProtection="0"/>
    <xf numFmtId="193" fontId="28" fillId="12" borderId="177">
      <alignment vertical="center"/>
      <protection locked="0"/>
    </xf>
    <xf numFmtId="4" fontId="56" fillId="61" borderId="205" applyNumberFormat="0" applyProtection="0">
      <alignment horizontal="left" vertical="center" indent="1"/>
    </xf>
    <xf numFmtId="186" fontId="28" fillId="49" borderId="186">
      <alignment vertical="center"/>
    </xf>
    <xf numFmtId="37" fontId="33" fillId="0" borderId="184" applyNumberFormat="0"/>
    <xf numFmtId="186" fontId="56" fillId="21" borderId="181" applyNumberFormat="0" applyProtection="0">
      <alignment horizontal="left" vertical="top" indent="1"/>
    </xf>
    <xf numFmtId="186" fontId="57" fillId="44" borderId="192" applyNumberForma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37" fontId="33" fillId="0" borderId="194" applyNumberFormat="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40" borderId="191" applyNumberFormat="0" applyFont="0" applyAlignment="0" applyProtection="0"/>
    <xf numFmtId="4" fontId="62" fillId="48" borderId="199" applyNumberFormat="0" applyProtection="0">
      <alignment vertical="center"/>
    </xf>
    <xf numFmtId="186" fontId="56" fillId="40" borderId="179" applyNumberFormat="0" applyFont="0" applyAlignment="0" applyProtection="0"/>
    <xf numFmtId="186" fontId="44" fillId="0" borderId="206" applyNumberFormat="0" applyFill="0" applyAlignment="0" applyProtection="0"/>
    <xf numFmtId="186" fontId="56" fillId="63" borderId="189" applyNumberFormat="0" applyProtection="0">
      <alignment horizontal="left" vertical="top" indent="1"/>
    </xf>
    <xf numFmtId="4" fontId="59" fillId="65" borderId="191" applyNumberFormat="0" applyProtection="0">
      <alignment horizontal="right" vertical="center"/>
    </xf>
    <xf numFmtId="186" fontId="28" fillId="12" borderId="207">
      <alignment vertical="center"/>
      <protection locked="0"/>
    </xf>
    <xf numFmtId="186" fontId="56" fillId="14" borderId="191" applyNumberFormat="0" applyProtection="0">
      <alignment horizontal="left" vertical="center" indent="1"/>
    </xf>
    <xf numFmtId="186" fontId="57" fillId="44" borderId="202" applyNumberFormat="0" applyAlignment="0" applyProtection="0"/>
    <xf numFmtId="4" fontId="56" fillId="54" borderId="201" applyNumberFormat="0" applyProtection="0">
      <alignment horizontal="left" vertical="center" indent="1"/>
    </xf>
    <xf numFmtId="191" fontId="5" fillId="69" borderId="186">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70" borderId="197">
      <alignment horizontal="right" vertical="center"/>
      <protection locked="0"/>
    </xf>
    <xf numFmtId="186" fontId="56" fillId="21" borderId="189" applyNumberFormat="0" applyProtection="0">
      <alignment horizontal="left" vertical="top" indent="1"/>
    </xf>
    <xf numFmtId="4" fontId="27" fillId="21" borderId="195" applyNumberFormat="0" applyProtection="0">
      <alignment horizontal="left" vertical="center" indent="1"/>
    </xf>
    <xf numFmtId="4" fontId="56" fillId="23" borderId="201" applyNumberFormat="0" applyProtection="0">
      <alignment horizontal="right" vertical="center"/>
    </xf>
    <xf numFmtId="186" fontId="56" fillId="63" borderId="191" applyNumberFormat="0" applyProtection="0">
      <alignment horizontal="left" vertical="center" indent="1"/>
    </xf>
    <xf numFmtId="186" fontId="62" fillId="48"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186" fontId="27" fillId="14" borderId="189" applyNumberFormat="0" applyProtection="0">
      <alignment horizontal="left" vertical="top" indent="1"/>
    </xf>
    <xf numFmtId="4" fontId="64" fillId="64" borderId="201" applyNumberFormat="0" applyProtection="0">
      <alignment horizontal="righ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0" fontId="27" fillId="21" borderId="189" applyNumberFormat="0" applyProtection="0">
      <alignment horizontal="left" vertical="top" indent="1"/>
    </xf>
    <xf numFmtId="186" fontId="56" fillId="21" borderId="199" applyNumberFormat="0" applyProtection="0">
      <alignment horizontal="left" vertical="top" indent="1"/>
    </xf>
    <xf numFmtId="4" fontId="56" fillId="15" borderId="179" applyNumberFormat="0" applyProtection="0">
      <alignment horizontal="right" vertical="center"/>
    </xf>
    <xf numFmtId="186" fontId="27" fillId="15" borderId="199" applyNumberFormat="0" applyProtection="0">
      <alignment horizontal="left" vertical="top" indent="1"/>
    </xf>
    <xf numFmtId="186" fontId="56" fillId="62" borderId="19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63" borderId="199" applyNumberFormat="0" applyProtection="0">
      <alignment horizontal="left" vertical="top" indent="1"/>
    </xf>
    <xf numFmtId="4" fontId="56" fillId="15" borderId="191" applyNumberFormat="0" applyProtection="0">
      <alignment horizontal="right" vertical="center"/>
    </xf>
    <xf numFmtId="186" fontId="27" fillId="14" borderId="199" applyNumberFormat="0" applyProtection="0">
      <alignment horizontal="left" vertical="top" indent="1"/>
    </xf>
    <xf numFmtId="186" fontId="27" fillId="63" borderId="18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0" fillId="41" borderId="201" applyNumberFormat="0" applyAlignment="0" applyProtection="0"/>
    <xf numFmtId="186" fontId="56" fillId="40" borderId="201" applyNumberFormat="0" applyFont="0" applyAlignment="0" applyProtection="0"/>
    <xf numFmtId="186" fontId="27" fillId="15" borderId="189" applyNumberFormat="0" applyProtection="0">
      <alignment horizontal="left" vertical="top" indent="1"/>
    </xf>
    <xf numFmtId="186" fontId="56" fillId="40" borderId="191" applyNumberFormat="0" applyFont="0" applyAlignment="0" applyProtection="0"/>
    <xf numFmtId="191" fontId="5" fillId="69" borderId="177">
      <alignment vertical="center"/>
    </xf>
    <xf numFmtId="4" fontId="59" fillId="12" borderId="207" applyNumberFormat="0" applyProtection="0">
      <alignment vertical="center"/>
    </xf>
    <xf numFmtId="4" fontId="63" fillId="66" borderId="195" applyNumberFormat="0" applyProtection="0">
      <alignment horizontal="left" vertical="center" indent="1"/>
    </xf>
    <xf numFmtId="186" fontId="28" fillId="50" borderId="177">
      <alignment vertical="center"/>
    </xf>
    <xf numFmtId="186" fontId="56" fillId="40" borderId="179" applyNumberFormat="0" applyFont="0" applyAlignment="0" applyProtection="0"/>
    <xf numFmtId="186" fontId="56" fillId="40" borderId="191" applyNumberFormat="0" applyFont="0" applyAlignment="0" applyProtection="0"/>
    <xf numFmtId="193" fontId="5" fillId="69" borderId="186">
      <alignment vertical="center"/>
    </xf>
    <xf numFmtId="186" fontId="56" fillId="15" borderId="189" applyNumberFormat="0" applyProtection="0">
      <alignment horizontal="left" vertical="top" indent="1"/>
    </xf>
    <xf numFmtId="4" fontId="56" fillId="14" borderId="195" applyNumberFormat="0" applyProtection="0">
      <alignment horizontal="left" vertical="center" indent="1"/>
    </xf>
    <xf numFmtId="4" fontId="56" fillId="54" borderId="201" applyNumberFormat="0" applyProtection="0">
      <alignment horizontal="left" vertical="center" indent="1"/>
    </xf>
    <xf numFmtId="186" fontId="56" fillId="21" borderId="181" applyNumberFormat="0" applyProtection="0">
      <alignment horizontal="left" vertical="top" indent="1"/>
    </xf>
    <xf numFmtId="4" fontId="64" fillId="64" borderId="179" applyNumberFormat="0" applyProtection="0">
      <alignment horizontal="right" vertical="center"/>
    </xf>
    <xf numFmtId="4" fontId="56" fillId="15" borderId="195" applyNumberFormat="0" applyProtection="0">
      <alignment horizontal="left" vertical="center" indent="1"/>
    </xf>
    <xf numFmtId="4" fontId="62" fillId="48" borderId="189" applyNumberFormat="0" applyProtection="0">
      <alignment vertical="center"/>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62" fillId="48" borderId="189" applyNumberFormat="0" applyProtection="0">
      <alignment horizontal="left" vertical="top" indent="1"/>
    </xf>
    <xf numFmtId="0" fontId="37" fillId="15" borderId="181" applyNumberFormat="0" applyProtection="0">
      <alignment horizontal="left" vertical="top" indent="1"/>
    </xf>
    <xf numFmtId="4" fontId="62" fillId="48" borderId="181" applyNumberFormat="0" applyProtection="0">
      <alignment vertical="center"/>
    </xf>
    <xf numFmtId="186" fontId="27" fillId="14" borderId="181" applyNumberFormat="0" applyProtection="0">
      <alignment horizontal="left" vertical="center" indent="1"/>
    </xf>
    <xf numFmtId="186" fontId="56" fillId="14" borderId="181" applyNumberFormat="0" applyProtection="0">
      <alignment horizontal="left" vertical="top" indent="1"/>
    </xf>
    <xf numFmtId="186" fontId="56" fillId="21" borderId="189" applyNumberFormat="0" applyProtection="0">
      <alignment horizontal="left" vertical="top" indent="1"/>
    </xf>
    <xf numFmtId="190" fontId="5" fillId="13" borderId="197">
      <alignment vertical="center"/>
    </xf>
    <xf numFmtId="4" fontId="56" fillId="14" borderId="19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91" fontId="5" fillId="7" borderId="186">
      <alignment vertical="center"/>
      <protection locked="0"/>
    </xf>
    <xf numFmtId="172" fontId="28" fillId="12" borderId="177">
      <alignment vertical="center"/>
      <protection locked="0"/>
    </xf>
    <xf numFmtId="4" fontId="62" fillId="48" borderId="189" applyNumberFormat="0" applyProtection="0">
      <alignment vertical="center"/>
    </xf>
    <xf numFmtId="186" fontId="56" fillId="40" borderId="20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37" fontId="33" fillId="0" borderId="194" applyNumberFormat="0"/>
    <xf numFmtId="186" fontId="27" fillId="21" borderId="189"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28" fillId="51" borderId="207">
      <alignment horizontal="right" vertical="center"/>
      <protection locked="0"/>
    </xf>
    <xf numFmtId="4" fontId="56" fillId="0" borderId="191" applyNumberFormat="0" applyProtection="0">
      <alignment horizontal="right" vertical="center"/>
    </xf>
    <xf numFmtId="193" fontId="28" fillId="12"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4" borderId="189" applyNumberFormat="0" applyProtection="0">
      <alignment horizontal="left" vertical="top" indent="1"/>
    </xf>
    <xf numFmtId="0" fontId="27" fillId="15" borderId="189" applyNumberFormat="0" applyProtection="0">
      <alignment horizontal="left" vertical="center" indent="1"/>
    </xf>
    <xf numFmtId="4" fontId="56" fillId="61" borderId="195" applyNumberFormat="0" applyProtection="0">
      <alignment horizontal="left" vertical="center" indent="1"/>
    </xf>
    <xf numFmtId="193" fontId="28" fillId="12" borderId="186">
      <alignment vertical="center"/>
      <protection locked="0"/>
    </xf>
    <xf numFmtId="186" fontId="56" fillId="14" borderId="189" applyNumberFormat="0" applyProtection="0">
      <alignment horizontal="left" vertical="top" indent="1"/>
    </xf>
    <xf numFmtId="4" fontId="56" fillId="58" borderId="179" applyNumberFormat="0" applyProtection="0">
      <alignment horizontal="right" vertical="center"/>
    </xf>
    <xf numFmtId="4" fontId="56" fillId="58" borderId="191" applyNumberFormat="0" applyProtection="0">
      <alignment horizontal="right" vertical="center"/>
    </xf>
    <xf numFmtId="186" fontId="27" fillId="63" borderId="189" applyNumberFormat="0" applyProtection="0">
      <alignment horizontal="left" vertical="top" indent="1"/>
    </xf>
    <xf numFmtId="4" fontId="59" fillId="53"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4" fontId="72" fillId="80" borderId="189"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27" fillId="15" borderId="181"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4" fontId="56" fillId="14" borderId="182" applyNumberFormat="0" applyProtection="0">
      <alignment horizontal="left" vertical="center" indent="1"/>
    </xf>
    <xf numFmtId="4" fontId="56" fillId="59" borderId="179" applyNumberFormat="0" applyProtection="0">
      <alignment horizontal="right" vertical="center"/>
    </xf>
    <xf numFmtId="0" fontId="5" fillId="70" borderId="186">
      <alignment horizontal="right" vertical="center"/>
      <protection locked="0"/>
    </xf>
    <xf numFmtId="186" fontId="56" fillId="14" borderId="181" applyNumberFormat="0" applyProtection="0">
      <alignment horizontal="left" vertical="top" indent="1"/>
    </xf>
    <xf numFmtId="186" fontId="28" fillId="50" borderId="197">
      <alignment vertical="center"/>
    </xf>
    <xf numFmtId="186" fontId="56" fillId="21" borderId="189" applyNumberFormat="0" applyProtection="0">
      <alignment horizontal="left" vertical="top" indent="1"/>
    </xf>
    <xf numFmtId="193" fontId="28" fillId="50" borderId="177">
      <alignment vertical="center"/>
    </xf>
    <xf numFmtId="186" fontId="44" fillId="0" borderId="185" applyNumberFormat="0" applyFill="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28" fillId="51" borderId="177">
      <alignment horizontal="right" vertical="center"/>
      <protection locked="0"/>
    </xf>
    <xf numFmtId="186" fontId="56" fillId="15" borderId="199" applyNumberFormat="0" applyProtection="0">
      <alignment horizontal="left" vertical="top" indent="1"/>
    </xf>
    <xf numFmtId="186" fontId="56" fillId="63" borderId="199" applyNumberFormat="0" applyProtection="0">
      <alignment horizontal="left" vertical="top" indent="1"/>
    </xf>
    <xf numFmtId="188" fontId="28" fillId="49" borderId="197">
      <alignment vertical="center"/>
    </xf>
    <xf numFmtId="4" fontId="72" fillId="53" borderId="181" applyNumberFormat="0" applyProtection="0">
      <alignment horizontal="left" vertical="center" indent="1"/>
    </xf>
    <xf numFmtId="188" fontId="28" fillId="51" borderId="197">
      <alignment horizontal="right" vertical="center"/>
      <protection locked="0"/>
    </xf>
    <xf numFmtId="196" fontId="5" fillId="69" borderId="207">
      <alignment vertical="center"/>
    </xf>
    <xf numFmtId="186" fontId="50" fillId="41" borderId="201" applyNumberForma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42" fillId="44" borderId="191" applyNumberFormat="0" applyAlignment="0" applyProtection="0"/>
    <xf numFmtId="186" fontId="56" fillId="21" borderId="189" applyNumberFormat="0" applyProtection="0">
      <alignment horizontal="left" vertical="top" indent="1"/>
    </xf>
    <xf numFmtId="4" fontId="56" fillId="53" borderId="201" applyNumberFormat="0" applyProtection="0">
      <alignment horizontal="left" vertical="center" indent="1"/>
    </xf>
    <xf numFmtId="186" fontId="56" fillId="14"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14" borderId="189" applyNumberFormat="0" applyProtection="0">
      <alignment horizontal="left" vertical="top" indent="1"/>
    </xf>
    <xf numFmtId="186" fontId="56" fillId="63" borderId="181" applyNumberFormat="0" applyProtection="0">
      <alignment horizontal="left" vertical="top" indent="1"/>
    </xf>
    <xf numFmtId="191" fontId="5" fillId="13" borderId="186">
      <alignment vertical="center"/>
    </xf>
    <xf numFmtId="186" fontId="44" fillId="0" borderId="206" applyNumberFormat="0" applyFill="0" applyAlignment="0" applyProtection="0"/>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50" borderId="199" applyNumberFormat="0" applyProtection="0">
      <alignment horizontal="right" vertical="center"/>
    </xf>
    <xf numFmtId="4" fontId="56" fillId="54" borderId="201"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72" fillId="53" borderId="189" applyNumberFormat="0" applyProtection="0">
      <alignment horizontal="left" vertical="center"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4" fontId="62" fillId="48" borderId="181" applyNumberFormat="0" applyProtection="0">
      <alignment vertical="center"/>
    </xf>
    <xf numFmtId="186" fontId="44" fillId="0" borderId="185" applyNumberFormat="0" applyFill="0" applyAlignment="0" applyProtection="0"/>
    <xf numFmtId="186" fontId="56" fillId="15" borderId="181" applyNumberFormat="0" applyProtection="0">
      <alignment horizontal="left" vertical="top" indent="1"/>
    </xf>
    <xf numFmtId="191" fontId="28" fillId="50" borderId="186">
      <alignment vertical="center"/>
    </xf>
    <xf numFmtId="191" fontId="28" fillId="50" borderId="197">
      <alignment vertical="center"/>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93" fontId="5" fillId="7" borderId="186">
      <alignment vertical="center"/>
      <protection locked="0"/>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59" fillId="12" borderId="186" applyNumberFormat="0" applyProtection="0">
      <alignment vertical="center"/>
    </xf>
    <xf numFmtId="4" fontId="59" fillId="53" borderId="179" applyNumberFormat="0" applyProtection="0">
      <alignment vertical="center"/>
    </xf>
    <xf numFmtId="186" fontId="44" fillId="0" borderId="185" applyNumberFormat="0" applyFill="0" applyAlignment="0" applyProtection="0"/>
    <xf numFmtId="186" fontId="27" fillId="63" borderId="199" applyNumberFormat="0" applyProtection="0">
      <alignment horizontal="left" vertical="center" indent="1"/>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14" borderId="199" applyNumberFormat="0" applyProtection="0">
      <alignment horizontal="left" vertical="top" indent="1"/>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8" fontId="5" fillId="70" borderId="177">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27" fillId="14" borderId="199" applyNumberFormat="0" applyProtection="0">
      <alignment horizontal="left" vertical="center" indent="1"/>
    </xf>
    <xf numFmtId="186" fontId="56" fillId="21" borderId="181"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27" fillId="21" borderId="18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4" fontId="72" fillId="80" borderId="199" applyNumberFormat="0" applyProtection="0">
      <alignment horizontal="right" vertical="center"/>
    </xf>
    <xf numFmtId="186" fontId="56" fillId="15" borderId="189" applyNumberFormat="0" applyProtection="0">
      <alignment horizontal="left" vertical="top" indent="1"/>
    </xf>
    <xf numFmtId="186" fontId="60" fillId="52" borderId="189" applyNumberFormat="0" applyProtection="0">
      <alignment horizontal="left" vertical="top" indent="1"/>
    </xf>
    <xf numFmtId="4" fontId="27" fillId="21" borderId="205" applyNumberFormat="0" applyProtection="0">
      <alignment horizontal="left" vertical="center" indent="1"/>
    </xf>
    <xf numFmtId="186" fontId="27" fillId="15" borderId="199" applyNumberFormat="0" applyProtection="0">
      <alignment horizontal="left" vertical="top" indent="1"/>
    </xf>
    <xf numFmtId="4" fontId="56" fillId="61" borderId="195" applyNumberFormat="0" applyProtection="0">
      <alignment horizontal="left" vertical="center" indent="1"/>
    </xf>
    <xf numFmtId="186" fontId="56" fillId="21" borderId="199" applyNumberFormat="0" applyProtection="0">
      <alignment horizontal="left" vertical="top" indent="1"/>
    </xf>
    <xf numFmtId="186" fontId="56" fillId="62" borderId="191" applyNumberFormat="0" applyProtection="0">
      <alignment horizontal="left" vertical="center" indent="1"/>
    </xf>
    <xf numFmtId="186" fontId="50" fillId="41" borderId="201" applyNumberFormat="0" applyAlignment="0" applyProtection="0"/>
    <xf numFmtId="4" fontId="56" fillId="55" borderId="191" applyNumberFormat="0" applyProtection="0">
      <alignment horizontal="right" vertical="center"/>
    </xf>
    <xf numFmtId="186" fontId="56" fillId="40" borderId="201" applyNumberFormat="0" applyFont="0" applyAlignment="0" applyProtection="0"/>
    <xf numFmtId="186" fontId="57" fillId="44" borderId="202" applyNumberFormat="0" applyAlignment="0" applyProtection="0"/>
    <xf numFmtId="186" fontId="60" fillId="52" borderId="189" applyNumberFormat="0" applyProtection="0">
      <alignment horizontal="left" vertical="top" indent="1"/>
    </xf>
    <xf numFmtId="4" fontId="56" fillId="60" borderId="191" applyNumberFormat="0" applyProtection="0">
      <alignment horizontal="right" vertical="center"/>
    </xf>
    <xf numFmtId="186" fontId="56" fillId="62" borderId="191" applyNumberFormat="0" applyProtection="0">
      <alignment horizontal="left" vertical="center" indent="1"/>
    </xf>
    <xf numFmtId="186" fontId="56" fillId="14" borderId="19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193" fontId="5" fillId="69" borderId="177">
      <alignment vertical="center"/>
    </xf>
    <xf numFmtId="193" fontId="28" fillId="50" borderId="177">
      <alignment vertical="center"/>
    </xf>
    <xf numFmtId="186" fontId="56" fillId="63" borderId="189" applyNumberFormat="0" applyProtection="0">
      <alignment horizontal="left" vertical="top" indent="1"/>
    </xf>
    <xf numFmtId="4" fontId="56" fillId="58"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4" borderId="189" applyNumberFormat="0" applyProtection="0">
      <alignment horizontal="left" vertical="top" indent="1"/>
    </xf>
    <xf numFmtId="4" fontId="56" fillId="6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2" fillId="87" borderId="189" applyNumberFormat="0" applyProtection="0">
      <alignment vertical="center"/>
    </xf>
    <xf numFmtId="188" fontId="5" fillId="7" borderId="186">
      <alignment vertical="center"/>
      <protection locked="0"/>
    </xf>
    <xf numFmtId="4" fontId="56" fillId="54" borderId="191" applyNumberFormat="0" applyProtection="0">
      <alignment horizontal="left" vertical="center" indent="1"/>
    </xf>
    <xf numFmtId="186" fontId="56" fillId="63" borderId="181" applyNumberFormat="0" applyProtection="0">
      <alignment horizontal="left" vertical="top" indent="1"/>
    </xf>
    <xf numFmtId="190" fontId="28" fillId="49" borderId="186">
      <alignment vertical="center"/>
    </xf>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21" borderId="181" applyNumberFormat="0" applyProtection="0">
      <alignment horizontal="left" vertical="top" indent="1"/>
    </xf>
    <xf numFmtId="191" fontId="28" fillId="51" borderId="197">
      <alignment horizontal="right" vertical="center"/>
      <protection locked="0"/>
    </xf>
    <xf numFmtId="186" fontId="56" fillId="15" borderId="189"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40" borderId="179" applyNumberFormat="0" applyFont="0" applyAlignment="0" applyProtection="0"/>
    <xf numFmtId="186" fontId="57" fillId="44" borderId="192" applyNumberFormat="0" applyAlignment="0" applyProtection="0"/>
    <xf numFmtId="186" fontId="56" fillId="63"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0" fontId="27" fillId="14"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63" borderId="181" applyNumberFormat="0" applyProtection="0">
      <alignment horizontal="left" vertical="top" indent="1"/>
    </xf>
    <xf numFmtId="191" fontId="5" fillId="69" borderId="186">
      <alignment vertical="center"/>
    </xf>
    <xf numFmtId="186" fontId="56" fillId="21" borderId="181" applyNumberFormat="0" applyProtection="0">
      <alignment horizontal="left" vertical="top" indent="1"/>
    </xf>
    <xf numFmtId="190"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0" borderId="197">
      <alignment vertical="center"/>
    </xf>
    <xf numFmtId="4" fontId="72" fillId="86" borderId="199"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40" borderId="179" applyNumberFormat="0" applyFont="0" applyAlignment="0" applyProtection="0"/>
    <xf numFmtId="186" fontId="27" fillId="21" borderId="181" applyNumberFormat="0" applyProtection="0">
      <alignment horizontal="left" vertical="center" indent="1"/>
    </xf>
    <xf numFmtId="191" fontId="28" fillId="12" borderId="186">
      <alignment vertical="center"/>
      <protection locked="0"/>
    </xf>
    <xf numFmtId="186" fontId="56" fillId="14" borderId="181" applyNumberFormat="0" applyProtection="0">
      <alignment horizontal="left" vertical="top" indent="1"/>
    </xf>
    <xf numFmtId="186" fontId="56" fillId="15" borderId="189" applyNumberFormat="0" applyProtection="0">
      <alignment horizontal="left" vertical="top" indent="1"/>
    </xf>
    <xf numFmtId="186" fontId="27" fillId="15" borderId="18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91" fontId="28" fillId="51" borderId="177">
      <alignment horizontal="right" vertical="center"/>
      <protection locked="0"/>
    </xf>
    <xf numFmtId="193" fontId="28" fillId="50" borderId="197">
      <alignment vertical="center"/>
    </xf>
    <xf numFmtId="186" fontId="56" fillId="67" borderId="177"/>
    <xf numFmtId="4" fontId="62" fillId="11" borderId="199" applyNumberFormat="0" applyProtection="0">
      <alignment horizontal="left" vertical="center" indent="1"/>
    </xf>
    <xf numFmtId="186" fontId="56" fillId="15" borderId="199" applyNumberFormat="0" applyProtection="0">
      <alignment horizontal="left" vertical="top" indent="1"/>
    </xf>
    <xf numFmtId="191" fontId="5" fillId="13" borderId="197">
      <alignment vertical="center"/>
    </xf>
    <xf numFmtId="191" fontId="5" fillId="70" borderId="197">
      <alignment horizontal="right" vertical="center"/>
      <protection locked="0"/>
    </xf>
    <xf numFmtId="0" fontId="37" fillId="15" borderId="189" applyNumberFormat="0" applyProtection="0">
      <alignment horizontal="left" vertical="top"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63" borderId="189" applyNumberFormat="0" applyProtection="0">
      <alignment horizontal="left" vertical="top" indent="1"/>
    </xf>
    <xf numFmtId="4" fontId="56" fillId="23" borderId="201" applyNumberFormat="0" applyProtection="0">
      <alignment horizontal="right" vertical="center"/>
    </xf>
    <xf numFmtId="4" fontId="56" fillId="54" borderId="201" applyNumberFormat="0" applyProtection="0">
      <alignment horizontal="left" vertical="center" indent="1"/>
    </xf>
    <xf numFmtId="4" fontId="56" fillId="55" borderId="191" applyNumberFormat="0" applyProtection="0">
      <alignment horizontal="right" vertical="center"/>
    </xf>
    <xf numFmtId="4" fontId="56" fillId="56" borderId="191" applyNumberFormat="0" applyProtection="0">
      <alignment horizontal="right" vertical="center"/>
    </xf>
    <xf numFmtId="4" fontId="56" fillId="61" borderId="195" applyNumberFormat="0" applyProtection="0">
      <alignment horizontal="left" vertical="center" indent="1"/>
    </xf>
    <xf numFmtId="186" fontId="42" fillId="44" borderId="191" applyNumberFormat="0" applyAlignment="0" applyProtection="0"/>
    <xf numFmtId="4" fontId="56" fillId="52" borderId="179" applyNumberFormat="0" applyProtection="0">
      <alignment vertical="center"/>
    </xf>
    <xf numFmtId="191" fontId="5" fillId="70" borderId="186">
      <alignment horizontal="right" vertical="center"/>
      <protection locked="0"/>
    </xf>
    <xf numFmtId="186" fontId="56" fillId="40" borderId="179" applyNumberFormat="0" applyFont="0" applyAlignment="0" applyProtection="0"/>
    <xf numFmtId="193" fontId="28" fillId="50" borderId="186">
      <alignment vertical="center"/>
    </xf>
    <xf numFmtId="186" fontId="56" fillId="40" borderId="191" applyNumberFormat="0" applyFont="0" applyAlignment="0" applyProtection="0"/>
    <xf numFmtId="186" fontId="27" fillId="63" borderId="189" applyNumberFormat="0" applyProtection="0">
      <alignment horizontal="left" vertical="top" indent="1"/>
    </xf>
    <xf numFmtId="4" fontId="72" fillId="50" borderId="189" applyNumberFormat="0" applyProtection="0">
      <alignment horizontal="right" vertical="center"/>
    </xf>
    <xf numFmtId="190" fontId="28" fillId="51" borderId="197">
      <alignment horizontal="right" vertical="center"/>
      <protection locked="0"/>
    </xf>
    <xf numFmtId="186" fontId="62" fillId="48" borderId="189" applyNumberFormat="0" applyProtection="0">
      <alignment horizontal="left" vertical="top" indent="1"/>
    </xf>
    <xf numFmtId="0" fontId="27" fillId="21" borderId="199" applyNumberFormat="0" applyProtection="0">
      <alignment horizontal="left" vertical="top" indent="1"/>
    </xf>
    <xf numFmtId="186" fontId="28" fillId="49" borderId="197">
      <alignment vertical="center"/>
    </xf>
    <xf numFmtId="4" fontId="56" fillId="60" borderId="201" applyNumberFormat="0" applyProtection="0">
      <alignment horizontal="right" vertical="center"/>
    </xf>
    <xf numFmtId="186" fontId="50" fillId="41" borderId="179" applyNumberFormat="0" applyAlignment="0" applyProtection="0"/>
    <xf numFmtId="4" fontId="72" fillId="84" borderId="189" applyNumberFormat="0" applyProtection="0">
      <alignment horizontal="right" vertical="center"/>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63" borderId="199" applyNumberFormat="0" applyProtection="0">
      <alignment horizontal="left" vertical="top" indent="1"/>
    </xf>
    <xf numFmtId="4" fontId="72" fillId="78" borderId="189" applyNumberFormat="0" applyProtection="0">
      <alignment horizontal="right" vertical="center"/>
    </xf>
    <xf numFmtId="191" fontId="5" fillId="69" borderId="197">
      <alignment vertical="center"/>
    </xf>
    <xf numFmtId="186" fontId="27" fillId="21" borderId="199" applyNumberFormat="0" applyProtection="0">
      <alignment horizontal="left" vertical="center"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4" fontId="56" fillId="53" borderId="191" applyNumberFormat="0" applyProtection="0">
      <alignment horizontal="left" vertical="center" indent="1"/>
    </xf>
    <xf numFmtId="188" fontId="5" fillId="7" borderId="177">
      <alignment vertical="center"/>
      <protection locked="0"/>
    </xf>
    <xf numFmtId="186" fontId="27" fillId="21" borderId="189" applyNumberFormat="0" applyProtection="0">
      <alignment horizontal="left" vertical="center" indent="1"/>
    </xf>
    <xf numFmtId="193" fontId="28" fillId="50" borderId="19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99" applyNumberFormat="0" applyProtection="0">
      <alignment horizontal="left" vertical="top" indent="1"/>
    </xf>
    <xf numFmtId="186" fontId="44" fillId="0" borderId="196" applyNumberFormat="0" applyFill="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191" applyNumberFormat="0" applyAlignment="0" applyProtection="0"/>
    <xf numFmtId="4" fontId="74" fillId="87" borderId="189" applyNumberFormat="0" applyProtection="0">
      <alignment vertical="center"/>
    </xf>
    <xf numFmtId="172" fontId="5" fillId="7" borderId="177">
      <alignment vertical="center"/>
      <protection locked="0"/>
    </xf>
    <xf numFmtId="186" fontId="56" fillId="15" borderId="189"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188" fontId="5" fillId="70" borderId="197">
      <alignment horizontal="right" vertical="center"/>
      <protection locked="0"/>
    </xf>
    <xf numFmtId="186" fontId="56" fillId="15" borderId="189" applyNumberFormat="0" applyProtection="0">
      <alignment horizontal="left" vertical="top" indent="1"/>
    </xf>
    <xf numFmtId="190" fontId="28" fillId="49" borderId="197">
      <alignmen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62" fillId="15" borderId="189" applyNumberFormat="0" applyProtection="0">
      <alignment horizontal="left" vertical="top" indent="1"/>
    </xf>
    <xf numFmtId="186" fontId="60" fillId="52" borderId="189" applyNumberFormat="0" applyProtection="0">
      <alignment horizontal="left" vertical="top" indent="1"/>
    </xf>
    <xf numFmtId="186" fontId="56" fillId="15" borderId="189" applyNumberFormat="0" applyProtection="0">
      <alignment horizontal="left" vertical="top" indent="1"/>
    </xf>
    <xf numFmtId="186" fontId="56" fillId="63" borderId="179" applyNumberFormat="0" applyProtection="0">
      <alignment horizontal="left" vertical="center" indent="1"/>
    </xf>
    <xf numFmtId="186" fontId="56" fillId="14" borderId="189" applyNumberFormat="0" applyProtection="0">
      <alignment horizontal="left" vertical="top" indent="1"/>
    </xf>
    <xf numFmtId="4" fontId="62" fillId="48" borderId="181" applyNumberFormat="0" applyProtection="0">
      <alignment vertical="center"/>
    </xf>
    <xf numFmtId="4" fontId="56" fillId="23" borderId="179" applyNumberFormat="0" applyProtection="0">
      <alignment horizontal="right" vertical="center"/>
    </xf>
    <xf numFmtId="4" fontId="56" fillId="15" borderId="179" applyNumberFormat="0" applyProtection="0">
      <alignment horizontal="right" vertical="center"/>
    </xf>
    <xf numFmtId="186" fontId="56" fillId="40" borderId="179" applyNumberFormat="0" applyFont="0" applyAlignment="0" applyProtection="0"/>
    <xf numFmtId="186" fontId="28" fillId="51" borderId="207">
      <alignment horizontal="right" vertical="center"/>
      <protection locked="0"/>
    </xf>
    <xf numFmtId="186" fontId="27" fillId="14" borderId="181" applyNumberFormat="0" applyProtection="0">
      <alignment horizontal="left" vertical="top" indent="1"/>
    </xf>
    <xf numFmtId="4" fontId="56" fillId="55"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4" fontId="56" fillId="59" borderId="179" applyNumberFormat="0" applyProtection="0">
      <alignment horizontal="right" vertical="center"/>
    </xf>
    <xf numFmtId="191" fontId="28" fillId="50" borderId="17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6" fillId="15" borderId="179" applyNumberFormat="0" applyProtection="0">
      <alignment horizontal="right" vertical="center"/>
    </xf>
    <xf numFmtId="4" fontId="56" fillId="57" borderId="195" applyNumberFormat="0" applyProtection="0">
      <alignment horizontal="right" vertical="center"/>
    </xf>
    <xf numFmtId="4" fontId="56" fillId="54" borderId="191" applyNumberFormat="0" applyProtection="0">
      <alignment horizontal="left" vertical="center" indent="1"/>
    </xf>
    <xf numFmtId="186" fontId="56" fillId="63"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6" fillId="63" borderId="179" applyNumberFormat="0" applyProtection="0">
      <alignment horizontal="left" vertical="center" indent="1"/>
    </xf>
    <xf numFmtId="4" fontId="56" fillId="15" borderId="179" applyNumberFormat="0" applyProtection="0">
      <alignment horizontal="right" vertical="center"/>
    </xf>
    <xf numFmtId="186" fontId="57" fillId="44" borderId="180" applyNumberFormat="0" applyAlignment="0" applyProtection="0"/>
    <xf numFmtId="186" fontId="27" fillId="14" borderId="199" applyNumberFormat="0" applyProtection="0">
      <alignment horizontal="left" vertical="top" indent="1"/>
    </xf>
    <xf numFmtId="193" fontId="5" fillId="69" borderId="197">
      <alignment vertical="center"/>
    </xf>
    <xf numFmtId="4" fontId="62" fillId="11" borderId="189" applyNumberFormat="0" applyProtection="0">
      <alignment horizontal="left" vertical="center" indent="1"/>
    </xf>
    <xf numFmtId="186" fontId="27" fillId="14" borderId="189" applyNumberFormat="0" applyProtection="0">
      <alignment horizontal="left" vertical="center"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37" fillId="48" borderId="199" applyNumberFormat="0" applyProtection="0">
      <alignment horizontal="left" vertical="top" indent="1"/>
    </xf>
    <xf numFmtId="193" fontId="28" fillId="12" borderId="197">
      <alignment vertical="center"/>
      <protection locked="0"/>
    </xf>
    <xf numFmtId="0" fontId="5" fillId="7" borderId="177">
      <alignment vertical="center"/>
      <protection locked="0"/>
    </xf>
    <xf numFmtId="186" fontId="27" fillId="14" borderId="199" applyNumberFormat="0" applyProtection="0">
      <alignment horizontal="left" vertical="center" indent="1"/>
    </xf>
    <xf numFmtId="186" fontId="27" fillId="64" borderId="197"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4" fontId="56" fillId="53"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27" fillId="63" borderId="189" applyNumberFormat="0" applyProtection="0">
      <alignment horizontal="left" vertical="top" indent="1"/>
    </xf>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4" borderId="189" applyNumberFormat="0" applyProtection="0">
      <alignment horizontal="left" vertical="center" indent="1"/>
    </xf>
    <xf numFmtId="186" fontId="62" fillId="15" borderId="189" applyNumberFormat="0" applyProtection="0">
      <alignment horizontal="left" vertical="top" indent="1"/>
    </xf>
    <xf numFmtId="4" fontId="72" fillId="50" borderId="199" applyNumberFormat="0" applyProtection="0">
      <alignment horizontal="right" vertical="center"/>
    </xf>
    <xf numFmtId="186" fontId="50" fillId="41" borderId="191" applyNumberFormat="0" applyAlignment="0" applyProtection="0"/>
    <xf numFmtId="186" fontId="44" fillId="0" borderId="206" applyNumberFormat="0" applyFill="0" applyAlignment="0" applyProtection="0"/>
    <xf numFmtId="191" fontId="28" fillId="50" borderId="197">
      <alignment vertical="center"/>
    </xf>
    <xf numFmtId="186" fontId="56" fillId="21" borderId="189"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63" borderId="191" applyNumberFormat="0" applyProtection="0">
      <alignment horizontal="left" vertical="center" indent="1"/>
    </xf>
    <xf numFmtId="4" fontId="64" fillId="64" borderId="191" applyNumberFormat="0" applyProtection="0">
      <alignment horizontal="right" vertical="center"/>
    </xf>
    <xf numFmtId="186" fontId="56" fillId="21" borderId="199" applyNumberFormat="0" applyProtection="0">
      <alignment horizontal="left" vertical="top" indent="1"/>
    </xf>
    <xf numFmtId="193" fontId="28" fillId="50" borderId="197">
      <alignmen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37" fontId="33" fillId="0" borderId="194" applyNumberFormat="0"/>
    <xf numFmtId="4" fontId="56" fillId="57" borderId="205" applyNumberFormat="0" applyProtection="0">
      <alignment horizontal="right" vertical="center"/>
    </xf>
    <xf numFmtId="4" fontId="56" fillId="59" borderId="201" applyNumberFormat="0" applyProtection="0">
      <alignment horizontal="right" vertical="center"/>
    </xf>
    <xf numFmtId="186" fontId="57" fillId="44" borderId="192" applyNumberFormat="0" applyAlignment="0" applyProtection="0"/>
    <xf numFmtId="188" fontId="28" fillId="49" borderId="207">
      <alignment vertical="center"/>
    </xf>
    <xf numFmtId="186" fontId="56" fillId="21" borderId="181" applyNumberFormat="0" applyProtection="0">
      <alignment horizontal="left" vertical="top" indent="1"/>
    </xf>
    <xf numFmtId="186" fontId="27" fillId="63" borderId="189" applyNumberFormat="0" applyProtection="0">
      <alignment horizontal="left" vertical="center" indent="1"/>
    </xf>
    <xf numFmtId="0" fontId="27" fillId="64" borderId="197" applyNumberFormat="0">
      <protection locked="0"/>
    </xf>
    <xf numFmtId="4" fontId="56" fillId="15" borderId="191" applyNumberFormat="0" applyProtection="0">
      <alignment horizontal="right" vertical="center"/>
    </xf>
    <xf numFmtId="4" fontId="59" fillId="53" borderId="191" applyNumberFormat="0" applyProtection="0">
      <alignment vertical="center"/>
    </xf>
    <xf numFmtId="186" fontId="62" fillId="15" borderId="181" applyNumberFormat="0" applyProtection="0">
      <alignment horizontal="left" vertical="top" indent="1"/>
    </xf>
    <xf numFmtId="4" fontId="74" fillId="87" borderId="199" applyNumberFormat="0" applyProtection="0">
      <alignmen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186" fontId="56" fillId="14" borderId="199" applyNumberFormat="0" applyProtection="0">
      <alignment horizontal="left" vertical="top" indent="1"/>
    </xf>
    <xf numFmtId="0" fontId="5" fillId="69"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4" fontId="62" fillId="11" borderId="181" applyNumberFormat="0" applyProtection="0">
      <alignment horizontal="left" vertical="center" indent="1"/>
    </xf>
    <xf numFmtId="186" fontId="27" fillId="14" borderId="189" applyNumberFormat="0" applyProtection="0">
      <alignment horizontal="left" vertical="top" indent="1"/>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7" borderId="197"/>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64" fillId="64" borderId="201" applyNumberFormat="0" applyProtection="0">
      <alignment horizontal="right" vertical="center"/>
    </xf>
    <xf numFmtId="4" fontId="72" fillId="53" borderId="189" applyNumberFormat="0" applyProtection="0">
      <alignment horizontal="left" vertical="center" indent="1"/>
    </xf>
    <xf numFmtId="4" fontId="70" fillId="86" borderId="190"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13" borderId="197">
      <alignment vertical="center"/>
    </xf>
    <xf numFmtId="191" fontId="5" fillId="69" borderId="197">
      <alignment vertical="center"/>
    </xf>
    <xf numFmtId="0" fontId="5" fillId="69" borderId="197">
      <alignment vertical="center"/>
    </xf>
    <xf numFmtId="193" fontId="5" fillId="7" borderId="197">
      <alignment vertical="center"/>
      <protection locked="0"/>
    </xf>
    <xf numFmtId="4" fontId="56" fillId="15" borderId="195" applyNumberFormat="0" applyProtection="0">
      <alignment horizontal="left" vertical="center" indent="1"/>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62" borderId="201" applyNumberFormat="0" applyProtection="0">
      <alignment horizontal="left" vertical="center" indent="1"/>
    </xf>
    <xf numFmtId="4" fontId="56" fillId="55" borderId="191" applyNumberFormat="0" applyProtection="0">
      <alignment horizontal="right" vertical="center"/>
    </xf>
    <xf numFmtId="186" fontId="56" fillId="40" borderId="191" applyNumberFormat="0" applyFont="0" applyAlignment="0" applyProtection="0"/>
    <xf numFmtId="186" fontId="28" fillId="12" borderId="197">
      <alignment vertical="center"/>
      <protection locked="0"/>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3" borderId="201" applyNumberFormat="0" applyProtection="0">
      <alignment horizontal="left" vertical="center" indent="1"/>
    </xf>
    <xf numFmtId="4" fontId="27" fillId="21" borderId="205"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186" fontId="56" fillId="21" borderId="199" applyNumberFormat="0" applyProtection="0">
      <alignment horizontal="left" vertical="top" indent="1"/>
    </xf>
    <xf numFmtId="186" fontId="42" fillId="44" borderId="201" applyNumberFormat="0" applyAlignment="0" applyProtection="0"/>
    <xf numFmtId="4" fontId="62" fillId="48" borderId="189" applyNumberFormat="0" applyProtection="0">
      <alignment vertical="center"/>
    </xf>
    <xf numFmtId="0" fontId="27" fillId="63" borderId="199" applyNumberFormat="0" applyProtection="0">
      <alignment horizontal="left" vertical="center" indent="1"/>
    </xf>
    <xf numFmtId="0" fontId="37" fillId="15" borderId="199" applyNumberFormat="0" applyProtection="0">
      <alignment horizontal="left" vertical="top" indent="1"/>
    </xf>
    <xf numFmtId="186" fontId="56" fillId="40" borderId="191" applyNumberFormat="0" applyFont="0" applyAlignment="0" applyProtection="0"/>
    <xf numFmtId="0" fontId="73" fillId="52" borderId="199" applyNumberFormat="0" applyProtection="0">
      <alignment horizontal="left" vertical="top" indent="1"/>
    </xf>
    <xf numFmtId="191" fontId="5" fillId="7" borderId="197">
      <alignment vertical="center"/>
      <protection locked="0"/>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62" fillId="48" borderId="189" applyNumberFormat="0" applyProtection="0">
      <alignment horizontal="left" vertical="top" indent="1"/>
    </xf>
    <xf numFmtId="186" fontId="56" fillId="63" borderId="189" applyNumberFormat="0" applyProtection="0">
      <alignment horizontal="left" vertical="top" indent="1"/>
    </xf>
    <xf numFmtId="4" fontId="64" fillId="64" borderId="191" applyNumberFormat="0" applyProtection="0">
      <alignment horizontal="right" vertical="center"/>
    </xf>
    <xf numFmtId="4" fontId="56" fillId="0" borderId="191" applyNumberFormat="0" applyProtection="0">
      <alignment horizontal="right" vertical="center"/>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0" fillId="41" borderId="191" applyNumberFormat="0" applyAlignment="0" applyProtection="0"/>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21" borderId="199" applyNumberFormat="0" applyProtection="0">
      <alignment horizontal="left" vertical="center" indent="1"/>
    </xf>
    <xf numFmtId="4" fontId="62" fillId="48" borderId="189" applyNumberFormat="0" applyProtection="0">
      <alignment vertical="center"/>
    </xf>
    <xf numFmtId="0" fontId="27" fillId="21" borderId="189" applyNumberFormat="0" applyProtection="0">
      <alignment horizontal="left" vertical="center" indent="1"/>
    </xf>
    <xf numFmtId="193" fontId="5" fillId="7" borderId="177">
      <alignment vertical="center"/>
      <protection locked="0"/>
    </xf>
    <xf numFmtId="4" fontId="70" fillId="86" borderId="181" applyNumberFormat="0" applyProtection="0">
      <alignment horizontal="left" vertical="center" indent="1"/>
    </xf>
    <xf numFmtId="186" fontId="56" fillId="62" borderId="191" applyNumberFormat="0" applyProtection="0">
      <alignment horizontal="left" vertical="center" indent="1"/>
    </xf>
    <xf numFmtId="186" fontId="61" fillId="21" borderId="183" applyBorder="0"/>
    <xf numFmtId="4" fontId="59" fillId="53" borderId="179" applyNumberFormat="0" applyProtection="0">
      <alignment vertical="center"/>
    </xf>
    <xf numFmtId="186" fontId="56" fillId="21" borderId="189" applyNumberFormat="0" applyProtection="0">
      <alignment horizontal="left" vertical="top" indent="1"/>
    </xf>
    <xf numFmtId="191" fontId="5" fillId="69" borderId="177">
      <alignment vertical="center"/>
    </xf>
    <xf numFmtId="4" fontId="56" fillId="57" borderId="182"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4" fontId="56" fillId="52"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96" fontId="5" fillId="69" borderId="186">
      <alignment vertical="center"/>
    </xf>
    <xf numFmtId="4" fontId="62" fillId="11" borderId="199" applyNumberFormat="0" applyProtection="0">
      <alignment horizontal="left" vertical="center" indent="1"/>
    </xf>
    <xf numFmtId="186" fontId="56" fillId="15" borderId="189" applyNumberFormat="0" applyProtection="0">
      <alignment horizontal="left" vertical="top" indent="1"/>
    </xf>
    <xf numFmtId="4" fontId="56" fillId="14" borderId="195" applyNumberFormat="0" applyProtection="0">
      <alignment horizontal="left" vertical="center" indent="1"/>
    </xf>
    <xf numFmtId="193" fontId="28" fillId="50" borderId="197">
      <alignment vertical="center"/>
    </xf>
    <xf numFmtId="4" fontId="59" fillId="12" borderId="177" applyNumberFormat="0" applyProtection="0">
      <alignment vertical="center"/>
    </xf>
    <xf numFmtId="186" fontId="44" fillId="0" borderId="196" applyNumberFormat="0" applyFill="0" applyAlignment="0" applyProtection="0"/>
    <xf numFmtId="37" fontId="33" fillId="0" borderId="204" applyNumberFormat="0"/>
    <xf numFmtId="4" fontId="72" fillId="87" borderId="199" applyNumberFormat="0" applyProtection="0">
      <alignment vertical="center"/>
    </xf>
    <xf numFmtId="186" fontId="56" fillId="63" borderId="189" applyNumberFormat="0" applyProtection="0">
      <alignment horizontal="left" vertical="top" indent="1"/>
    </xf>
    <xf numFmtId="186" fontId="27" fillId="21" borderId="199"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8" fontId="5" fillId="13" borderId="197">
      <alignmen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51" borderId="186">
      <alignment horizontal="right" vertical="center"/>
      <protection locked="0"/>
    </xf>
    <xf numFmtId="186" fontId="28" fillId="12" borderId="197">
      <alignment vertical="center"/>
      <protection locked="0"/>
    </xf>
    <xf numFmtId="186" fontId="56" fillId="14" borderId="181" applyNumberFormat="0" applyProtection="0">
      <alignment horizontal="left" vertical="top" indent="1"/>
    </xf>
    <xf numFmtId="186" fontId="56" fillId="21" borderId="181" applyNumberFormat="0" applyProtection="0">
      <alignment horizontal="left" vertical="top" indent="1"/>
    </xf>
    <xf numFmtId="186" fontId="27" fillId="21" borderId="181" applyNumberFormat="0" applyProtection="0">
      <alignment horizontal="left" vertical="top" indent="1"/>
    </xf>
    <xf numFmtId="4" fontId="56" fillId="55" borderId="201" applyNumberFormat="0" applyProtection="0">
      <alignment horizontal="right" vertical="center"/>
    </xf>
    <xf numFmtId="186" fontId="56" fillId="63" borderId="181" applyNumberFormat="0" applyProtection="0">
      <alignment horizontal="left" vertical="top" indent="1"/>
    </xf>
    <xf numFmtId="186" fontId="56" fillId="40" borderId="179" applyNumberFormat="0" applyFont="0" applyAlignment="0" applyProtection="0"/>
    <xf numFmtId="186" fontId="56" fillId="63" borderId="181" applyNumberFormat="0" applyProtection="0">
      <alignment horizontal="left" vertical="top" indent="1"/>
    </xf>
    <xf numFmtId="186" fontId="57" fillId="44" borderId="192" applyNumberFormat="0" applyAlignment="0" applyProtection="0"/>
    <xf numFmtId="4" fontId="56" fillId="59" borderId="191" applyNumberFormat="0" applyProtection="0">
      <alignment horizontal="right" vertical="center"/>
    </xf>
    <xf numFmtId="186" fontId="28" fillId="12" borderId="177">
      <alignment vertical="center"/>
      <protection locked="0"/>
    </xf>
    <xf numFmtId="186" fontId="27" fillId="63"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4" fontId="56" fillId="60" borderId="179" applyNumberFormat="0" applyProtection="0">
      <alignment horizontal="right" vertical="center"/>
    </xf>
    <xf numFmtId="196" fontId="5" fillId="13" borderId="177">
      <alignment vertical="center"/>
    </xf>
    <xf numFmtId="186" fontId="56" fillId="21" borderId="18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44" fillId="0" borderId="185" applyNumberFormat="0" applyFill="0" applyAlignment="0" applyProtection="0"/>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11" borderId="191" applyNumberFormat="0" applyProtection="0">
      <alignment horizontal="left" vertical="center" indent="1"/>
    </xf>
    <xf numFmtId="186" fontId="56" fillId="21" borderId="189" applyNumberFormat="0" applyProtection="0">
      <alignment horizontal="left" vertical="top" indent="1"/>
    </xf>
    <xf numFmtId="186" fontId="27" fillId="15" borderId="199" applyNumberFormat="0" applyProtection="0">
      <alignment horizontal="left" vertical="center" indent="1"/>
    </xf>
    <xf numFmtId="4" fontId="72" fillId="79" borderId="199"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71" fillId="53" borderId="189" applyNumberFormat="0" applyProtection="0">
      <alignment vertical="center"/>
    </xf>
    <xf numFmtId="186" fontId="50" fillId="41" borderId="191" applyNumberFormat="0" applyAlignment="0" applyProtection="0"/>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61" fillId="21" borderId="183" applyBorder="0"/>
    <xf numFmtId="37" fontId="33" fillId="0" borderId="184" applyNumberFormat="0"/>
    <xf numFmtId="186" fontId="56" fillId="15" borderId="181" applyNumberFormat="0" applyProtection="0">
      <alignment horizontal="left" vertical="top" indent="1"/>
    </xf>
    <xf numFmtId="191" fontId="28" fillId="50" borderId="186">
      <alignment vertical="center"/>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62" fillId="48" borderId="181" applyNumberFormat="0" applyProtection="0">
      <alignment vertical="center"/>
    </xf>
    <xf numFmtId="4" fontId="56" fillId="52" borderId="179" applyNumberFormat="0" applyProtection="0">
      <alignment vertical="center"/>
    </xf>
    <xf numFmtId="186" fontId="44" fillId="0" borderId="185" applyNumberFormat="0" applyFill="0" applyAlignment="0" applyProtection="0"/>
    <xf numFmtId="4" fontId="56" fillId="16" borderId="179" applyNumberFormat="0" applyProtection="0">
      <alignment horizontal="right" vertical="center"/>
    </xf>
    <xf numFmtId="4" fontId="56" fillId="56" borderId="179" applyNumberFormat="0" applyProtection="0">
      <alignment horizontal="right" vertical="center"/>
    </xf>
    <xf numFmtId="0" fontId="5" fillId="69" borderId="186">
      <alignment vertical="center"/>
    </xf>
    <xf numFmtId="191" fontId="5" fillId="70" borderId="186">
      <alignment horizontal="right" vertical="center"/>
      <protection locked="0"/>
    </xf>
    <xf numFmtId="186" fontId="56" fillId="14"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15" borderId="181" applyNumberFormat="0" applyProtection="0">
      <alignment horizontal="left" vertical="top" indent="1"/>
    </xf>
    <xf numFmtId="191" fontId="28" fillId="12" borderId="186">
      <alignment vertical="center"/>
      <protection locked="0"/>
    </xf>
    <xf numFmtId="4" fontId="62" fillId="48" borderId="189" applyNumberFormat="0" applyProtection="0">
      <alignment vertical="center"/>
    </xf>
    <xf numFmtId="186" fontId="27" fillId="63" borderId="189" applyNumberFormat="0" applyProtection="0">
      <alignment horizontal="left" vertical="top" indent="1"/>
    </xf>
    <xf numFmtId="4" fontId="56" fillId="54" borderId="201" applyNumberFormat="0" applyProtection="0">
      <alignment horizontal="left" vertical="center" indent="1"/>
    </xf>
    <xf numFmtId="186" fontId="27" fillId="15" borderId="199" applyNumberFormat="0" applyProtection="0">
      <alignment horizontal="left" vertical="top" indent="1"/>
    </xf>
    <xf numFmtId="186" fontId="56" fillId="14" borderId="181" applyNumberFormat="0" applyProtection="0">
      <alignment horizontal="left" vertical="top" indent="1"/>
    </xf>
    <xf numFmtId="4" fontId="56" fillId="55" borderId="191" applyNumberFormat="0" applyProtection="0">
      <alignment horizontal="right" vertical="center"/>
    </xf>
    <xf numFmtId="4" fontId="63" fillId="66" borderId="205" applyNumberFormat="0" applyProtection="0">
      <alignment horizontal="left" vertical="center"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62" fillId="48" borderId="189" applyNumberFormat="0" applyProtection="0">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184" applyNumberFormat="0"/>
    <xf numFmtId="186" fontId="27" fillId="63"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90" fontId="28" fillId="51" borderId="186">
      <alignment horizontal="right" vertical="center"/>
      <protection locked="0"/>
    </xf>
    <xf numFmtId="186" fontId="42" fillId="44" borderId="179" applyNumberFormat="0" applyAlignment="0" applyProtection="0"/>
    <xf numFmtId="186" fontId="56" fillId="14" borderId="181" applyNumberFormat="0" applyProtection="0">
      <alignment horizontal="left" vertical="top" indent="1"/>
    </xf>
    <xf numFmtId="186" fontId="56" fillId="14" borderId="189" applyNumberFormat="0" applyProtection="0">
      <alignment horizontal="left" vertical="top" indent="1"/>
    </xf>
    <xf numFmtId="191" fontId="28" fillId="51" borderId="197">
      <alignment horizontal="right" vertical="center"/>
      <protection locked="0"/>
    </xf>
    <xf numFmtId="186" fontId="56" fillId="67" borderId="197"/>
    <xf numFmtId="4" fontId="59" fillId="53" borderId="191" applyNumberFormat="0" applyProtection="0">
      <alignment vertical="center"/>
    </xf>
    <xf numFmtId="186" fontId="56" fillId="40" borderId="191" applyNumberFormat="0" applyFont="0" applyAlignment="0" applyProtection="0"/>
    <xf numFmtId="4" fontId="56" fillId="56" borderId="179" applyNumberFormat="0" applyProtection="0">
      <alignment horizontal="right" vertical="center"/>
    </xf>
    <xf numFmtId="186" fontId="27" fillId="63" borderId="189" applyNumberFormat="0" applyProtection="0">
      <alignment horizontal="left" vertical="top"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1" applyNumberFormat="0" applyProtection="0">
      <alignment horizontal="left" vertical="center" indent="1"/>
    </xf>
    <xf numFmtId="4" fontId="56" fillId="54" borderId="179" applyNumberFormat="0" applyProtection="0">
      <alignment horizontal="left" vertical="center" indent="1"/>
    </xf>
    <xf numFmtId="4" fontId="56" fillId="56" borderId="179" applyNumberFormat="0" applyProtection="0">
      <alignment horizontal="right" vertical="center"/>
    </xf>
    <xf numFmtId="186" fontId="42" fillId="44" borderId="179" applyNumberFormat="0" applyAlignment="0" applyProtection="0"/>
    <xf numFmtId="186" fontId="57" fillId="44" borderId="192"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56" fillId="59" borderId="19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4" fontId="59" fillId="53" borderId="191" applyNumberFormat="0" applyProtection="0">
      <alignment vertical="center"/>
    </xf>
    <xf numFmtId="4" fontId="56" fillId="16" borderId="191" applyNumberFormat="0" applyProtection="0">
      <alignment horizontal="right" vertical="center"/>
    </xf>
    <xf numFmtId="186" fontId="56" fillId="15" borderId="189" applyNumberFormat="0" applyProtection="0">
      <alignment horizontal="left" vertical="top" indent="1"/>
    </xf>
    <xf numFmtId="4" fontId="56" fillId="53" borderId="191" applyNumberFormat="0" applyProtection="0">
      <alignment horizontal="left" vertical="center" indent="1"/>
    </xf>
    <xf numFmtId="186" fontId="56" fillId="40" borderId="191" applyNumberFormat="0" applyFont="0" applyAlignment="0" applyProtection="0"/>
    <xf numFmtId="4" fontId="56" fillId="58" borderId="191" applyNumberFormat="0" applyProtection="0">
      <alignment horizontal="right" vertical="center"/>
    </xf>
    <xf numFmtId="193" fontId="5" fillId="69" borderId="177">
      <alignment vertical="center"/>
    </xf>
    <xf numFmtId="190" fontId="28" fillId="50" borderId="177">
      <alignmen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7" borderId="182" applyNumberFormat="0" applyProtection="0">
      <alignment horizontal="right" vertical="center"/>
    </xf>
    <xf numFmtId="186" fontId="56" fillId="14" borderId="189" applyNumberFormat="0" applyProtection="0">
      <alignment horizontal="left" vertical="top" indent="1"/>
    </xf>
    <xf numFmtId="188" fontId="5" fillId="13" borderId="197">
      <alignment vertical="center"/>
    </xf>
    <xf numFmtId="0" fontId="27" fillId="64"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3" borderId="181" applyNumberFormat="0" applyProtection="0">
      <alignment horizontal="left" vertical="top" indent="1"/>
    </xf>
    <xf numFmtId="4" fontId="59" fillId="65" borderId="191" applyNumberFormat="0" applyProtection="0">
      <alignment horizontal="right" vertical="center"/>
    </xf>
    <xf numFmtId="37" fontId="33" fillId="0" borderId="184" applyNumberFormat="0"/>
    <xf numFmtId="4" fontId="56" fillId="14" borderId="182" applyNumberFormat="0" applyProtection="0">
      <alignment horizontal="left" vertical="center" indent="1"/>
    </xf>
    <xf numFmtId="186" fontId="56" fillId="21" borderId="181" applyNumberFormat="0" applyProtection="0">
      <alignment horizontal="left" vertical="top" indent="1"/>
    </xf>
    <xf numFmtId="191" fontId="5" fillId="13" borderId="197">
      <alignment vertical="center"/>
    </xf>
    <xf numFmtId="4" fontId="56" fillId="61" borderId="205" applyNumberFormat="0" applyProtection="0">
      <alignment horizontal="left" vertical="center" indent="1"/>
    </xf>
    <xf numFmtId="186" fontId="61" fillId="21" borderId="183" applyBorder="0"/>
    <xf numFmtId="4" fontId="27" fillId="21" borderId="182" applyNumberFormat="0" applyProtection="0">
      <alignment horizontal="left" vertical="center" indent="1"/>
    </xf>
    <xf numFmtId="186" fontId="56" fillId="40" borderId="179" applyNumberFormat="0" applyFont="0" applyAlignment="0" applyProtection="0"/>
    <xf numFmtId="186" fontId="28" fillId="51" borderId="197">
      <alignment horizontal="right" vertical="center"/>
      <protection locked="0"/>
    </xf>
    <xf numFmtId="4" fontId="63" fillId="66" borderId="182" applyNumberFormat="0" applyProtection="0">
      <alignment horizontal="left" vertical="center" indent="1"/>
    </xf>
    <xf numFmtId="4" fontId="56" fillId="15" borderId="182"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center" indent="1"/>
    </xf>
    <xf numFmtId="191" fontId="28" fillId="12" borderId="197">
      <alignment vertical="center"/>
      <protection locked="0"/>
    </xf>
    <xf numFmtId="4" fontId="27" fillId="21" borderId="195"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8" fillId="49" borderId="197">
      <alignment vertical="center"/>
    </xf>
    <xf numFmtId="186" fontId="56" fillId="14" borderId="181" applyNumberFormat="0" applyProtection="0">
      <alignment horizontal="left" vertical="top" indent="1"/>
    </xf>
    <xf numFmtId="0" fontId="27" fillId="63" borderId="181" applyNumberFormat="0" applyProtection="0">
      <alignment horizontal="left" vertical="top" indent="1"/>
    </xf>
    <xf numFmtId="186" fontId="56" fillId="14" borderId="181" applyNumberFormat="0" applyProtection="0">
      <alignment horizontal="left" vertical="top" indent="1"/>
    </xf>
    <xf numFmtId="186" fontId="27" fillId="63" borderId="181" applyNumberFormat="0" applyProtection="0">
      <alignment horizontal="left" vertical="top" indent="1"/>
    </xf>
    <xf numFmtId="186" fontId="61" fillId="21" borderId="183" applyBorder="0"/>
    <xf numFmtId="4" fontId="56" fillId="61" borderId="182" applyNumberFormat="0" applyProtection="0">
      <alignment horizontal="left" vertical="center" indent="1"/>
    </xf>
    <xf numFmtId="186" fontId="56" fillId="63" borderId="181" applyNumberFormat="0" applyProtection="0">
      <alignment horizontal="left" vertical="top" indent="1"/>
    </xf>
    <xf numFmtId="190"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0" fontId="5" fillId="69" borderId="177">
      <alignment vertical="center"/>
    </xf>
    <xf numFmtId="4" fontId="56" fillId="52" borderId="191" applyNumberFormat="0" applyProtection="0">
      <alignment vertical="center"/>
    </xf>
    <xf numFmtId="186" fontId="56" fillId="11" borderId="191" applyNumberFormat="0" applyProtection="0">
      <alignment horizontal="left" vertical="center" indent="1"/>
    </xf>
    <xf numFmtId="4" fontId="62" fillId="48" borderId="189" applyNumberFormat="0" applyProtection="0">
      <alignment vertical="center"/>
    </xf>
    <xf numFmtId="4" fontId="62" fillId="48" borderId="199" applyNumberFormat="0" applyProtection="0">
      <alignmen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27"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27" fillId="21" borderId="205" applyNumberFormat="0" applyProtection="0">
      <alignment horizontal="left" vertical="center" indent="1"/>
    </xf>
    <xf numFmtId="186" fontId="56" fillId="14" borderId="189" applyNumberFormat="0" applyProtection="0">
      <alignment horizontal="left" vertical="top" indent="1"/>
    </xf>
    <xf numFmtId="4" fontId="56" fillId="16" borderId="191" applyNumberFormat="0" applyProtection="0">
      <alignment horizontal="right" vertical="center"/>
    </xf>
    <xf numFmtId="186" fontId="44" fillId="0" borderId="196" applyNumberFormat="0" applyFill="0" applyAlignment="0" applyProtection="0"/>
    <xf numFmtId="4" fontId="59" fillId="53" borderId="191" applyNumberFormat="0" applyProtection="0">
      <alignment vertical="center"/>
    </xf>
    <xf numFmtId="186" fontId="56" fillId="40" borderId="201" applyNumberFormat="0" applyFont="0" applyAlignment="0" applyProtection="0"/>
    <xf numFmtId="186" fontId="56" fillId="11" borderId="191" applyNumberFormat="0" applyProtection="0">
      <alignment horizontal="left" vertical="center" indent="1"/>
    </xf>
    <xf numFmtId="186" fontId="28" fillId="50" borderId="197">
      <alignment vertical="center"/>
    </xf>
    <xf numFmtId="4" fontId="59" fillId="12" borderId="197" applyNumberFormat="0" applyProtection="0">
      <alignment vertical="center"/>
    </xf>
    <xf numFmtId="4" fontId="64" fillId="64"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52" borderId="191" applyNumberFormat="0" applyProtection="0">
      <alignment vertical="center"/>
    </xf>
    <xf numFmtId="186" fontId="56" fillId="40" borderId="191" applyNumberFormat="0" applyFont="0" applyAlignment="0" applyProtection="0"/>
    <xf numFmtId="172" fontId="28" fillId="12" borderId="177">
      <alignment vertical="center"/>
      <protection locked="0"/>
    </xf>
    <xf numFmtId="186" fontId="50" fillId="41" borderId="191" applyNumberFormat="0" applyAlignment="0" applyProtection="0"/>
    <xf numFmtId="4" fontId="72" fillId="87" borderId="189" applyNumberFormat="0" applyProtection="0">
      <alignment vertical="center"/>
    </xf>
    <xf numFmtId="172" fontId="5" fillId="7" borderId="177">
      <alignment vertical="center"/>
      <protection locked="0"/>
    </xf>
    <xf numFmtId="186" fontId="56" fillId="63" borderId="189" applyNumberFormat="0" applyProtection="0">
      <alignment horizontal="left" vertical="top" indent="1"/>
    </xf>
    <xf numFmtId="186" fontId="62" fillId="48" borderId="189" applyNumberFormat="0" applyProtection="0">
      <alignment horizontal="left" vertical="top" indent="1"/>
    </xf>
    <xf numFmtId="186" fontId="62" fillId="15" borderId="189" applyNumberFormat="0" applyProtection="0">
      <alignment horizontal="left" vertical="top" indent="1"/>
    </xf>
    <xf numFmtId="190" fontId="5" fillId="13" borderId="197">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7" fillId="44" borderId="202" applyNumberFormat="0" applyAlignment="0" applyProtection="0"/>
    <xf numFmtId="4" fontId="72" fillId="86" borderId="189" applyNumberFormat="0" applyProtection="0">
      <alignment horizontal="righ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1" fillId="21" borderId="183" applyBorder="0"/>
    <xf numFmtId="4" fontId="56" fillId="57" borderId="182"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86" fontId="28" fillId="50" borderId="207">
      <alignment vertical="center"/>
    </xf>
    <xf numFmtId="186" fontId="56" fillId="14" borderId="181" applyNumberFormat="0" applyProtection="0">
      <alignment horizontal="left" vertical="top" indent="1"/>
    </xf>
    <xf numFmtId="4" fontId="56" fillId="54" borderId="179" applyNumberFormat="0" applyProtection="0">
      <alignment horizontal="left" vertical="center" indent="1"/>
    </xf>
    <xf numFmtId="186" fontId="50" fillId="41" borderId="179" applyNumberFormat="0" applyAlignment="0" applyProtection="0"/>
    <xf numFmtId="191" fontId="28" fillId="50" borderId="197">
      <alignment vertical="center"/>
    </xf>
    <xf numFmtId="186" fontId="27" fillId="15" borderId="189" applyNumberFormat="0" applyProtection="0">
      <alignment horizontal="left" vertical="center" indent="1"/>
    </xf>
    <xf numFmtId="4" fontId="56" fillId="58" borderId="179" applyNumberFormat="0" applyProtection="0">
      <alignment horizontal="right" vertical="center"/>
    </xf>
    <xf numFmtId="191" fontId="28" fillId="49" borderId="177">
      <alignment vertical="center"/>
    </xf>
    <xf numFmtId="186" fontId="56" fillId="11" borderId="191" applyNumberFormat="0" applyProtection="0">
      <alignment horizontal="left" vertical="center" indent="1"/>
    </xf>
    <xf numFmtId="4" fontId="56" fillId="0"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186" fontId="56" fillId="40" borderId="179" applyNumberFormat="0" applyFon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90" fontId="5" fillId="13" borderId="197">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21" borderId="199" applyNumberFormat="0" applyProtection="0">
      <alignment horizontal="left" vertical="top" indent="1"/>
    </xf>
    <xf numFmtId="186" fontId="44" fillId="0" borderId="206" applyNumberFormat="0" applyFill="0" applyAlignment="0" applyProtection="0"/>
    <xf numFmtId="186" fontId="56" fillId="40" borderId="191" applyNumberFormat="0" applyFont="0" applyAlignment="0" applyProtection="0"/>
    <xf numFmtId="191" fontId="5" fillId="69" borderId="186">
      <alignment vertical="center"/>
    </xf>
    <xf numFmtId="186" fontId="56" fillId="15" borderId="189" applyNumberFormat="0" applyProtection="0">
      <alignment horizontal="left" vertical="top" indent="1"/>
    </xf>
    <xf numFmtId="4" fontId="75" fillId="88" borderId="190" applyNumberFormat="0" applyProtection="0">
      <alignment horizontal="left" vertical="center" indent="1"/>
    </xf>
    <xf numFmtId="4" fontId="56" fillId="23" borderId="191" applyNumberFormat="0" applyProtection="0">
      <alignment horizontal="right" vertical="center"/>
    </xf>
    <xf numFmtId="186" fontId="57" fillId="44" borderId="202" applyNumberFormat="0" applyAlignment="0" applyProtection="0"/>
    <xf numFmtId="186" fontId="57" fillId="44" borderId="202" applyNumberFormat="0" applyAlignment="0" applyProtection="0"/>
    <xf numFmtId="191" fontId="28" fillId="51" borderId="177">
      <alignment horizontal="right" vertical="center"/>
      <protection locked="0"/>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37" fontId="33" fillId="0" borderId="194" applyNumberFormat="0"/>
    <xf numFmtId="186" fontId="56" fillId="15" borderId="189" applyNumberFormat="0" applyProtection="0">
      <alignment horizontal="left" vertical="top" indent="1"/>
    </xf>
    <xf numFmtId="172" fontId="28" fillId="12" borderId="197">
      <alignment vertical="center"/>
      <protection locked="0"/>
    </xf>
    <xf numFmtId="186" fontId="56" fillId="40" borderId="191" applyNumberFormat="0" applyFont="0" applyAlignment="0" applyProtection="0"/>
    <xf numFmtId="193" fontId="28" fillId="12" borderId="186">
      <alignment vertical="center"/>
      <protection locked="0"/>
    </xf>
    <xf numFmtId="188" fontId="5" fillId="7" borderId="186">
      <alignment vertical="center"/>
      <protection locked="0"/>
    </xf>
    <xf numFmtId="186" fontId="56" fillId="15" borderId="181" applyNumberFormat="0" applyProtection="0">
      <alignment horizontal="left" vertical="top" indent="1"/>
    </xf>
    <xf numFmtId="4" fontId="56" fillId="23" borderId="179" applyNumberFormat="0" applyProtection="0">
      <alignment horizontal="right" vertical="center"/>
    </xf>
    <xf numFmtId="188" fontId="28" fillId="50" borderId="177">
      <alignment vertical="center"/>
    </xf>
    <xf numFmtId="4" fontId="56" fillId="61" borderId="205" applyNumberFormat="0" applyProtection="0">
      <alignment horizontal="left" vertical="center" indent="1"/>
    </xf>
    <xf numFmtId="4" fontId="56" fillId="58" borderId="191" applyNumberFormat="0" applyProtection="0">
      <alignment horizontal="right" vertical="center"/>
    </xf>
    <xf numFmtId="186" fontId="42" fillId="44" borderId="191" applyNumberFormat="0" applyAlignment="0" applyProtection="0"/>
    <xf numFmtId="186" fontId="28" fillId="49" borderId="197">
      <alignment vertical="center"/>
    </xf>
    <xf numFmtId="186" fontId="56" fillId="14"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4" fontId="62" fillId="48" borderId="199" applyNumberFormat="0" applyProtection="0">
      <alignment vertical="center"/>
    </xf>
    <xf numFmtId="186" fontId="62" fillId="15" borderId="19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6" fillId="62"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5" borderId="181" applyNumberFormat="0" applyProtection="0">
      <alignment horizontal="left" vertical="top" indent="1"/>
    </xf>
    <xf numFmtId="4" fontId="56" fillId="19" borderId="191" applyNumberFormat="0" applyProtection="0">
      <alignment horizontal="righ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1" borderId="191" applyNumberFormat="0" applyProtection="0">
      <alignment horizontal="left" vertical="center" indent="1"/>
    </xf>
    <xf numFmtId="186" fontId="27" fillId="21" borderId="199" applyNumberFormat="0" applyProtection="0">
      <alignment horizontal="left" vertical="center" indent="1"/>
    </xf>
    <xf numFmtId="186" fontId="56" fillId="40" borderId="201" applyNumberFormat="0" applyFont="0" applyAlignment="0" applyProtection="0"/>
    <xf numFmtId="4" fontId="56" fillId="59" borderId="191" applyNumberFormat="0" applyProtection="0">
      <alignment horizontal="right" vertical="center"/>
    </xf>
    <xf numFmtId="4" fontId="56" fillId="59" borderId="191" applyNumberFormat="0" applyProtection="0">
      <alignment horizontal="right" vertical="center"/>
    </xf>
    <xf numFmtId="186" fontId="50" fillId="41" borderId="191" applyNumberFormat="0" applyAlignment="0" applyProtection="0"/>
    <xf numFmtId="4" fontId="56" fillId="53" borderId="191" applyNumberFormat="0" applyProtection="0">
      <alignment horizontal="left" vertical="center" indent="1"/>
    </xf>
    <xf numFmtId="193" fontId="5" fillId="69" borderId="177">
      <alignment vertical="center"/>
    </xf>
    <xf numFmtId="186" fontId="44" fillId="0" borderId="19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86" fontId="56" fillId="15" borderId="199" applyNumberFormat="0" applyProtection="0">
      <alignment horizontal="left" vertical="top" indent="1"/>
    </xf>
    <xf numFmtId="172" fontId="28" fillId="12" borderId="197">
      <alignment vertical="center"/>
      <protection locked="0"/>
    </xf>
    <xf numFmtId="186" fontId="56" fillId="21"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4" fontId="56" fillId="14" borderId="182" applyNumberFormat="0" applyProtection="0">
      <alignment horizontal="left" vertical="center" indent="1"/>
    </xf>
    <xf numFmtId="186" fontId="56" fillId="15" borderId="189" applyNumberFormat="0" applyProtection="0">
      <alignment horizontal="left" vertical="top" indent="1"/>
    </xf>
    <xf numFmtId="186" fontId="57" fillId="44" borderId="192" applyNumberFormat="0" applyAlignment="0" applyProtection="0"/>
    <xf numFmtId="4" fontId="56" fillId="15" borderId="195" applyNumberFormat="0" applyProtection="0">
      <alignment horizontal="left" vertical="center" indent="1"/>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61" fillId="21" borderId="203" applyBorder="0"/>
    <xf numFmtId="0" fontId="27" fillId="15" borderId="181"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56" fillId="63" borderId="181" applyNumberFormat="0" applyProtection="0">
      <alignment horizontal="left" vertical="top" indent="1"/>
    </xf>
    <xf numFmtId="186" fontId="56" fillId="21" borderId="181" applyNumberFormat="0" applyProtection="0">
      <alignment horizontal="left" vertical="top" indent="1"/>
    </xf>
    <xf numFmtId="196" fontId="5" fillId="69" borderId="186">
      <alignment vertical="center"/>
    </xf>
    <xf numFmtId="186" fontId="28" fillId="49" borderId="186">
      <alignment vertical="center"/>
    </xf>
    <xf numFmtId="186" fontId="56" fillId="15" borderId="189" applyNumberFormat="0" applyProtection="0">
      <alignment horizontal="left" vertical="top" indent="1"/>
    </xf>
    <xf numFmtId="172" fontId="28" fillId="12" borderId="197">
      <alignment vertical="center"/>
      <protection locked="0"/>
    </xf>
    <xf numFmtId="186" fontId="56" fillId="14" borderId="189" applyNumberFormat="0" applyProtection="0">
      <alignment horizontal="left" vertical="top" indent="1"/>
    </xf>
    <xf numFmtId="4" fontId="62" fillId="11" borderId="189" applyNumberFormat="0" applyProtection="0">
      <alignment horizontal="left" vertical="center" indent="1"/>
    </xf>
    <xf numFmtId="186" fontId="62" fillId="15" borderId="189" applyNumberFormat="0" applyProtection="0">
      <alignment horizontal="left" vertical="top" indent="1"/>
    </xf>
    <xf numFmtId="4" fontId="63" fillId="66" borderId="195" applyNumberFormat="0" applyProtection="0">
      <alignment horizontal="left" vertical="center" indent="1"/>
    </xf>
    <xf numFmtId="37" fontId="33" fillId="0" borderId="19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191" applyNumberFormat="0" applyAlignment="0" applyProtection="0"/>
    <xf numFmtId="4" fontId="62" fillId="48" borderId="189" applyNumberFormat="0" applyProtection="0">
      <alignment vertical="center"/>
    </xf>
    <xf numFmtId="186" fontId="62" fillId="48" borderId="189" applyNumberFormat="0" applyProtection="0">
      <alignment horizontal="left" vertical="top" indent="1"/>
    </xf>
    <xf numFmtId="37" fontId="33" fillId="0" borderId="194" applyNumberFormat="0"/>
    <xf numFmtId="194" fontId="33" fillId="0" borderId="187" applyFill="0"/>
    <xf numFmtId="186" fontId="56" fillId="15" borderId="189" applyNumberFormat="0" applyProtection="0">
      <alignment horizontal="left" vertical="top" indent="1"/>
    </xf>
    <xf numFmtId="4" fontId="63" fillId="66"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42" fillId="44" borderId="191" applyNumberFormat="0" applyAlignment="0" applyProtection="0"/>
    <xf numFmtId="4" fontId="56" fillId="56"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201" applyNumberFormat="0" applyProtection="0">
      <alignment horizontal="left" vertical="center" indent="1"/>
    </xf>
    <xf numFmtId="4" fontId="56" fillId="14" borderId="205" applyNumberFormat="0" applyProtection="0">
      <alignment horizontal="left" vertical="center" indent="1"/>
    </xf>
    <xf numFmtId="4" fontId="72" fillId="79" borderId="189"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186" fontId="28" fillId="50" borderId="197">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188" fontId="5" fillId="13" borderId="177">
      <alignment vertical="center"/>
    </xf>
    <xf numFmtId="186" fontId="56" fillId="14" borderId="189" applyNumberFormat="0" applyProtection="0">
      <alignment horizontal="left" vertical="top" indent="1"/>
    </xf>
    <xf numFmtId="4" fontId="59" fillId="65" borderId="191" applyNumberFormat="0" applyProtection="0">
      <alignment horizontal="right" vertical="center"/>
    </xf>
    <xf numFmtId="193" fontId="28" fillId="12" borderId="177">
      <alignment vertical="center"/>
      <protection locked="0"/>
    </xf>
    <xf numFmtId="4" fontId="64" fillId="64" borderId="201" applyNumberFormat="0" applyProtection="0">
      <alignment horizontal="right" vertical="center"/>
    </xf>
    <xf numFmtId="186" fontId="27" fillId="15" borderId="199" applyNumberFormat="0" applyProtection="0">
      <alignment horizontal="left" vertical="top" indent="1"/>
    </xf>
    <xf numFmtId="186" fontId="27" fillId="21" borderId="189" applyNumberFormat="0" applyProtection="0">
      <alignment horizontal="left" vertical="center" indent="1"/>
    </xf>
    <xf numFmtId="186" fontId="27" fillId="21" borderId="199" applyNumberFormat="0" applyProtection="0">
      <alignment horizontal="left" vertical="center" indent="1"/>
    </xf>
    <xf numFmtId="4" fontId="56" fillId="58" borderId="201" applyNumberFormat="0" applyProtection="0">
      <alignment horizontal="right" vertical="center"/>
    </xf>
    <xf numFmtId="186" fontId="56" fillId="15" borderId="189" applyNumberFormat="0" applyProtection="0">
      <alignment horizontal="left" vertical="top" indent="1"/>
    </xf>
    <xf numFmtId="4" fontId="64" fillId="64" borderId="201" applyNumberFormat="0" applyProtection="0">
      <alignment horizontal="right" vertical="center"/>
    </xf>
    <xf numFmtId="4" fontId="56" fillId="15"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72" fillId="78" borderId="199" applyNumberFormat="0" applyProtection="0">
      <alignment horizontal="right" vertical="center"/>
    </xf>
    <xf numFmtId="4" fontId="56" fillId="53" borderId="201" applyNumberFormat="0" applyProtection="0">
      <alignment horizontal="left" vertical="center" indent="1"/>
    </xf>
    <xf numFmtId="186" fontId="56" fillId="63" borderId="189" applyNumberFormat="0" applyProtection="0">
      <alignment horizontal="left" vertical="top" indent="1"/>
    </xf>
    <xf numFmtId="188" fontId="28" fillId="49" borderId="207">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4" fontId="70" fillId="53" borderId="189" applyNumberFormat="0" applyProtection="0">
      <alignment vertical="center"/>
    </xf>
    <xf numFmtId="4" fontId="62" fillId="11" borderId="189" applyNumberFormat="0" applyProtection="0">
      <alignment horizontal="left" vertical="center" indent="1"/>
    </xf>
    <xf numFmtId="188" fontId="5" fillId="13" borderId="197">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14" borderId="181" applyNumberFormat="0" applyProtection="0">
      <alignment horizontal="left" vertical="top" indent="1"/>
    </xf>
    <xf numFmtId="4" fontId="64" fillId="64" borderId="179" applyNumberFormat="0" applyProtection="0">
      <alignment horizontal="right" vertical="center"/>
    </xf>
    <xf numFmtId="186" fontId="56" fillId="15" borderId="181" applyNumberFormat="0" applyProtection="0">
      <alignment horizontal="left" vertical="top" indent="1"/>
    </xf>
    <xf numFmtId="191" fontId="28" fillId="50" borderId="186">
      <alignment vertical="center"/>
    </xf>
    <xf numFmtId="186" fontId="56" fillId="63" borderId="189"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91" fontId="5" fillId="70" borderId="186">
      <alignment horizontal="right" vertical="center"/>
      <protection locked="0"/>
    </xf>
    <xf numFmtId="193" fontId="5" fillId="7" borderId="186">
      <alignment vertical="center"/>
      <protection locked="0"/>
    </xf>
    <xf numFmtId="186" fontId="27"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61" fillId="21" borderId="183" applyBorder="0"/>
    <xf numFmtId="191" fontId="28" fillId="51" borderId="186">
      <alignment horizontal="right" vertical="center"/>
      <protection locked="0"/>
    </xf>
    <xf numFmtId="4" fontId="56" fillId="55" borderId="179" applyNumberFormat="0" applyProtection="0">
      <alignment horizontal="right" vertical="center"/>
    </xf>
    <xf numFmtId="186" fontId="27" fillId="14" borderId="189" applyNumberFormat="0" applyProtection="0">
      <alignment horizontal="left" vertical="center" indent="1"/>
    </xf>
    <xf numFmtId="4" fontId="56" fillId="54" borderId="191" applyNumberFormat="0" applyProtection="0">
      <alignment horizontal="left" vertical="center" indent="1"/>
    </xf>
    <xf numFmtId="193" fontId="5" fillId="7" borderId="197">
      <alignment vertical="center"/>
      <protection locked="0"/>
    </xf>
    <xf numFmtId="186" fontId="56" fillId="15" borderId="181"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186" fontId="27" fillId="15" borderId="189" applyNumberFormat="0" applyProtection="0">
      <alignment horizontal="left" vertical="top" indent="1"/>
    </xf>
    <xf numFmtId="191" fontId="5" fillId="69" borderId="197">
      <alignment vertical="center"/>
    </xf>
    <xf numFmtId="186" fontId="56" fillId="21" borderId="18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9" fillId="65" borderId="201"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93" fontId="5" fillId="7" borderId="177">
      <alignmen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4" fontId="72" fillId="79" borderId="189" applyNumberFormat="0" applyProtection="0">
      <alignment horizontal="right" vertical="center"/>
    </xf>
    <xf numFmtId="186" fontId="56" fillId="15" borderId="199" applyNumberFormat="0" applyProtection="0">
      <alignment horizontal="left" vertical="top" indent="1"/>
    </xf>
    <xf numFmtId="186" fontId="50" fillId="41" borderId="201" applyNumberForma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4" borderId="199" applyNumberFormat="0" applyProtection="0">
      <alignment horizontal="left" vertical="center" indent="1"/>
    </xf>
    <xf numFmtId="4" fontId="70" fillId="86" borderId="200" applyNumberFormat="0" applyProtection="0">
      <alignment horizontal="left" vertical="center" indent="1"/>
    </xf>
    <xf numFmtId="186" fontId="27" fillId="15" borderId="199" applyNumberFormat="0" applyProtection="0">
      <alignment horizontal="left" vertical="center" indent="1"/>
    </xf>
    <xf numFmtId="186" fontId="62" fillId="15" borderId="189"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62" borderId="179" applyNumberFormat="0" applyProtection="0">
      <alignment horizontal="left" vertical="center" indent="1"/>
    </xf>
    <xf numFmtId="186" fontId="27" fillId="15" borderId="189" applyNumberFormat="0" applyProtection="0">
      <alignment horizontal="left" vertical="center"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91" fontId="5" fillId="7" borderId="177">
      <alignment vertical="center"/>
      <protection locked="0"/>
    </xf>
    <xf numFmtId="186" fontId="56" fillId="14" borderId="199" applyNumberFormat="0" applyProtection="0">
      <alignment horizontal="left" vertical="top" indent="1"/>
    </xf>
    <xf numFmtId="186" fontId="27" fillId="63" borderId="181" applyNumberFormat="0" applyProtection="0">
      <alignment horizontal="left" vertical="top" indent="1"/>
    </xf>
    <xf numFmtId="186" fontId="28" fillId="51" borderId="186">
      <alignment horizontal="right" vertical="center"/>
      <protection locked="0"/>
    </xf>
    <xf numFmtId="188" fontId="5" fillId="13" borderId="186">
      <alignment vertical="center"/>
    </xf>
    <xf numFmtId="186" fontId="56" fillId="14" borderId="181" applyNumberFormat="0" applyProtection="0">
      <alignment horizontal="left" vertical="top" indent="1"/>
    </xf>
    <xf numFmtId="186" fontId="56" fillId="14" borderId="189" applyNumberFormat="0" applyProtection="0">
      <alignment horizontal="left" vertical="top" indent="1"/>
    </xf>
    <xf numFmtId="190" fontId="28" fillId="51" borderId="197">
      <alignment horizontal="right" vertical="center"/>
      <protection locked="0"/>
    </xf>
    <xf numFmtId="4" fontId="56" fillId="0" borderId="191" applyNumberFormat="0" applyProtection="0">
      <alignment horizontal="right" vertical="center"/>
    </xf>
    <xf numFmtId="190" fontId="28" fillId="51" borderId="177">
      <alignment horizontal="right" vertical="center"/>
      <protection locked="0"/>
    </xf>
    <xf numFmtId="186" fontId="56" fillId="40" borderId="191" applyNumberFormat="0" applyFont="0" applyAlignment="0" applyProtection="0"/>
    <xf numFmtId="4" fontId="56" fillId="55" borderId="179" applyNumberFormat="0" applyProtection="0">
      <alignment horizontal="righ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0" fontId="73" fillId="52" borderId="181" applyNumberFormat="0" applyProtection="0">
      <alignment horizontal="left" vertical="top" indent="1"/>
    </xf>
    <xf numFmtId="193" fontId="5" fillId="7" borderId="186">
      <alignment vertical="center"/>
      <protection locked="0"/>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62" borderId="179" applyNumberFormat="0" applyProtection="0">
      <alignment horizontal="left" vertical="center" indent="1"/>
    </xf>
    <xf numFmtId="4" fontId="59" fillId="65" borderId="179" applyNumberFormat="0" applyProtection="0">
      <alignment horizontal="right" vertical="center"/>
    </xf>
    <xf numFmtId="4" fontId="56" fillId="55" borderId="179" applyNumberFormat="0" applyProtection="0">
      <alignment horizontal="right" vertical="center"/>
    </xf>
    <xf numFmtId="186" fontId="50" fillId="41" borderId="179" applyNumberFormat="0" applyAlignment="0" applyProtection="0"/>
    <xf numFmtId="172" fontId="28" fillId="12" borderId="177">
      <alignment vertical="center"/>
      <protection locked="0"/>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195"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61" fillId="21" borderId="193" applyBorder="0"/>
    <xf numFmtId="4" fontId="56" fillId="19" borderId="191" applyNumberFormat="0" applyProtection="0">
      <alignment horizontal="right" vertical="center"/>
    </xf>
    <xf numFmtId="186" fontId="56" fillId="40" borderId="201" applyNumberFormat="0" applyFont="0" applyAlignment="0" applyProtection="0"/>
    <xf numFmtId="4" fontId="56" fillId="19" borderId="191" applyNumberFormat="0" applyProtection="0">
      <alignment horizontal="right" vertical="center"/>
    </xf>
    <xf numFmtId="186" fontId="56" fillId="40" borderId="191" applyNumberFormat="0" applyFont="0" applyAlignment="0" applyProtection="0"/>
    <xf numFmtId="186" fontId="28" fillId="50" borderId="177">
      <alignment vertical="center"/>
    </xf>
    <xf numFmtId="193" fontId="5" fillId="69" borderId="177">
      <alignment vertical="center"/>
    </xf>
    <xf numFmtId="191" fontId="28" fillId="51" borderId="177">
      <alignment horizontal="right" vertical="center"/>
      <protection locked="0"/>
    </xf>
    <xf numFmtId="186" fontId="44" fillId="0" borderId="196" applyNumberFormat="0" applyFill="0" applyAlignment="0" applyProtection="0"/>
    <xf numFmtId="4" fontId="56" fillId="57" borderId="195"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6" fontId="56" fillId="14" borderId="189" applyNumberFormat="0" applyProtection="0">
      <alignment horizontal="left" vertical="top" indent="1"/>
    </xf>
    <xf numFmtId="186" fontId="60" fillId="52" borderId="181"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0" fontId="27" fillId="14" borderId="189" applyNumberFormat="0" applyProtection="0">
      <alignment horizontal="left" vertical="top" indent="1"/>
    </xf>
    <xf numFmtId="193" fontId="5" fillId="7" borderId="186">
      <alignment vertical="center"/>
      <protection locked="0"/>
    </xf>
    <xf numFmtId="191" fontId="28" fillId="50" borderId="177">
      <alignment vertical="center"/>
    </xf>
    <xf numFmtId="186" fontId="56" fillId="63" borderId="181" applyNumberFormat="0" applyProtection="0">
      <alignment horizontal="left" vertical="top" indent="1"/>
    </xf>
    <xf numFmtId="4" fontId="56" fillId="58" borderId="191" applyNumberFormat="0" applyProtection="0">
      <alignment horizontal="right" vertical="center"/>
    </xf>
    <xf numFmtId="186" fontId="27" fillId="21" borderId="181" applyNumberFormat="0" applyProtection="0">
      <alignment horizontal="left" vertical="top" indent="1"/>
    </xf>
    <xf numFmtId="4" fontId="56" fillId="15" borderId="179" applyNumberFormat="0" applyProtection="0">
      <alignment horizontal="right" vertical="center"/>
    </xf>
    <xf numFmtId="186" fontId="56" fillId="21" borderId="181" applyNumberFormat="0" applyProtection="0">
      <alignment horizontal="left" vertical="top" indent="1"/>
    </xf>
    <xf numFmtId="4" fontId="27" fillId="21" borderId="195" applyNumberFormat="0" applyProtection="0">
      <alignment horizontal="left" vertical="center" indent="1"/>
    </xf>
    <xf numFmtId="4" fontId="56" fillId="16" borderId="191" applyNumberFormat="0" applyProtection="0">
      <alignment horizontal="right" vertical="center"/>
    </xf>
    <xf numFmtId="186" fontId="27" fillId="64" borderId="186" applyNumberFormat="0">
      <protection locked="0"/>
    </xf>
    <xf numFmtId="4" fontId="56" fillId="61" borderId="182" applyNumberFormat="0" applyProtection="0">
      <alignment horizontal="left" vertical="center" indent="1"/>
    </xf>
    <xf numFmtId="186" fontId="56" fillId="40" borderId="179" applyNumberFormat="0" applyFont="0" applyAlignment="0" applyProtection="0"/>
    <xf numFmtId="191" fontId="28" fillId="50" borderId="177">
      <alignment vertical="center"/>
    </xf>
    <xf numFmtId="186" fontId="62" fillId="15" borderId="181" applyNumberFormat="0" applyProtection="0">
      <alignment horizontal="left" vertical="top" indent="1"/>
    </xf>
    <xf numFmtId="186" fontId="62" fillId="48" borderId="189" applyNumberFormat="0" applyProtection="0">
      <alignment horizontal="left" vertical="top" indent="1"/>
    </xf>
    <xf numFmtId="186" fontId="56" fillId="14" borderId="189" applyNumberFormat="0" applyProtection="0">
      <alignment horizontal="left" vertical="top" indent="1"/>
    </xf>
    <xf numFmtId="186" fontId="56" fillId="63" borderId="191" applyNumberFormat="0" applyProtection="0">
      <alignment horizontal="left" vertical="center" indent="1"/>
    </xf>
    <xf numFmtId="186" fontId="27" fillId="15" borderId="189" applyNumberFormat="0" applyProtection="0">
      <alignment horizontal="left" vertical="center" indent="1"/>
    </xf>
    <xf numFmtId="4" fontId="56" fillId="15" borderId="191" applyNumberFormat="0" applyProtection="0">
      <alignment horizontal="right" vertical="center"/>
    </xf>
    <xf numFmtId="186" fontId="62"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14" borderId="181" applyNumberFormat="0" applyProtection="0">
      <alignment horizontal="left" vertical="top" indent="1"/>
    </xf>
    <xf numFmtId="0" fontId="27" fillId="63"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56" fillId="14" borderId="181" applyNumberFormat="0" applyProtection="0">
      <alignment horizontal="left" vertical="top" indent="1"/>
    </xf>
    <xf numFmtId="4" fontId="56" fillId="57" borderId="182" applyNumberFormat="0" applyProtection="0">
      <alignment horizontal="right" vertical="center"/>
    </xf>
    <xf numFmtId="186" fontId="56" fillId="63" borderId="181" applyNumberFormat="0" applyProtection="0">
      <alignment horizontal="left" vertical="top" indent="1"/>
    </xf>
    <xf numFmtId="188"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1" borderId="197">
      <alignment horizontal="right" vertical="center"/>
      <protection locked="0"/>
    </xf>
    <xf numFmtId="191" fontId="28" fillId="12" borderId="197">
      <alignment vertical="center"/>
      <protection locked="0"/>
    </xf>
    <xf numFmtId="186" fontId="56" fillId="14" borderId="181" applyNumberFormat="0" applyProtection="0">
      <alignment horizontal="left" vertical="top" indent="1"/>
    </xf>
    <xf numFmtId="4" fontId="74" fillId="87" borderId="181" applyNumberFormat="0" applyProtection="0">
      <alignment horizontal="right" vertical="center"/>
    </xf>
    <xf numFmtId="4" fontId="64" fillId="64" borderId="191" applyNumberFormat="0" applyProtection="0">
      <alignment horizontal="righ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4" fontId="59" fillId="53" borderId="191" applyNumberFormat="0" applyProtection="0">
      <alignment vertical="center"/>
    </xf>
    <xf numFmtId="186" fontId="56" fillId="21" borderId="189" applyNumberFormat="0" applyProtection="0">
      <alignment horizontal="left" vertical="top" indent="1"/>
    </xf>
    <xf numFmtId="186" fontId="50" fillId="41" borderId="191" applyNumberFormat="0" applyAlignment="0" applyProtection="0"/>
    <xf numFmtId="4" fontId="59" fillId="65" borderId="191" applyNumberFormat="0" applyProtection="0">
      <alignment horizontal="right" vertical="center"/>
    </xf>
    <xf numFmtId="186" fontId="56" fillId="63" borderId="181" applyNumberFormat="0" applyProtection="0">
      <alignment horizontal="left" vertical="top" indent="1"/>
    </xf>
    <xf numFmtId="4" fontId="56" fillId="61" borderId="182" applyNumberFormat="0" applyProtection="0">
      <alignment horizontal="left" vertical="center" indent="1"/>
    </xf>
    <xf numFmtId="188" fontId="5" fillId="13" borderId="186">
      <alignment vertical="center"/>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182" applyNumberFormat="0" applyProtection="0">
      <alignment horizontal="right" vertical="center"/>
    </xf>
    <xf numFmtId="186" fontId="56" fillId="63" borderId="181"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6" fillId="52" borderId="191" applyNumberFormat="0" applyProtection="0">
      <alignment vertical="center"/>
    </xf>
    <xf numFmtId="194" fontId="33" fillId="0" borderId="208" applyFill="0"/>
    <xf numFmtId="4" fontId="56" fillId="15" borderId="195" applyNumberFormat="0" applyProtection="0">
      <alignment horizontal="left" vertical="center" indent="1"/>
    </xf>
    <xf numFmtId="191" fontId="28" fillId="50" borderId="197">
      <alignment vertical="center"/>
    </xf>
    <xf numFmtId="4" fontId="56" fillId="54" borderId="191" applyNumberFormat="0" applyProtection="0">
      <alignment horizontal="left" vertical="center" indent="1"/>
    </xf>
    <xf numFmtId="186" fontId="62" fillId="15" borderId="199" applyNumberFormat="0" applyProtection="0">
      <alignment horizontal="left" vertical="top" indent="1"/>
    </xf>
    <xf numFmtId="4" fontId="56" fillId="54" borderId="191" applyNumberFormat="0" applyProtection="0">
      <alignment horizontal="left" vertical="center" indent="1"/>
    </xf>
    <xf numFmtId="37" fontId="33" fillId="0" borderId="194" applyNumberFormat="0"/>
    <xf numFmtId="186" fontId="57" fillId="44" borderId="192" applyNumberFormat="0" applyAlignment="0" applyProtection="0"/>
    <xf numFmtId="186" fontId="56" fillId="40" borderId="191" applyNumberFormat="0" applyFont="0" applyAlignment="0" applyProtection="0"/>
    <xf numFmtId="193" fontId="28" fillId="12" borderId="197">
      <alignment vertical="center"/>
      <protection locked="0"/>
    </xf>
    <xf numFmtId="186" fontId="28" fillId="50" borderId="177">
      <alignment vertical="center"/>
    </xf>
    <xf numFmtId="0" fontId="27" fillId="64" borderId="177" applyNumberFormat="0">
      <protection locked="0"/>
    </xf>
    <xf numFmtId="172" fontId="5" fillId="7" borderId="177">
      <alignment vertical="center"/>
      <protection locked="0"/>
    </xf>
    <xf numFmtId="186" fontId="27" fillId="63" borderId="189" applyNumberFormat="0" applyProtection="0">
      <alignment horizontal="left" vertical="top" indent="1"/>
    </xf>
    <xf numFmtId="4" fontId="62" fillId="11" borderId="189" applyNumberFormat="0" applyProtection="0">
      <alignment horizontal="left" vertical="center" indent="1"/>
    </xf>
    <xf numFmtId="193" fontId="28" fillId="50" borderId="177">
      <alignment vertical="center"/>
    </xf>
    <xf numFmtId="190" fontId="5" fillId="69" borderId="197">
      <alignment vertical="center"/>
    </xf>
    <xf numFmtId="186" fontId="56" fillId="15" borderId="189" applyNumberFormat="0" applyProtection="0">
      <alignment horizontal="left" vertical="top" indent="1"/>
    </xf>
    <xf numFmtId="4" fontId="62" fillId="48" borderId="189" applyNumberFormat="0" applyProtection="0">
      <alignment vertical="center"/>
    </xf>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4" fontId="27" fillId="21" borderId="195" applyNumberFormat="0" applyProtection="0">
      <alignment horizontal="left" vertical="center" indent="1"/>
    </xf>
    <xf numFmtId="4" fontId="62" fillId="11" borderId="189" applyNumberFormat="0" applyProtection="0">
      <alignment horizontal="left" vertical="center" indent="1"/>
    </xf>
    <xf numFmtId="186" fontId="42" fillId="44" borderId="191" applyNumberFormat="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6" borderId="179"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93" fontId="28" fillId="50" borderId="207">
      <alignment vertical="center"/>
    </xf>
    <xf numFmtId="186" fontId="27" fillId="14" borderId="181" applyNumberFormat="0" applyProtection="0">
      <alignment horizontal="left" vertical="center" indent="1"/>
    </xf>
    <xf numFmtId="186" fontId="60" fillId="52" borderId="181" applyNumberFormat="0" applyProtection="0">
      <alignment horizontal="left" vertical="top" indent="1"/>
    </xf>
    <xf numFmtId="4" fontId="56" fillId="14" borderId="205" applyNumberFormat="0" applyProtection="0">
      <alignment horizontal="left" vertical="center" indent="1"/>
    </xf>
    <xf numFmtId="4" fontId="56" fillId="15" borderId="195" applyNumberFormat="0" applyProtection="0">
      <alignment horizontal="left" vertical="center" indent="1"/>
    </xf>
    <xf numFmtId="186" fontId="56" fillId="21" borderId="189" applyNumberFormat="0" applyProtection="0">
      <alignment horizontal="left" vertical="top" indent="1"/>
    </xf>
    <xf numFmtId="4" fontId="56" fillId="23" borderId="179" applyNumberFormat="0" applyProtection="0">
      <alignment horizontal="right" vertical="center"/>
    </xf>
    <xf numFmtId="188" fontId="28" fillId="49" borderId="197">
      <alignmen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28" fillId="49" borderId="197">
      <alignment vertical="center"/>
    </xf>
    <xf numFmtId="4" fontId="27" fillId="21" borderId="182" applyNumberFormat="0" applyProtection="0">
      <alignment horizontal="left" vertical="center" indent="1"/>
    </xf>
    <xf numFmtId="4" fontId="56" fillId="58" borderId="191" applyNumberFormat="0" applyProtection="0">
      <alignment horizontal="right" vertical="center"/>
    </xf>
    <xf numFmtId="4" fontId="63" fillId="66" borderId="195" applyNumberFormat="0" applyProtection="0">
      <alignment horizontal="left" vertical="center" indent="1"/>
    </xf>
    <xf numFmtId="186" fontId="56" fillId="63" borderId="181" applyNumberFormat="0" applyProtection="0">
      <alignment horizontal="left" vertical="top" indent="1"/>
    </xf>
    <xf numFmtId="4" fontId="72" fillId="84" borderId="181" applyNumberFormat="0" applyProtection="0">
      <alignment horizontal="right" vertical="center"/>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27" fillId="21" borderId="182" applyNumberFormat="0" applyProtection="0">
      <alignment horizontal="left" vertical="center"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2" fillId="44" borderId="201" applyNumberFormat="0" applyAlignment="0" applyProtection="0"/>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1" borderId="179" applyNumberFormat="0" applyProtection="0">
      <alignment horizontal="left" vertical="center" indent="1"/>
    </xf>
    <xf numFmtId="4" fontId="56" fillId="58" borderId="191" applyNumberFormat="0" applyProtection="0">
      <alignment horizontal="right" vertical="center"/>
    </xf>
    <xf numFmtId="186" fontId="56" fillId="21" borderId="189" applyNumberFormat="0" applyProtection="0">
      <alignment horizontal="left" vertical="top" indent="1"/>
    </xf>
    <xf numFmtId="186" fontId="28" fillId="12" borderId="186">
      <alignment vertical="center"/>
      <protection locked="0"/>
    </xf>
    <xf numFmtId="186" fontId="56" fillId="40" borderId="179" applyNumberFormat="0" applyFont="0" applyAlignment="0" applyProtection="0"/>
    <xf numFmtId="186" fontId="60" fillId="52" borderId="189" applyNumberFormat="0" applyProtection="0">
      <alignment horizontal="left" vertical="top" indent="1"/>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0" fontId="5" fillId="69" borderId="177">
      <alignment vertical="center"/>
    </xf>
    <xf numFmtId="186" fontId="56" fillId="21" borderId="189" applyNumberFormat="0" applyProtection="0">
      <alignment horizontal="left" vertical="top" indent="1"/>
    </xf>
    <xf numFmtId="186" fontId="56" fillId="40" borderId="201" applyNumberFormat="0" applyFont="0" applyAlignment="0" applyProtection="0"/>
    <xf numFmtId="4" fontId="56" fillId="61"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4" fontId="64" fillId="64" borderId="179" applyNumberFormat="0" applyProtection="0">
      <alignment horizontal="right" vertical="center"/>
    </xf>
    <xf numFmtId="186" fontId="57" fillId="44" borderId="192" applyNumberFormat="0" applyAlignment="0" applyProtection="0"/>
    <xf numFmtId="186" fontId="28" fillId="12" borderId="186">
      <alignment vertical="center"/>
      <protection locked="0"/>
    </xf>
    <xf numFmtId="186" fontId="56" fillId="14" borderId="181" applyNumberFormat="0" applyProtection="0">
      <alignment horizontal="left" vertical="top" indent="1"/>
    </xf>
    <xf numFmtId="186" fontId="28" fillId="49"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4" borderId="179" applyNumberFormat="0" applyProtection="0">
      <alignment horizontal="left" vertical="center" indent="1"/>
    </xf>
    <xf numFmtId="186" fontId="56" fillId="15" borderId="199" applyNumberFormat="0" applyProtection="0">
      <alignment horizontal="left" vertical="top" indent="1"/>
    </xf>
    <xf numFmtId="4" fontId="56" fillId="19" borderId="201" applyNumberFormat="0" applyProtection="0">
      <alignment horizontal="right" vertical="center"/>
    </xf>
    <xf numFmtId="4" fontId="72" fillId="84" borderId="199" applyNumberFormat="0" applyProtection="0">
      <alignment horizontal="right" vertical="center"/>
    </xf>
    <xf numFmtId="4" fontId="27" fillId="21" borderId="205" applyNumberFormat="0" applyProtection="0">
      <alignment horizontal="left" vertical="center" indent="1"/>
    </xf>
    <xf numFmtId="186" fontId="56" fillId="14" borderId="189" applyNumberFormat="0" applyProtection="0">
      <alignment horizontal="left" vertical="top" indent="1"/>
    </xf>
    <xf numFmtId="4" fontId="64" fillId="64" borderId="191" applyNumberFormat="0" applyProtection="0">
      <alignment horizontal="right" vertical="center"/>
    </xf>
    <xf numFmtId="37" fontId="33" fillId="0" borderId="194" applyNumberFormat="0"/>
    <xf numFmtId="186" fontId="57" fillId="44" borderId="192" applyNumberFormat="0" applyAlignment="0" applyProtection="0"/>
    <xf numFmtId="188" fontId="5" fillId="70" borderId="177">
      <alignment horizontal="right" vertical="center"/>
      <protection locked="0"/>
    </xf>
    <xf numFmtId="4" fontId="56" fillId="14" borderId="195" applyNumberFormat="0" applyProtection="0">
      <alignment horizontal="left" vertical="center" indent="1"/>
    </xf>
    <xf numFmtId="190" fontId="28" fillId="51" borderId="197">
      <alignment horizontal="right" vertical="center"/>
      <protection locked="0"/>
    </xf>
    <xf numFmtId="37" fontId="33" fillId="0" borderId="194" applyNumberFormat="0"/>
    <xf numFmtId="4" fontId="59" fillId="65" borderId="201" applyNumberFormat="0" applyProtection="0">
      <alignment horizontal="right" vertical="center"/>
    </xf>
    <xf numFmtId="186" fontId="27" fillId="21" borderId="189" applyNumberFormat="0" applyProtection="0">
      <alignment horizontal="left" vertical="top" indent="1"/>
    </xf>
    <xf numFmtId="4" fontId="64" fillId="64"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4" fontId="56" fillId="58" borderId="191" applyNumberFormat="0" applyProtection="0">
      <alignment horizontal="right" vertical="center"/>
    </xf>
    <xf numFmtId="191" fontId="28" fillId="51" borderId="177">
      <alignment horizontal="right" vertical="center"/>
      <protection locked="0"/>
    </xf>
    <xf numFmtId="0" fontId="27" fillId="14" borderId="189" applyNumberFormat="0" applyProtection="0">
      <alignment horizontal="left" vertical="top" indent="1"/>
    </xf>
    <xf numFmtId="172" fontId="5" fillId="7" borderId="177">
      <alignment vertical="center"/>
      <protection locked="0"/>
    </xf>
    <xf numFmtId="186" fontId="56" fillId="14" borderId="199" applyNumberFormat="0" applyProtection="0">
      <alignment horizontal="left" vertical="top" indent="1"/>
    </xf>
    <xf numFmtId="4" fontId="62" fillId="48" borderId="189" applyNumberFormat="0" applyProtection="0">
      <alignment vertical="center"/>
    </xf>
    <xf numFmtId="191" fontId="28" fillId="50" borderId="177">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90" fontId="28" fillId="51" borderId="197">
      <alignment horizontal="right" vertical="center"/>
      <protection locked="0"/>
    </xf>
    <xf numFmtId="186" fontId="56" fillId="63" borderId="189" applyNumberFormat="0" applyProtection="0">
      <alignment horizontal="left" vertical="top" indent="1"/>
    </xf>
    <xf numFmtId="4" fontId="56" fillId="52" borderId="201" applyNumberFormat="0" applyProtection="0">
      <alignment vertical="center"/>
    </xf>
    <xf numFmtId="4" fontId="62" fillId="48" borderId="189" applyNumberFormat="0" applyProtection="0">
      <alignment vertical="center"/>
    </xf>
    <xf numFmtId="190" fontId="5" fillId="13" borderId="186">
      <alignment vertical="center"/>
    </xf>
    <xf numFmtId="186" fontId="56" fillId="63" borderId="191" applyNumberFormat="0" applyProtection="0">
      <alignment horizontal="left" vertical="center" indent="1"/>
    </xf>
    <xf numFmtId="186" fontId="56" fillId="15" borderId="181"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4" fontId="56" fillId="55" borderId="179" applyNumberFormat="0" applyProtection="0">
      <alignment horizontal="right" vertical="center"/>
    </xf>
    <xf numFmtId="4" fontId="56" fillId="61" borderId="182" applyNumberFormat="0" applyProtection="0">
      <alignment horizontal="left" vertical="center" indent="1"/>
    </xf>
    <xf numFmtId="186" fontId="56" fillId="40" borderId="179" applyNumberFormat="0" applyFont="0" applyAlignment="0" applyProtection="0"/>
    <xf numFmtId="193" fontId="28" fillId="12" borderId="207">
      <alignment vertical="center"/>
      <protection locked="0"/>
    </xf>
    <xf numFmtId="186" fontId="56" fillId="14" borderId="179" applyNumberFormat="0" applyProtection="0">
      <alignment horizontal="left" vertical="center" indent="1"/>
    </xf>
    <xf numFmtId="4" fontId="56" fillId="53" borderId="179"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56" fillId="21" borderId="189" applyNumberFormat="0" applyProtection="0">
      <alignment horizontal="left" vertical="top" indent="1"/>
    </xf>
    <xf numFmtId="4" fontId="56" fillId="57" borderId="182" applyNumberFormat="0" applyProtection="0">
      <alignment horizontal="right" vertical="center"/>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27" fillId="63" borderId="189" applyNumberFormat="0" applyProtection="0">
      <alignment horizontal="left" vertical="center" indent="1"/>
    </xf>
    <xf numFmtId="4" fontId="56" fillId="61" borderId="182" applyNumberFormat="0" applyProtection="0">
      <alignment horizontal="left" vertical="center" indent="1"/>
    </xf>
    <xf numFmtId="4" fontId="56" fillId="59" borderId="191" applyNumberFormat="0" applyProtection="0">
      <alignment horizontal="right" vertical="center"/>
    </xf>
    <xf numFmtId="4" fontId="64" fillId="64" borderId="191" applyNumberFormat="0" applyProtection="0">
      <alignment horizontal="right" vertical="center"/>
    </xf>
    <xf numFmtId="186" fontId="27" fillId="63" borderId="181" applyNumberFormat="0" applyProtection="0">
      <alignment horizontal="left" vertical="top" indent="1"/>
    </xf>
    <xf numFmtId="4" fontId="72" fillId="83" borderId="181" applyNumberFormat="0" applyProtection="0">
      <alignment horizontal="right" vertical="center"/>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56" fillId="61" borderId="182" applyNumberFormat="0" applyProtection="0">
      <alignment horizontal="left" vertical="center" indent="1"/>
    </xf>
    <xf numFmtId="186" fontId="56" fillId="40" borderId="179" applyNumberFormat="0" applyFont="0" applyAlignment="0" applyProtection="0"/>
    <xf numFmtId="186" fontId="56" fillId="14" borderId="189" applyNumberFormat="0" applyProtection="0">
      <alignment horizontal="left" vertical="top" indent="1"/>
    </xf>
    <xf numFmtId="4" fontId="56" fillId="15" borderId="195" applyNumberFormat="0" applyProtection="0">
      <alignment horizontal="left" vertical="center"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71" fillId="53" borderId="189" applyNumberFormat="0" applyProtection="0">
      <alignment vertical="center"/>
    </xf>
    <xf numFmtId="4" fontId="74" fillId="87" borderId="189" applyNumberFormat="0" applyProtection="0">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0" fontId="5" fillId="13" borderId="197">
      <alignment vertical="center"/>
    </xf>
    <xf numFmtId="188" fontId="5" fillId="7" borderId="197">
      <alignment vertical="center"/>
      <protection locked="0"/>
    </xf>
    <xf numFmtId="0" fontId="5" fillId="69" borderId="197">
      <alignment vertical="center"/>
    </xf>
    <xf numFmtId="0" fontId="5" fillId="7" borderId="197">
      <alignment vertical="center"/>
      <protection locked="0"/>
    </xf>
    <xf numFmtId="4" fontId="56" fillId="15" borderId="191" applyNumberFormat="0" applyProtection="0">
      <alignment horizontal="right" vertical="center"/>
    </xf>
    <xf numFmtId="186" fontId="56" fillId="40" borderId="191" applyNumberFormat="0" applyFont="0" applyAlignment="0" applyProtection="0"/>
    <xf numFmtId="190" fontId="28" fillId="49" borderId="207">
      <alignment vertical="center"/>
    </xf>
    <xf numFmtId="186" fontId="42" fillId="44" borderId="191" applyNumberFormat="0" applyAlignment="0" applyProtection="0"/>
    <xf numFmtId="186" fontId="56" fillId="40" borderId="191" applyNumberFormat="0" applyFont="0" applyAlignment="0" applyProtection="0"/>
    <xf numFmtId="186" fontId="56" fillId="14"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center" indent="1"/>
    </xf>
    <xf numFmtId="190" fontId="5" fillId="69" borderId="207">
      <alignmen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42" fillId="44" borderId="201" applyNumberFormat="0" applyAlignment="0" applyProtection="0"/>
    <xf numFmtId="172" fontId="28" fillId="12" borderId="197">
      <alignment vertical="center"/>
      <protection locked="0"/>
    </xf>
    <xf numFmtId="4" fontId="56" fillId="15" borderId="201" applyNumberFormat="0" applyProtection="0">
      <alignment horizontal="right" vertical="center"/>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59" fillId="53" borderId="201" applyNumberFormat="0" applyProtection="0">
      <alignment vertical="center"/>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9" fillId="53" borderId="19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0" fontId="27" fillId="15" borderId="199" applyNumberFormat="0" applyProtection="0">
      <alignment horizontal="left" vertical="top" indent="1"/>
    </xf>
    <xf numFmtId="4" fontId="70" fillId="86" borderId="199" applyNumberFormat="0" applyProtection="0">
      <alignment horizontal="left" vertical="center" indent="1"/>
    </xf>
    <xf numFmtId="193" fontId="28" fillId="50" borderId="207">
      <alignment vertical="center"/>
    </xf>
    <xf numFmtId="4" fontId="72" fillId="53" borderId="199" applyNumberFormat="0" applyProtection="0">
      <alignment horizontal="left" vertical="center" indent="1"/>
    </xf>
    <xf numFmtId="188" fontId="5" fillId="13" borderId="19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93" fontId="28" fillId="12" borderId="197">
      <alignment vertical="center"/>
      <protection locked="0"/>
    </xf>
    <xf numFmtId="4" fontId="62" fillId="48" borderId="189" applyNumberFormat="0" applyProtection="0">
      <alignment vertical="center"/>
    </xf>
    <xf numFmtId="186" fontId="56" fillId="40" borderId="201" applyNumberFormat="0" applyFont="0" applyAlignment="0" applyProtection="0"/>
    <xf numFmtId="186" fontId="62" fillId="15" borderId="189" applyNumberFormat="0" applyProtection="0">
      <alignment horizontal="left" vertical="top" indent="1"/>
    </xf>
    <xf numFmtId="186" fontId="56" fillId="11" borderId="19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90" fontId="28" fillId="49" borderId="197">
      <alignment vertical="center"/>
    </xf>
    <xf numFmtId="186" fontId="61" fillId="21" borderId="193" applyBorder="0"/>
    <xf numFmtId="191" fontId="28" fillId="50" borderId="207">
      <alignment vertical="center"/>
    </xf>
    <xf numFmtId="186" fontId="27" fillId="21" borderId="189" applyNumberFormat="0" applyProtection="0">
      <alignment horizontal="left" vertical="top" indent="1"/>
    </xf>
    <xf numFmtId="37" fontId="33" fillId="0" borderId="194" applyNumberFormat="0"/>
    <xf numFmtId="186" fontId="60" fillId="52" borderId="199" applyNumberFormat="0" applyProtection="0">
      <alignment horizontal="left" vertical="top" indent="1"/>
    </xf>
    <xf numFmtId="4" fontId="72" fillId="86" borderId="18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4" fontId="56" fillId="14" borderId="205" applyNumberFormat="0" applyProtection="0">
      <alignment horizontal="left" vertical="center" indent="1"/>
    </xf>
    <xf numFmtId="4" fontId="56" fillId="55"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42" fillId="44" borderId="201" applyNumberFormat="0" applyAlignment="0" applyProtection="0"/>
    <xf numFmtId="4" fontId="56" fillId="15" borderId="205" applyNumberFormat="0" applyProtection="0">
      <alignment horizontal="left" vertical="center" indent="1"/>
    </xf>
    <xf numFmtId="4" fontId="63" fillId="66" borderId="205" applyNumberFormat="0" applyProtection="0">
      <alignment horizontal="left" vertical="center"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61" borderId="205" applyNumberFormat="0" applyProtection="0">
      <alignment horizontal="left" vertical="center"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21" borderId="199" applyNumberFormat="0" applyProtection="0">
      <alignment horizontal="left" vertical="top" indent="1"/>
    </xf>
    <xf numFmtId="0" fontId="73" fillId="52" borderId="199" applyNumberFormat="0" applyProtection="0">
      <alignment horizontal="left" vertical="top" indent="1"/>
    </xf>
    <xf numFmtId="4" fontId="59" fillId="53" borderId="201" applyNumberFormat="0" applyProtection="0">
      <alignment vertical="center"/>
    </xf>
    <xf numFmtId="186" fontId="27" fillId="63" borderId="189" applyNumberFormat="0" applyProtection="0">
      <alignment horizontal="left" vertical="top" indent="1"/>
    </xf>
    <xf numFmtId="186" fontId="28" fillId="12" borderId="207">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9" fillId="12" borderId="197" applyNumberFormat="0" applyProtection="0">
      <alignment vertical="center"/>
    </xf>
    <xf numFmtId="186" fontId="56" fillId="21" borderId="181" applyNumberFormat="0" applyProtection="0">
      <alignment horizontal="left" vertical="top" indent="1"/>
    </xf>
    <xf numFmtId="186" fontId="28" fillId="12" borderId="197">
      <alignment vertical="center"/>
      <protection locked="0"/>
    </xf>
    <xf numFmtId="186" fontId="27" fillId="14" borderId="181" applyNumberFormat="0" applyProtection="0">
      <alignment horizontal="left" vertical="top"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86" fontId="56" fillId="15" borderId="181" applyNumberFormat="0" applyProtection="0">
      <alignment horizontal="left" vertical="top" indent="1"/>
    </xf>
    <xf numFmtId="186" fontId="28" fillId="50" borderId="186">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5" borderId="189" applyNumberFormat="0" applyProtection="0">
      <alignment horizontal="left" vertical="top" indent="1"/>
    </xf>
    <xf numFmtId="193" fontId="28" fillId="12" borderId="177">
      <alignment vertical="center"/>
      <protection locked="0"/>
    </xf>
    <xf numFmtId="186" fontId="27" fillId="14"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86" fontId="44" fillId="0" borderId="185" applyNumberFormat="0" applyFill="0" applyAlignment="0" applyProtection="0"/>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27" fillId="64" borderId="186" applyNumberFormat="0">
      <protection locked="0"/>
    </xf>
    <xf numFmtId="191" fontId="28" fillId="51" borderId="186">
      <alignment horizontal="right" vertical="center"/>
      <protection locked="0"/>
    </xf>
    <xf numFmtId="4" fontId="56" fillId="19" borderId="179" applyNumberFormat="0" applyProtection="0">
      <alignment horizontal="right" vertical="center"/>
    </xf>
    <xf numFmtId="186" fontId="60" fillId="52" borderId="181" applyNumberFormat="0" applyProtection="0">
      <alignment horizontal="left" vertical="top" indent="1"/>
    </xf>
    <xf numFmtId="4" fontId="56" fillId="23"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4" fontId="59" fillId="53" borderId="201" applyNumberFormat="0" applyProtection="0">
      <alignment vertical="center"/>
    </xf>
    <xf numFmtId="172" fontId="5" fillId="7" borderId="177">
      <alignment vertical="center"/>
      <protection locked="0"/>
    </xf>
    <xf numFmtId="188" fontId="5" fillId="13" borderId="177">
      <alignment vertical="center"/>
    </xf>
    <xf numFmtId="186" fontId="56" fillId="40" borderId="201" applyNumberFormat="0" applyFont="0" applyAlignment="0" applyProtection="0"/>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59" borderId="201" applyNumberFormat="0" applyProtection="0">
      <alignment horizontal="right" vertical="center"/>
    </xf>
    <xf numFmtId="186" fontId="60" fillId="52" borderId="199" applyNumberFormat="0" applyProtection="0">
      <alignment horizontal="left" vertical="top" indent="1"/>
    </xf>
    <xf numFmtId="186" fontId="27" fillId="21" borderId="189" applyNumberFormat="0" applyProtection="0">
      <alignment horizontal="left" vertical="top" indent="1"/>
    </xf>
    <xf numFmtId="4" fontId="56" fillId="23" borderId="201" applyNumberFormat="0" applyProtection="0">
      <alignment horizontal="right" vertical="center"/>
    </xf>
    <xf numFmtId="186" fontId="56" fillId="11" borderId="201" applyNumberFormat="0" applyProtection="0">
      <alignment horizontal="left" vertical="center" indent="1"/>
    </xf>
    <xf numFmtId="186" fontId="56" fillId="21" borderId="199" applyNumberFormat="0" applyProtection="0">
      <alignment horizontal="left" vertical="top" indent="1"/>
    </xf>
    <xf numFmtId="188" fontId="5" fillId="13" borderId="177">
      <alignmen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4" fontId="56" fillId="16" borderId="201" applyNumberFormat="0" applyProtection="0">
      <alignment horizontal="right" vertical="center"/>
    </xf>
    <xf numFmtId="4" fontId="56" fillId="15" borderId="205" applyNumberFormat="0" applyProtection="0">
      <alignment horizontal="left" vertical="center" indent="1"/>
    </xf>
    <xf numFmtId="4" fontId="62" fillId="48" borderId="199" applyNumberFormat="0" applyProtection="0">
      <alignmen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62" borderId="201" applyNumberFormat="0" applyProtection="0">
      <alignment horizontal="left" vertical="center" indent="1"/>
    </xf>
    <xf numFmtId="188" fontId="5" fillId="13" borderId="177">
      <alignment vertical="center"/>
    </xf>
    <xf numFmtId="186" fontId="56" fillId="14" borderId="199" applyNumberFormat="0" applyProtection="0">
      <alignment horizontal="left" vertical="top" indent="1"/>
    </xf>
    <xf numFmtId="186" fontId="56" fillId="63" borderId="201" applyNumberFormat="0" applyProtection="0">
      <alignment horizontal="left" vertical="center" indent="1"/>
    </xf>
    <xf numFmtId="4" fontId="56" fillId="55"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27" fillId="63" borderId="199" applyNumberFormat="0" applyProtection="0">
      <alignment horizontal="left" vertical="center" indent="1"/>
    </xf>
    <xf numFmtId="4" fontId="56" fillId="54" borderId="201" applyNumberFormat="0" applyProtection="0">
      <alignment horizontal="left" vertical="center" indent="1"/>
    </xf>
    <xf numFmtId="4" fontId="62" fillId="11" borderId="199"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15" borderId="205" applyNumberFormat="0" applyProtection="0">
      <alignment horizontal="left" vertical="center" indent="1"/>
    </xf>
    <xf numFmtId="186" fontId="42" fillId="44" borderId="201" applyNumberFormat="0" applyAlignment="0" applyProtection="0"/>
    <xf numFmtId="186" fontId="50" fillId="41" borderId="201" applyNumberForma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37" fontId="33" fillId="0" borderId="204" applyNumberFormat="0"/>
    <xf numFmtId="4" fontId="56" fillId="58"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56" fillId="40" borderId="20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37" fontId="33" fillId="0" borderId="204" applyNumberFormat="0"/>
    <xf numFmtId="4" fontId="56" fillId="23" borderId="201" applyNumberFormat="0" applyProtection="0">
      <alignment horizontal="right" vertical="center"/>
    </xf>
    <xf numFmtId="4" fontId="62" fillId="48" borderId="199" applyNumberFormat="0" applyProtection="0">
      <alignment vertical="center"/>
    </xf>
    <xf numFmtId="186" fontId="44" fillId="0" borderId="206" applyNumberFormat="0" applyFill="0" applyAlignment="0" applyProtection="0"/>
    <xf numFmtId="186" fontId="60" fillId="52" borderId="199" applyNumberFormat="0" applyProtection="0">
      <alignment horizontal="left" vertical="top" indent="1"/>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27"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90" fontId="28" fillId="49" borderId="177">
      <alignment vertical="center"/>
    </xf>
    <xf numFmtId="191" fontId="28" fillId="49" borderId="177">
      <alignment vertical="center"/>
    </xf>
    <xf numFmtId="191"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8" fontId="28" fillId="49" borderId="177">
      <alignment vertical="center"/>
    </xf>
    <xf numFmtId="188" fontId="28" fillId="49" borderId="177">
      <alignment vertical="center"/>
    </xf>
    <xf numFmtId="190" fontId="28" fillId="49" borderId="177">
      <alignment vertical="center"/>
    </xf>
    <xf numFmtId="191"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1" fontId="28" fillId="12" borderId="177">
      <alignment vertical="center"/>
      <protection locked="0"/>
    </xf>
    <xf numFmtId="191"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91" fontId="28" fillId="12" borderId="177">
      <alignment vertical="center"/>
      <protection locked="0"/>
    </xf>
    <xf numFmtId="191" fontId="28" fillId="50" borderId="177">
      <alignment vertical="center"/>
    </xf>
    <xf numFmtId="191"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88" fontId="28" fillId="50" borderId="177">
      <alignment vertical="center"/>
    </xf>
    <xf numFmtId="190"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1" borderId="177">
      <alignment horizontal="right" vertical="center"/>
      <protection locked="0"/>
    </xf>
    <xf numFmtId="186" fontId="28" fillId="51" borderId="177">
      <alignment horizontal="right" vertical="center"/>
      <protection locked="0"/>
    </xf>
    <xf numFmtId="186" fontId="28" fillId="51" borderId="177">
      <alignment horizontal="right" vertical="center"/>
      <protection locked="0"/>
    </xf>
    <xf numFmtId="190" fontId="28" fillId="51" borderId="177">
      <alignment horizontal="right" vertical="center"/>
      <protection locked="0"/>
    </xf>
    <xf numFmtId="188" fontId="28" fillId="51" borderId="177">
      <alignment horizontal="right" vertical="center"/>
      <protection locked="0"/>
    </xf>
    <xf numFmtId="190"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86" fontId="44" fillId="0" borderId="206" applyNumberFormat="0" applyFill="0" applyAlignment="0" applyProtection="0"/>
    <xf numFmtId="186" fontId="27" fillId="14" borderId="189" applyNumberFormat="0" applyProtection="0">
      <alignment horizontal="left" vertical="top" indent="1"/>
    </xf>
    <xf numFmtId="4" fontId="56" fillId="0" borderId="191"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61" fillId="21" borderId="193" applyBorder="0"/>
    <xf numFmtId="186" fontId="60" fillId="52"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56" fillId="23" borderId="191" applyNumberFormat="0" applyProtection="0">
      <alignment horizontal="right" vertical="center"/>
    </xf>
    <xf numFmtId="190" fontId="28" fillId="49" borderId="207">
      <alignment vertical="center"/>
    </xf>
    <xf numFmtId="186" fontId="27" fillId="64" borderId="177" applyNumberFormat="0">
      <protection locked="0"/>
    </xf>
    <xf numFmtId="4" fontId="59" fillId="12" borderId="177" applyNumberFormat="0" applyProtection="0">
      <alignment vertical="center"/>
    </xf>
    <xf numFmtId="186" fontId="56" fillId="67" borderId="177"/>
    <xf numFmtId="194" fontId="33" fillId="0" borderId="178" applyFill="0"/>
    <xf numFmtId="4" fontId="59" fillId="53" borderId="201" applyNumberFormat="0" applyProtection="0">
      <alignment vertical="center"/>
    </xf>
    <xf numFmtId="4" fontId="56" fillId="15" borderId="201" applyNumberFormat="0" applyProtection="0">
      <alignment horizontal="right" vertical="center"/>
    </xf>
    <xf numFmtId="186" fontId="50" fillId="41" borderId="201" applyNumberFormat="0" applyAlignment="0" applyProtection="0"/>
    <xf numFmtId="191" fontId="5" fillId="13" borderId="177">
      <alignment vertical="center"/>
    </xf>
    <xf numFmtId="188" fontId="5" fillId="13" borderId="177">
      <alignment vertical="center"/>
    </xf>
    <xf numFmtId="190" fontId="5" fillId="13" borderId="177">
      <alignment vertical="center"/>
    </xf>
    <xf numFmtId="191" fontId="5" fillId="7" borderId="177">
      <alignment vertical="center"/>
      <protection locked="0"/>
    </xf>
    <xf numFmtId="188" fontId="5" fillId="7" borderId="177">
      <alignment vertical="center"/>
      <protection locked="0"/>
    </xf>
    <xf numFmtId="196" fontId="5" fillId="69" borderId="177">
      <alignment vertical="center"/>
    </xf>
    <xf numFmtId="188" fontId="5" fillId="69" borderId="177">
      <alignment vertical="center"/>
    </xf>
    <xf numFmtId="190" fontId="5" fillId="69" borderId="177">
      <alignment vertical="center"/>
    </xf>
    <xf numFmtId="191" fontId="5" fillId="69" borderId="177">
      <alignment vertical="center"/>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94" fontId="33" fillId="0" borderId="178" applyFill="0"/>
    <xf numFmtId="191" fontId="5" fillId="69" borderId="177">
      <alignment vertical="center"/>
    </xf>
    <xf numFmtId="186" fontId="42" fillId="44" borderId="201" applyNumberFormat="0" applyAlignment="0" applyProtection="0"/>
    <xf numFmtId="186" fontId="56" fillId="14" borderId="181" applyNumberFormat="0" applyProtection="0">
      <alignment horizontal="left" vertical="top" indent="1"/>
    </xf>
    <xf numFmtId="186" fontId="44" fillId="0" borderId="185" applyNumberFormat="0" applyFill="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14" borderId="191" applyNumberFormat="0" applyProtection="0">
      <alignment horizontal="left" vertical="center" indent="1"/>
    </xf>
    <xf numFmtId="193" fontId="28" fillId="50" borderId="177">
      <alignment vertical="center"/>
    </xf>
    <xf numFmtId="186" fontId="28" fillId="12" borderId="197">
      <alignment vertical="center"/>
      <protection locked="0"/>
    </xf>
    <xf numFmtId="190" fontId="5" fillId="69" borderId="19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56" fillId="15" borderId="181" applyNumberFormat="0" applyProtection="0">
      <alignment horizontal="left" vertical="top" indent="1"/>
    </xf>
    <xf numFmtId="190" fontId="5" fillId="13" borderId="186">
      <alignment vertical="center"/>
    </xf>
    <xf numFmtId="186" fontId="56" fillId="40" borderId="191" applyNumberFormat="0" applyFont="0" applyAlignment="0" applyProtection="0"/>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56" fillId="15" borderId="181" applyNumberFormat="0" applyProtection="0">
      <alignment horizontal="left" vertical="top" indent="1"/>
    </xf>
    <xf numFmtId="186" fontId="56" fillId="14" borderId="191" applyNumberFormat="0" applyProtection="0">
      <alignment horizontal="left" vertical="center" indent="1"/>
    </xf>
    <xf numFmtId="4" fontId="56" fillId="56" borderId="179" applyNumberFormat="0" applyProtection="0">
      <alignment horizontal="right" vertical="center"/>
    </xf>
    <xf numFmtId="4" fontId="63" fillId="66" borderId="182" applyNumberFormat="0" applyProtection="0">
      <alignment horizontal="left" vertical="center" indent="1"/>
    </xf>
    <xf numFmtId="37" fontId="33" fillId="0" borderId="194" applyNumberFormat="0"/>
    <xf numFmtId="0" fontId="5" fillId="69" borderId="186">
      <alignment vertical="center"/>
    </xf>
    <xf numFmtId="186" fontId="42" fillId="44" borderId="191" applyNumberFormat="0" applyAlignment="0" applyProtection="0"/>
    <xf numFmtId="186" fontId="56" fillId="21" borderId="189" applyNumberFormat="0" applyProtection="0">
      <alignment horizontal="left" vertical="top" indent="1"/>
    </xf>
    <xf numFmtId="190" fontId="28" fillId="49" borderId="177">
      <alignment vertical="center"/>
    </xf>
    <xf numFmtId="186" fontId="56" fillId="21" borderId="181" applyNumberFormat="0" applyProtection="0">
      <alignment horizontal="left" vertical="top" indent="1"/>
    </xf>
    <xf numFmtId="4" fontId="56" fillId="57" borderId="195" applyNumberFormat="0" applyProtection="0">
      <alignment horizontal="right" vertical="center"/>
    </xf>
    <xf numFmtId="4" fontId="56" fillId="61" borderId="195" applyNumberFormat="0" applyProtection="0">
      <alignment horizontal="left" vertical="center" indent="1"/>
    </xf>
    <xf numFmtId="186" fontId="56" fillId="15" borderId="18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1" borderId="191" applyNumberFormat="0" applyProtection="0">
      <alignment horizontal="left" vertical="center" indent="1"/>
    </xf>
    <xf numFmtId="186" fontId="56" fillId="14" borderId="199" applyNumberFormat="0" applyProtection="0">
      <alignment horizontal="left" vertical="top" indent="1"/>
    </xf>
    <xf numFmtId="4" fontId="56" fillId="55" borderId="191" applyNumberFormat="0" applyProtection="0">
      <alignment horizontal="right" vertical="center"/>
    </xf>
    <xf numFmtId="4" fontId="27" fillId="21" borderId="205" applyNumberFormat="0" applyProtection="0">
      <alignment horizontal="left" vertical="center" indent="1"/>
    </xf>
    <xf numFmtId="186" fontId="62" fillId="48" borderId="189" applyNumberFormat="0" applyProtection="0">
      <alignment horizontal="left" vertical="top" indent="1"/>
    </xf>
    <xf numFmtId="4" fontId="56" fillId="16" borderId="191" applyNumberFormat="0" applyProtection="0">
      <alignment horizontal="right" vertical="center"/>
    </xf>
    <xf numFmtId="4" fontId="56" fillId="56" borderId="201" applyNumberFormat="0" applyProtection="0">
      <alignment horizontal="right" vertical="center"/>
    </xf>
    <xf numFmtId="4" fontId="56" fillId="60" borderId="201" applyNumberFormat="0" applyProtection="0">
      <alignment horizontal="right" vertical="center"/>
    </xf>
    <xf numFmtId="4" fontId="56" fillId="0" borderId="201" applyNumberFormat="0" applyProtection="0">
      <alignment horizontal="right" vertical="center"/>
    </xf>
    <xf numFmtId="186" fontId="56" fillId="63" borderId="199" applyNumberFormat="0" applyProtection="0">
      <alignment horizontal="left" vertical="top" indent="1"/>
    </xf>
    <xf numFmtId="4" fontId="56" fillId="58" borderId="201" applyNumberFormat="0" applyProtection="0">
      <alignment horizontal="right" vertical="center"/>
    </xf>
    <xf numFmtId="4" fontId="56" fillId="56"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4" fontId="62" fillId="48" borderId="199"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8" fontId="5" fillId="13" borderId="177">
      <alignment vertical="center"/>
    </xf>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64" fillId="64" borderId="191" applyNumberFormat="0" applyProtection="0">
      <alignment horizontal="right" vertical="center"/>
    </xf>
    <xf numFmtId="4" fontId="56" fillId="59" borderId="191" applyNumberFormat="0" applyProtection="0">
      <alignment horizontal="right" vertical="center"/>
    </xf>
    <xf numFmtId="186" fontId="57" fillId="44" borderId="192" applyNumberFormat="0" applyAlignment="0" applyProtection="0"/>
    <xf numFmtId="186" fontId="27" fillId="21" borderId="199" applyNumberFormat="0" applyProtection="0">
      <alignment horizontal="left" vertical="center" indent="1"/>
    </xf>
    <xf numFmtId="186" fontId="27"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90" fontId="28" fillId="49" borderId="177">
      <alignment vertical="center"/>
    </xf>
    <xf numFmtId="186" fontId="56" fillId="21" borderId="199" applyNumberFormat="0" applyProtection="0">
      <alignment horizontal="left" vertical="top" indent="1"/>
    </xf>
    <xf numFmtId="188" fontId="5" fillId="7" borderId="207">
      <alignment vertical="center"/>
      <protection locked="0"/>
    </xf>
    <xf numFmtId="190" fontId="28" fillId="51" borderId="197">
      <alignment horizontal="right" vertical="center"/>
      <protection locked="0"/>
    </xf>
    <xf numFmtId="188" fontId="28" fillId="49" borderId="197">
      <alignmen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center" indent="1"/>
    </xf>
    <xf numFmtId="4" fontId="56" fillId="60" borderId="191" applyNumberFormat="0" applyProtection="0">
      <alignment horizontal="right" vertical="center"/>
    </xf>
    <xf numFmtId="191" fontId="5" fillId="13" borderId="20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89" applyNumberFormat="0" applyProtection="0">
      <alignment horizontal="left" vertical="top" indent="1"/>
    </xf>
    <xf numFmtId="188" fontId="5" fillId="69" borderId="197">
      <alignment vertical="center"/>
    </xf>
    <xf numFmtId="191" fontId="28" fillId="50" borderId="197">
      <alignment vertical="center"/>
    </xf>
    <xf numFmtId="186" fontId="60" fillId="52" borderId="19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27" fillId="64" borderId="177" applyNumberFormat="0">
      <protection locked="0"/>
    </xf>
    <xf numFmtId="193" fontId="28" fillId="12" borderId="197">
      <alignmen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center" indent="1"/>
    </xf>
    <xf numFmtId="186" fontId="56" fillId="63" borderId="181" applyNumberFormat="0" applyProtection="0">
      <alignment horizontal="left" vertical="top" indent="1"/>
    </xf>
    <xf numFmtId="191" fontId="5" fillId="70" borderId="197">
      <alignment horizontal="right" vertical="center"/>
      <protection locked="0"/>
    </xf>
    <xf numFmtId="186" fontId="56" fillId="14" borderId="181" applyNumberFormat="0" applyProtection="0">
      <alignment horizontal="left" vertical="top" indent="1"/>
    </xf>
    <xf numFmtId="4" fontId="56" fillId="14" borderId="195" applyNumberFormat="0" applyProtection="0">
      <alignment horizontal="left" vertical="center" indent="1"/>
    </xf>
    <xf numFmtId="190" fontId="5" fillId="70" borderId="186">
      <alignment horizontal="right" vertical="center"/>
      <protection locked="0"/>
    </xf>
    <xf numFmtId="186" fontId="60" fillId="52" borderId="189" applyNumberFormat="0" applyProtection="0">
      <alignment horizontal="left" vertical="top" indent="1"/>
    </xf>
    <xf numFmtId="186" fontId="27" fillId="15" borderId="189" applyNumberFormat="0" applyProtection="0">
      <alignment horizontal="left" vertical="top" indent="1"/>
    </xf>
    <xf numFmtId="186" fontId="56" fillId="11" borderId="179" applyNumberFormat="0" applyProtection="0">
      <alignment horizontal="left" vertical="center" indent="1"/>
    </xf>
    <xf numFmtId="4" fontId="62" fillId="48" borderId="189" applyNumberFormat="0" applyProtection="0">
      <alignment vertical="center"/>
    </xf>
    <xf numFmtId="186" fontId="56" fillId="63" borderId="181" applyNumberFormat="0" applyProtection="0">
      <alignment horizontal="left" vertical="top" indent="1"/>
    </xf>
    <xf numFmtId="4" fontId="59" fillId="65" borderId="179" applyNumberFormat="0" applyProtection="0">
      <alignment horizontal="right" vertical="center"/>
    </xf>
    <xf numFmtId="4" fontId="56" fillId="61" borderId="195" applyNumberFormat="0" applyProtection="0">
      <alignment horizontal="left" vertical="center" indent="1"/>
    </xf>
    <xf numFmtId="186" fontId="27" fillId="14" borderId="199" applyNumberFormat="0" applyProtection="0">
      <alignment horizontal="left" vertical="center" indent="1"/>
    </xf>
    <xf numFmtId="186" fontId="56" fillId="40" borderId="179" applyNumberFormat="0" applyFont="0" applyAlignment="0" applyProtection="0"/>
    <xf numFmtId="186" fontId="28" fillId="12" borderId="177">
      <alignment vertical="center"/>
      <protection locked="0"/>
    </xf>
    <xf numFmtId="193" fontId="28" fillId="50" borderId="186">
      <alignment vertical="center"/>
    </xf>
    <xf numFmtId="186" fontId="62" fillId="48" borderId="189" applyNumberFormat="0" applyProtection="0">
      <alignment horizontal="left" vertical="top" indent="1"/>
    </xf>
    <xf numFmtId="186" fontId="57" fillId="44" borderId="192" applyNumberFormat="0" applyAlignment="0" applyProtection="0"/>
    <xf numFmtId="186" fontId="56" fillId="63" borderId="181" applyNumberFormat="0" applyProtection="0">
      <alignment horizontal="left" vertical="top" indent="1"/>
    </xf>
    <xf numFmtId="186" fontId="27" fillId="63" borderId="189" applyNumberFormat="0" applyProtection="0">
      <alignment horizontal="left" vertical="center"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186" fontId="56" fillId="14" borderId="181" applyNumberFormat="0" applyProtection="0">
      <alignment horizontal="left" vertical="top" indent="1"/>
    </xf>
    <xf numFmtId="186" fontId="61" fillId="21" borderId="193" applyBorder="0"/>
    <xf numFmtId="4" fontId="64" fillId="64" borderId="179" applyNumberFormat="0" applyProtection="0">
      <alignment horizontal="right" vertical="center"/>
    </xf>
    <xf numFmtId="186" fontId="56" fillId="62" borderId="191" applyNumberFormat="0" applyProtection="0">
      <alignment horizontal="left" vertical="center" indent="1"/>
    </xf>
    <xf numFmtId="186" fontId="27" fillId="21" borderId="181" applyNumberFormat="0" applyProtection="0">
      <alignment horizontal="left" vertical="center" indent="1"/>
    </xf>
    <xf numFmtId="4" fontId="62" fillId="48" borderId="181" applyNumberFormat="0" applyProtection="0">
      <alignment vertical="center"/>
    </xf>
    <xf numFmtId="186" fontId="56" fillId="21" borderId="181" applyNumberFormat="0" applyProtection="0">
      <alignment horizontal="left" vertical="top" indent="1"/>
    </xf>
    <xf numFmtId="37" fontId="33" fillId="0" borderId="184" applyNumberFormat="0"/>
    <xf numFmtId="186" fontId="42" fillId="44" borderId="179" applyNumberFormat="0" applyAlignment="0" applyProtection="0"/>
    <xf numFmtId="186" fontId="56" fillId="11" borderId="179"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55" borderId="191" applyNumberFormat="0" applyProtection="0">
      <alignment horizontal="right" vertical="center"/>
    </xf>
    <xf numFmtId="191" fontId="5" fillId="13" borderId="186">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27" fillId="15" borderId="199" applyNumberFormat="0" applyProtection="0">
      <alignment horizontal="left" vertical="center"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63" borderId="191" applyNumberFormat="0" applyProtection="0">
      <alignment horizontal="left" vertical="center" indent="1"/>
    </xf>
    <xf numFmtId="4" fontId="56" fillId="60" borderId="179" applyNumberFormat="0" applyProtection="0">
      <alignment horizontal="right" vertical="center"/>
    </xf>
    <xf numFmtId="186" fontId="56" fillId="21" borderId="181" applyNumberFormat="0" applyProtection="0">
      <alignment horizontal="left" vertical="top" indent="1"/>
    </xf>
    <xf numFmtId="4" fontId="63" fillId="66" borderId="182" applyNumberFormat="0" applyProtection="0">
      <alignment horizontal="left" vertical="center" indent="1"/>
    </xf>
    <xf numFmtId="4" fontId="56" fillId="56"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6" fontId="61" fillId="21" borderId="203" applyBorder="0"/>
    <xf numFmtId="186" fontId="56" fillId="63" borderId="199" applyNumberFormat="0" applyProtection="0">
      <alignment horizontal="left" vertical="top" indent="1"/>
    </xf>
    <xf numFmtId="194" fontId="33" fillId="0" borderId="178" applyFill="0"/>
    <xf numFmtId="186" fontId="56" fillId="40" borderId="201" applyNumberFormat="0" applyFont="0" applyAlignment="0" applyProtection="0"/>
    <xf numFmtId="186" fontId="57" fillId="44" borderId="202"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1" applyNumberFormat="0" applyProtection="0">
      <alignment horizontal="left" vertical="center"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72" fillId="87" borderId="199" applyNumberFormat="0" applyProtection="0">
      <alignment vertical="center"/>
    </xf>
    <xf numFmtId="186" fontId="56" fillId="62" borderId="201" applyNumberFormat="0" applyProtection="0">
      <alignment horizontal="left" vertical="center" indent="1"/>
    </xf>
    <xf numFmtId="186" fontId="56" fillId="40" borderId="201" applyNumberFormat="0" applyFont="0" applyAlignment="0" applyProtection="0"/>
    <xf numFmtId="4" fontId="56" fillId="60" borderId="191" applyNumberFormat="0" applyProtection="0">
      <alignment horizontal="right" vertical="center"/>
    </xf>
    <xf numFmtId="186" fontId="56" fillId="14" borderId="199" applyNumberFormat="0" applyProtection="0">
      <alignment horizontal="left" vertical="top" indent="1"/>
    </xf>
    <xf numFmtId="4" fontId="56" fillId="59" borderId="191" applyNumberFormat="0" applyProtection="0">
      <alignment horizontal="right" vertical="center"/>
    </xf>
    <xf numFmtId="186" fontId="27" fillId="63" borderId="199" applyNumberFormat="0" applyProtection="0">
      <alignment horizontal="left" vertical="center"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27" fillId="14" borderId="199" applyNumberFormat="0" applyProtection="0">
      <alignment horizontal="left" vertical="center" indent="1"/>
    </xf>
    <xf numFmtId="191" fontId="28" fillId="12" borderId="177">
      <alignment vertical="center"/>
      <protection locked="0"/>
    </xf>
    <xf numFmtId="4" fontId="56" fillId="58" borderId="191" applyNumberFormat="0" applyProtection="0">
      <alignment horizontal="right" vertical="center"/>
    </xf>
    <xf numFmtId="186" fontId="56" fillId="63" borderId="189" applyNumberFormat="0" applyProtection="0">
      <alignment horizontal="left" vertical="top" indent="1"/>
    </xf>
    <xf numFmtId="4" fontId="59" fillId="12" borderId="197" applyNumberFormat="0" applyProtection="0">
      <alignment vertical="center"/>
    </xf>
    <xf numFmtId="186" fontId="56" fillId="40" borderId="191" applyNumberFormat="0" applyFont="0" applyAlignment="0" applyProtection="0"/>
    <xf numFmtId="4" fontId="76" fillId="87" borderId="189" applyNumberFormat="0" applyProtection="0">
      <alignment horizontal="right" vertical="center"/>
    </xf>
    <xf numFmtId="4" fontId="56" fillId="55" borderId="191" applyNumberFormat="0" applyProtection="0">
      <alignment horizontal="right" vertical="center"/>
    </xf>
    <xf numFmtId="4" fontId="56" fillId="61" borderId="205" applyNumberFormat="0" applyProtection="0">
      <alignment horizontal="left" vertical="center" indent="1"/>
    </xf>
    <xf numFmtId="4" fontId="62" fillId="11" borderId="189" applyNumberFormat="0" applyProtection="0">
      <alignment horizontal="left" vertical="center" indent="1"/>
    </xf>
    <xf numFmtId="186" fontId="56" fillId="21" borderId="181"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0" fontId="37" fillId="15" borderId="189" applyNumberFormat="0" applyProtection="0">
      <alignment horizontal="left" vertical="top" indent="1"/>
    </xf>
    <xf numFmtId="191" fontId="5" fillId="7" borderId="186">
      <alignment vertical="center"/>
      <protection locked="0"/>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42" fillId="44" borderId="191" applyNumberFormat="0" applyAlignment="0" applyProtection="0"/>
    <xf numFmtId="4" fontId="56" fillId="23" borderId="201" applyNumberFormat="0" applyProtection="0">
      <alignment horizontal="right" vertical="center"/>
    </xf>
    <xf numFmtId="186" fontId="56" fillId="21" borderId="181" applyNumberFormat="0" applyProtection="0">
      <alignment horizontal="left" vertical="top" indent="1"/>
    </xf>
    <xf numFmtId="186" fontId="56" fillId="21" borderId="181" applyNumberFormat="0" applyProtection="0">
      <alignment horizontal="left" vertical="top" indent="1"/>
    </xf>
    <xf numFmtId="37" fontId="33" fillId="0" borderId="194" applyNumberFormat="0"/>
    <xf numFmtId="186" fontId="56" fillId="21" borderId="189" applyNumberFormat="0" applyProtection="0">
      <alignment horizontal="left" vertical="top" indent="1"/>
    </xf>
    <xf numFmtId="186" fontId="62" fillId="15" borderId="181" applyNumberFormat="0" applyProtection="0">
      <alignment horizontal="left" vertical="top" indent="1"/>
    </xf>
    <xf numFmtId="186" fontId="27" fillId="21" borderId="181" applyNumberFormat="0" applyProtection="0">
      <alignment horizontal="left" vertical="top" indent="1"/>
    </xf>
    <xf numFmtId="191" fontId="28" fillId="49" borderId="186">
      <alignment vertical="center"/>
    </xf>
    <xf numFmtId="186" fontId="42" fillId="44" borderId="191" applyNumberFormat="0" applyAlignment="0" applyProtection="0"/>
    <xf numFmtId="186" fontId="56" fillId="15" borderId="19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90" fontId="28" fillId="51" borderId="177">
      <alignment horizontal="right" vertical="center"/>
      <protection locked="0"/>
    </xf>
    <xf numFmtId="186" fontId="27" fillId="21" borderId="189" applyNumberFormat="0" applyProtection="0">
      <alignment horizontal="left" vertical="center" indent="1"/>
    </xf>
    <xf numFmtId="4" fontId="56" fillId="14" borderId="195" applyNumberFormat="0" applyProtection="0">
      <alignment horizontal="left" vertical="center" indent="1"/>
    </xf>
    <xf numFmtId="186" fontId="27" fillId="15" borderId="181" applyNumberFormat="0" applyProtection="0">
      <alignment horizontal="left" vertical="top" indent="1"/>
    </xf>
    <xf numFmtId="186" fontId="56" fillId="40" borderId="191" applyNumberFormat="0" applyFont="0" applyAlignment="0" applyProtection="0"/>
    <xf numFmtId="186" fontId="56" fillId="14" borderId="191" applyNumberFormat="0" applyProtection="0">
      <alignment horizontal="left" vertical="center" indent="1"/>
    </xf>
    <xf numFmtId="186" fontId="56" fillId="40" borderId="191" applyNumberFormat="0" applyFont="0" applyAlignment="0" applyProtection="0"/>
    <xf numFmtId="4" fontId="72" fillId="87" borderId="181" applyNumberFormat="0" applyProtection="0">
      <alignment horizontal="right" vertical="center"/>
    </xf>
    <xf numFmtId="188" fontId="5" fillId="69" borderId="186">
      <alignment vertical="center"/>
    </xf>
    <xf numFmtId="186" fontId="27" fillId="14"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40" borderId="179" applyNumberFormat="0" applyFont="0" applyAlignment="0" applyProtection="0"/>
    <xf numFmtId="186" fontId="56" fillId="14" borderId="181" applyNumberFormat="0" applyProtection="0">
      <alignment horizontal="left" vertical="top" indent="1"/>
    </xf>
    <xf numFmtId="186" fontId="56" fillId="40" borderId="179" applyNumberFormat="0" applyFont="0" applyAlignment="0" applyProtection="0"/>
    <xf numFmtId="186" fontId="27" fillId="15" borderId="181" applyNumberFormat="0" applyProtection="0">
      <alignment horizontal="left" vertical="top" indent="1"/>
    </xf>
    <xf numFmtId="186" fontId="28" fillId="12" borderId="186">
      <alignment vertical="center"/>
      <protection locked="0"/>
    </xf>
    <xf numFmtId="194" fontId="33" fillId="0" borderId="178" applyFill="0"/>
    <xf numFmtId="186" fontId="56" fillId="14" borderId="181" applyNumberFormat="0" applyProtection="0">
      <alignment horizontal="left" vertical="top" indent="1"/>
    </xf>
    <xf numFmtId="4" fontId="64" fillId="64" borderId="179" applyNumberFormat="0" applyProtection="0">
      <alignment horizontal="right" vertical="center"/>
    </xf>
    <xf numFmtId="191" fontId="5" fillId="69" borderId="186">
      <alignment vertical="center"/>
    </xf>
    <xf numFmtId="186" fontId="42" fillId="44" borderId="179" applyNumberFormat="0" applyAlignment="0" applyProtection="0"/>
    <xf numFmtId="186" fontId="50" fillId="41" borderId="179" applyNumberFormat="0" applyAlignment="0" applyProtection="0"/>
    <xf numFmtId="194" fontId="33" fillId="0" borderId="178" applyFill="0"/>
    <xf numFmtId="193" fontId="28" fillId="50" borderId="197">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28" fillId="49" borderId="177">
      <alignment vertical="center"/>
    </xf>
    <xf numFmtId="186" fontId="56" fillId="63" borderId="189" applyNumberFormat="0" applyProtection="0">
      <alignment horizontal="left" vertical="top" indent="1"/>
    </xf>
    <xf numFmtId="186" fontId="28" fillId="49" borderId="197">
      <alignment vertical="center"/>
    </xf>
    <xf numFmtId="4" fontId="63" fillId="66" borderId="195"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27" fillId="15" borderId="181" applyNumberFormat="0" applyProtection="0">
      <alignment horizontal="left" vertical="center"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91" fontId="28" fillId="51" borderId="197">
      <alignment horizontal="righ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4" fontId="56" fillId="53" borderId="179" applyNumberFormat="0" applyProtection="0">
      <alignment horizontal="left" vertical="center" indent="1"/>
    </xf>
    <xf numFmtId="4" fontId="56" fillId="0" borderId="179" applyNumberFormat="0" applyProtection="0">
      <alignment horizontal="right" vertical="center"/>
    </xf>
    <xf numFmtId="4" fontId="56" fillId="57" borderId="195" applyNumberFormat="0" applyProtection="0">
      <alignment horizontal="right" vertical="center"/>
    </xf>
    <xf numFmtId="188" fontId="5" fillId="69" borderId="186">
      <alignment vertical="center"/>
    </xf>
    <xf numFmtId="186" fontId="27" fillId="63" borderId="189" applyNumberFormat="0" applyProtection="0">
      <alignment horizontal="left" vertical="center" indent="1"/>
    </xf>
    <xf numFmtId="191" fontId="28" fillId="50" borderId="186">
      <alignment vertical="center"/>
    </xf>
    <xf numFmtId="186" fontId="56" fillId="15" borderId="189" applyNumberFormat="0" applyProtection="0">
      <alignment horizontal="left" vertical="top" indent="1"/>
    </xf>
    <xf numFmtId="186" fontId="57" fillId="44" borderId="180" applyNumberFormat="0" applyAlignment="0" applyProtection="0"/>
    <xf numFmtId="186" fontId="60" fillId="52" borderId="189" applyNumberFormat="0" applyProtection="0">
      <alignment horizontal="left" vertical="top" indent="1"/>
    </xf>
    <xf numFmtId="186" fontId="42" fillId="44" borderId="191" applyNumberFormat="0" applyAlignment="0" applyProtection="0"/>
    <xf numFmtId="186" fontId="42" fillId="44" borderId="191" applyNumberFormat="0" applyAlignment="0" applyProtection="0"/>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14" borderId="189" applyNumberFormat="0" applyProtection="0">
      <alignment horizontal="left" vertical="top" indent="1"/>
    </xf>
    <xf numFmtId="0" fontId="5" fillId="70" borderId="177">
      <alignment horizontal="righ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62" fillId="48" borderId="189" applyNumberFormat="0" applyProtection="0">
      <alignment horizontal="left" vertical="top" indent="1"/>
    </xf>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4" fontId="56" fillId="60" borderId="201" applyNumberFormat="0" applyProtection="0">
      <alignment horizontal="right" vertical="center"/>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44" fillId="0" borderId="206" applyNumberFormat="0" applyFill="0" applyAlignment="0" applyProtection="0"/>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27" fillId="63" borderId="199" applyNumberFormat="0" applyProtection="0">
      <alignment horizontal="left" vertical="center" indent="1"/>
    </xf>
    <xf numFmtId="0" fontId="5" fillId="13" borderId="177">
      <alignment vertical="center"/>
    </xf>
    <xf numFmtId="191" fontId="28" fillId="12" borderId="207">
      <alignment vertical="center"/>
      <protection locked="0"/>
    </xf>
    <xf numFmtId="186" fontId="27" fillId="63" borderId="199" applyNumberFormat="0" applyProtection="0">
      <alignment horizontal="left" vertical="top" indent="1"/>
    </xf>
    <xf numFmtId="186" fontId="27" fillId="21" borderId="189" applyNumberFormat="0" applyProtection="0">
      <alignment horizontal="left" vertical="top" indent="1"/>
    </xf>
    <xf numFmtId="4" fontId="56" fillId="0" borderId="191" applyNumberFormat="0" applyProtection="0">
      <alignment horizontal="right" vertical="center"/>
    </xf>
    <xf numFmtId="4" fontId="56" fillId="55"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27" fillId="21" borderId="189" applyNumberFormat="0" applyProtection="0">
      <alignment horizontal="left" vertical="center" indent="1"/>
    </xf>
    <xf numFmtId="191" fontId="28" fillId="50" borderId="177">
      <alignment vertical="center"/>
    </xf>
    <xf numFmtId="4" fontId="27" fillId="21" borderId="205" applyNumberFormat="0" applyProtection="0">
      <alignment horizontal="left" vertical="center" indent="1"/>
    </xf>
    <xf numFmtId="186" fontId="28" fillId="49" borderId="197">
      <alignment vertical="center"/>
    </xf>
    <xf numFmtId="186" fontId="56" fillId="63" borderId="189" applyNumberFormat="0" applyProtection="0">
      <alignment horizontal="left" vertical="top" indent="1"/>
    </xf>
    <xf numFmtId="191" fontId="28" fillId="51" borderId="197">
      <alignment horizontal="right" vertical="center"/>
      <protection locked="0"/>
    </xf>
    <xf numFmtId="186" fontId="56" fillId="21" borderId="189" applyNumberFormat="0" applyProtection="0">
      <alignment horizontal="left" vertical="top" indent="1"/>
    </xf>
    <xf numFmtId="191" fontId="5" fillId="13" borderId="197">
      <alignment vertical="center"/>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201" applyNumberFormat="0" applyProtection="0">
      <alignment horizontal="right" vertical="center"/>
    </xf>
    <xf numFmtId="186" fontId="56" fillId="21" borderId="189" applyNumberFormat="0" applyProtection="0">
      <alignment horizontal="left" vertical="top" indent="1"/>
    </xf>
    <xf numFmtId="4" fontId="56" fillId="60"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28" fillId="49" borderId="207">
      <alignment vertical="center"/>
    </xf>
    <xf numFmtId="186" fontId="56" fillId="14" borderId="189" applyNumberFormat="0" applyProtection="0">
      <alignment horizontal="left" vertical="top" indent="1"/>
    </xf>
    <xf numFmtId="37" fontId="33" fillId="0" borderId="194" applyNumberFormat="0"/>
    <xf numFmtId="0" fontId="73" fillId="52" borderId="189" applyNumberFormat="0" applyProtection="0">
      <alignment horizontal="left" vertical="top" indent="1"/>
    </xf>
    <xf numFmtId="0" fontId="5" fillId="13" borderId="177">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59" fillId="53" borderId="191" applyNumberFormat="0" applyProtection="0">
      <alignment vertical="center"/>
    </xf>
    <xf numFmtId="4" fontId="59" fillId="65" borderId="191" applyNumberFormat="0" applyProtection="0">
      <alignment horizontal="right" vertical="center"/>
    </xf>
    <xf numFmtId="186" fontId="56" fillId="40" borderId="191" applyNumberFormat="0" applyFont="0" applyAlignment="0" applyProtection="0"/>
    <xf numFmtId="4" fontId="56" fillId="15" borderId="191" applyNumberFormat="0" applyProtection="0">
      <alignment horizontal="right" vertical="center"/>
    </xf>
    <xf numFmtId="186" fontId="56" fillId="15" borderId="181" applyNumberFormat="0" applyProtection="0">
      <alignment horizontal="left" vertical="top" indent="1"/>
    </xf>
    <xf numFmtId="186" fontId="27" fillId="14" borderId="189" applyNumberFormat="0" applyProtection="0">
      <alignment horizontal="left" vertical="top" indent="1"/>
    </xf>
    <xf numFmtId="186" fontId="27" fillId="14" borderId="181" applyNumberFormat="0" applyProtection="0">
      <alignment horizontal="left" vertical="top" indent="1"/>
    </xf>
    <xf numFmtId="186" fontId="56" fillId="21" borderId="189" applyNumberFormat="0" applyProtection="0">
      <alignment horizontal="left" vertical="top" indent="1"/>
    </xf>
    <xf numFmtId="0" fontId="5" fillId="70" borderId="186">
      <alignment horizontal="righ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4" fontId="27" fillId="21" borderId="182" applyNumberFormat="0" applyProtection="0">
      <alignment horizontal="left" vertical="center" indent="1"/>
    </xf>
    <xf numFmtId="186" fontId="62" fillId="48" borderId="189" applyNumberFormat="0" applyProtection="0">
      <alignment horizontal="left" vertical="top" indent="1"/>
    </xf>
    <xf numFmtId="186" fontId="56" fillId="63" borderId="181" applyNumberFormat="0" applyProtection="0">
      <alignment horizontal="left" vertical="top" indent="1"/>
    </xf>
    <xf numFmtId="186" fontId="61" fillId="21" borderId="183" applyBorder="0"/>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79" applyNumberFormat="0" applyFont="0" applyAlignment="0" applyProtection="0"/>
    <xf numFmtId="188" fontId="28" fillId="49" borderId="177">
      <alignment vertical="center"/>
    </xf>
    <xf numFmtId="191" fontId="28" fillId="50" borderId="186">
      <alignment vertical="center"/>
    </xf>
    <xf numFmtId="186" fontId="56" fillId="14" borderId="189" applyNumberFormat="0" applyProtection="0">
      <alignment horizontal="left" vertical="top" indent="1"/>
    </xf>
    <xf numFmtId="4" fontId="56" fillId="59" borderId="191" applyNumberFormat="0" applyProtection="0">
      <alignment horizontal="right" vertical="center"/>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top" indent="1"/>
    </xf>
    <xf numFmtId="4" fontId="59" fillId="53" borderId="191" applyNumberFormat="0" applyProtection="0">
      <alignment vertical="center"/>
    </xf>
    <xf numFmtId="190" fontId="28" fillId="50" borderId="197">
      <alignment vertical="center"/>
    </xf>
    <xf numFmtId="186" fontId="56" fillId="63" borderId="191" applyNumberFormat="0" applyProtection="0">
      <alignment horizontal="left" vertical="center" indent="1"/>
    </xf>
    <xf numFmtId="186" fontId="27" fillId="14" borderId="181" applyNumberFormat="0" applyProtection="0">
      <alignment horizontal="left" vertical="top" indent="1"/>
    </xf>
    <xf numFmtId="186" fontId="62" fillId="48" borderId="189" applyNumberFormat="0" applyProtection="0">
      <alignment horizontal="left" vertical="top" indent="1"/>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40" borderId="179" applyNumberFormat="0" applyFont="0" applyAlignment="0" applyProtection="0"/>
    <xf numFmtId="186" fontId="27" fillId="21" borderId="181" applyNumberFormat="0" applyProtection="0">
      <alignment horizontal="left" vertical="top" indent="1"/>
    </xf>
    <xf numFmtId="4" fontId="64" fillId="64" borderId="179" applyNumberFormat="0" applyProtection="0">
      <alignment horizontal="right" vertical="center"/>
    </xf>
    <xf numFmtId="4" fontId="27" fillId="21" borderId="182" applyNumberFormat="0" applyProtection="0">
      <alignment horizontal="left" vertical="center" indent="1"/>
    </xf>
    <xf numFmtId="186" fontId="27" fillId="14" borderId="181" applyNumberFormat="0" applyProtection="0">
      <alignment horizontal="left" vertical="top" indent="1"/>
    </xf>
    <xf numFmtId="191" fontId="28" fillId="50" borderId="186">
      <alignment vertical="center"/>
    </xf>
    <xf numFmtId="4" fontId="56" fillId="59" borderId="191" applyNumberFormat="0" applyProtection="0">
      <alignment horizontal="right" vertical="center"/>
    </xf>
    <xf numFmtId="186" fontId="56" fillId="40" borderId="191" applyNumberFormat="0" applyFont="0" applyAlignment="0" applyProtection="0"/>
    <xf numFmtId="186" fontId="56" fillId="63" borderId="189" applyNumberFormat="0" applyProtection="0">
      <alignment horizontal="left" vertical="top" indent="1"/>
    </xf>
    <xf numFmtId="37" fontId="33" fillId="0" borderId="204" applyNumberFormat="0"/>
    <xf numFmtId="186" fontId="56" fillId="63" borderId="201" applyNumberFormat="0" applyProtection="0">
      <alignment horizontal="left" vertical="center" indent="1"/>
    </xf>
    <xf numFmtId="191" fontId="28" fillId="50" borderId="207">
      <alignment vertical="center"/>
    </xf>
    <xf numFmtId="186" fontId="56" fillId="11" borderId="19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40" borderId="191" applyNumberFormat="0" applyFont="0" applyAlignment="0" applyProtection="0"/>
    <xf numFmtId="4" fontId="56" fillId="58" borderId="179" applyNumberFormat="0" applyProtection="0">
      <alignment horizontal="right" vertical="center"/>
    </xf>
    <xf numFmtId="186" fontId="57" fillId="44" borderId="180" applyNumberFormat="0" applyAlignment="0" applyProtection="0"/>
    <xf numFmtId="4" fontId="56" fillId="0" borderId="179" applyNumberFormat="0" applyProtection="0">
      <alignment horizontal="right" vertical="center"/>
    </xf>
    <xf numFmtId="4" fontId="56" fillId="53" borderId="179" applyNumberFormat="0" applyProtection="0">
      <alignment horizontal="left" vertical="center" indent="1"/>
    </xf>
    <xf numFmtId="186" fontId="27" fillId="63" borderId="181" applyNumberFormat="0" applyProtection="0">
      <alignment horizontal="left" vertical="center" indent="1"/>
    </xf>
    <xf numFmtId="191" fontId="28" fillId="50" borderId="186">
      <alignment vertical="center"/>
    </xf>
    <xf numFmtId="186" fontId="42" fillId="44" borderId="201" applyNumberFormat="0" applyAlignment="0" applyProtection="0"/>
    <xf numFmtId="186" fontId="27" fillId="63" borderId="199" applyNumberFormat="0" applyProtection="0">
      <alignment horizontal="left" vertical="center" indent="1"/>
    </xf>
    <xf numFmtId="194" fontId="33" fillId="0" borderId="178" applyFill="0"/>
    <xf numFmtId="0" fontId="27" fillId="15" borderId="181" applyNumberFormat="0" applyProtection="0">
      <alignment horizontal="left" vertical="center"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56" fillId="63" borderId="181" applyNumberFormat="0" applyProtection="0">
      <alignment horizontal="left" vertical="top" indent="1"/>
    </xf>
    <xf numFmtId="186" fontId="57" fillId="44" borderId="180" applyNumberFormat="0" applyAlignment="0" applyProtection="0"/>
    <xf numFmtId="186" fontId="56" fillId="14" borderId="181" applyNumberFormat="0" applyProtection="0">
      <alignment horizontal="left" vertical="top" indent="1"/>
    </xf>
    <xf numFmtId="193" fontId="5" fillId="69" borderId="186">
      <alignment vertical="center"/>
    </xf>
    <xf numFmtId="186" fontId="27" fillId="14" borderId="181"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4" fontId="56" fillId="54" borderId="191" applyNumberFormat="0" applyProtection="0">
      <alignment horizontal="left" vertical="center" indent="1"/>
    </xf>
    <xf numFmtId="186" fontId="60" fillId="52" borderId="189" applyNumberFormat="0" applyProtection="0">
      <alignment horizontal="left" vertical="top" indent="1"/>
    </xf>
    <xf numFmtId="186" fontId="62" fillId="15" borderId="189" applyNumberFormat="0" applyProtection="0">
      <alignment horizontal="left" vertical="top" indent="1"/>
    </xf>
    <xf numFmtId="4" fontId="56" fillId="15" borderId="179" applyNumberFormat="0" applyProtection="0">
      <alignment horizontal="right" vertical="center"/>
    </xf>
    <xf numFmtId="4" fontId="59" fillId="65" borderId="179" applyNumberFormat="0" applyProtection="0">
      <alignment horizontal="right" vertical="center"/>
    </xf>
    <xf numFmtId="186" fontId="56" fillId="40" borderId="179" applyNumberFormat="0" applyFont="0" applyAlignment="0" applyProtection="0"/>
    <xf numFmtId="4" fontId="56" fillId="16" borderId="179" applyNumberFormat="0" applyProtection="0">
      <alignment horizontal="right" vertical="center"/>
    </xf>
    <xf numFmtId="4" fontId="56" fillId="23" borderId="191" applyNumberFormat="0" applyProtection="0">
      <alignment horizontal="right" vertical="center"/>
    </xf>
    <xf numFmtId="4" fontId="56" fillId="15" borderId="191" applyNumberFormat="0" applyProtection="0">
      <alignment horizontal="right" vertical="center"/>
    </xf>
    <xf numFmtId="4" fontId="56" fillId="54" borderId="179" applyNumberFormat="0" applyProtection="0">
      <alignment horizontal="left" vertical="center" indent="1"/>
    </xf>
    <xf numFmtId="4" fontId="63" fillId="66" borderId="182" applyNumberFormat="0" applyProtection="0">
      <alignment horizontal="left" vertical="center" indent="1"/>
    </xf>
    <xf numFmtId="186" fontId="56" fillId="21" borderId="189" applyNumberFormat="0" applyProtection="0">
      <alignment horizontal="left" vertical="top" indent="1"/>
    </xf>
    <xf numFmtId="4" fontId="56" fillId="14" borderId="195" applyNumberFormat="0" applyProtection="0">
      <alignment horizontal="left" vertical="center" indent="1"/>
    </xf>
    <xf numFmtId="0" fontId="5" fillId="7" borderId="186">
      <alignment vertical="center"/>
      <protection locked="0"/>
    </xf>
    <xf numFmtId="0" fontId="27" fillId="63"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80" applyNumberFormat="0" applyAlignment="0" applyProtection="0"/>
    <xf numFmtId="186" fontId="27"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91" fontId="28" fillId="51" borderId="197">
      <alignment horizontal="right" vertical="center"/>
      <protection locked="0"/>
    </xf>
    <xf numFmtId="186" fontId="56" fillId="67" borderId="177"/>
    <xf numFmtId="4" fontId="64" fillId="64" borderId="191" applyNumberFormat="0" applyProtection="0">
      <alignment horizontal="right" vertical="center"/>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89" applyNumberFormat="0" applyProtection="0">
      <alignment horizontal="left" vertical="top" indent="1"/>
    </xf>
    <xf numFmtId="4" fontId="56" fillId="54" borderId="191" applyNumberFormat="0" applyProtection="0">
      <alignment horizontal="left" vertical="center" indent="1"/>
    </xf>
    <xf numFmtId="190" fontId="5" fillId="13" borderId="207">
      <alignment vertical="center"/>
    </xf>
    <xf numFmtId="186" fontId="61" fillId="21" borderId="193" applyBorder="0"/>
    <xf numFmtId="4" fontId="56" fillId="53" borderId="191" applyNumberFormat="0" applyProtection="0">
      <alignment horizontal="left" vertical="center" indent="1"/>
    </xf>
    <xf numFmtId="4" fontId="59" fillId="65" borderId="19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27" fillId="63" borderId="18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21" borderId="199" applyNumberFormat="0" applyProtection="0">
      <alignment horizontal="left" vertical="top" indent="1"/>
    </xf>
    <xf numFmtId="186" fontId="50" fillId="41" borderId="201" applyNumberFormat="0" applyAlignment="0" applyProtection="0"/>
    <xf numFmtId="172" fontId="28" fillId="12" borderId="197">
      <alignment vertical="center"/>
      <protection locked="0"/>
    </xf>
    <xf numFmtId="4" fontId="56" fillId="52" borderId="179" applyNumberFormat="0" applyProtection="0">
      <alignment vertical="center"/>
    </xf>
    <xf numFmtId="4" fontId="56" fillId="0" borderId="201" applyNumberFormat="0" applyProtection="0">
      <alignment horizontal="right" vertical="center"/>
    </xf>
    <xf numFmtId="172" fontId="28" fillId="12" borderId="186">
      <alignment vertical="center"/>
      <protection locked="0"/>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7" fillId="21" borderId="199" applyNumberFormat="0" applyProtection="0">
      <alignment horizontal="left" vertical="top" indent="1"/>
    </xf>
    <xf numFmtId="186" fontId="62" fillId="15" borderId="189" applyNumberFormat="0" applyProtection="0">
      <alignment horizontal="left" vertical="top" indent="1"/>
    </xf>
    <xf numFmtId="186" fontId="27" fillId="64" borderId="197" applyNumberFormat="0">
      <protection locked="0"/>
    </xf>
    <xf numFmtId="186" fontId="56" fillId="40" borderId="191" applyNumberFormat="0" applyFont="0" applyAlignment="0" applyProtection="0"/>
    <xf numFmtId="193" fontId="28" fillId="50" borderId="186">
      <alignment vertical="center"/>
    </xf>
    <xf numFmtId="186" fontId="27" fillId="63" borderId="181" applyNumberFormat="0" applyProtection="0">
      <alignment horizontal="left" vertical="top"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86" fontId="56" fillId="21" borderId="181" applyNumberFormat="0" applyProtection="0">
      <alignment horizontal="left" vertical="top" indent="1"/>
    </xf>
    <xf numFmtId="4" fontId="56" fillId="19" borderId="179" applyNumberFormat="0" applyProtection="0">
      <alignment horizontal="right" vertical="center"/>
    </xf>
    <xf numFmtId="194" fontId="33" fillId="0" borderId="178" applyFill="0"/>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56" fillId="40" borderId="191" applyNumberFormat="0" applyFont="0" applyAlignment="0" applyProtection="0"/>
    <xf numFmtId="0" fontId="5" fillId="13" borderId="186">
      <alignment vertical="center"/>
    </xf>
    <xf numFmtId="186" fontId="42" fillId="44" borderId="179" applyNumberFormat="0" applyAlignment="0" applyProtection="0"/>
    <xf numFmtId="4" fontId="56" fillId="57" borderId="195" applyNumberFormat="0" applyProtection="0">
      <alignment horizontal="right" vertical="center"/>
    </xf>
    <xf numFmtId="191" fontId="28" fillId="51" borderId="186">
      <alignment horizontal="right" vertical="center"/>
      <protection locked="0"/>
    </xf>
    <xf numFmtId="186" fontId="56" fillId="14"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86" fontId="56" fillId="21" borderId="181" applyNumberFormat="0" applyProtection="0">
      <alignment horizontal="left" vertical="top" indent="1"/>
    </xf>
    <xf numFmtId="190" fontId="5" fillId="70" borderId="186">
      <alignment horizontal="right" vertical="center"/>
      <protection locked="0"/>
    </xf>
    <xf numFmtId="186" fontId="57" fillId="44" borderId="180" applyNumberFormat="0" applyAlignment="0" applyProtection="0"/>
    <xf numFmtId="4" fontId="56" fillId="15" borderId="191" applyNumberFormat="0" applyProtection="0">
      <alignment horizontal="right" vertical="center"/>
    </xf>
    <xf numFmtId="186" fontId="62" fillId="15"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4" fontId="56" fillId="23" borderId="191" applyNumberFormat="0" applyProtection="0">
      <alignment horizontal="right" vertical="center"/>
    </xf>
    <xf numFmtId="4" fontId="56" fillId="59" borderId="201" applyNumberFormat="0" applyProtection="0">
      <alignment horizontal="right" vertical="center"/>
    </xf>
    <xf numFmtId="193" fontId="28" fillId="50" borderId="186">
      <alignment vertical="center"/>
    </xf>
    <xf numFmtId="186" fontId="56" fillId="21" borderId="19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186" fontId="56" fillId="40" borderId="191" applyNumberFormat="0" applyFont="0" applyAlignment="0" applyProtection="0"/>
    <xf numFmtId="186" fontId="62" fillId="48"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4" fontId="56" fillId="14" borderId="182"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8" fontId="5" fillId="70" borderId="186">
      <alignment horizontal="right" vertical="center"/>
      <protection locked="0"/>
    </xf>
    <xf numFmtId="193" fontId="28" fillId="50" borderId="197">
      <alignment vertical="center"/>
    </xf>
    <xf numFmtId="186" fontId="56" fillId="14" borderId="181" applyNumberFormat="0" applyProtection="0">
      <alignment horizontal="left" vertical="top" indent="1"/>
    </xf>
    <xf numFmtId="186" fontId="28" fillId="50" borderId="207">
      <alignment vertical="center"/>
    </xf>
    <xf numFmtId="186" fontId="56" fillId="15" borderId="181" applyNumberFormat="0" applyProtection="0">
      <alignment horizontal="left" vertical="top" indent="1"/>
    </xf>
    <xf numFmtId="4" fontId="56" fillId="15" borderId="195" applyNumberFormat="0" applyProtection="0">
      <alignment horizontal="left" vertical="center" indent="1"/>
    </xf>
    <xf numFmtId="191" fontId="28" fillId="50" borderId="177">
      <alignment vertical="center"/>
    </xf>
    <xf numFmtId="186" fontId="56" fillId="63" borderId="189" applyNumberFormat="0" applyProtection="0">
      <alignment horizontal="left" vertical="top" indent="1"/>
    </xf>
    <xf numFmtId="186" fontId="62" fillId="48" borderId="189" applyNumberFormat="0" applyProtection="0">
      <alignment horizontal="left" vertical="top" indent="1"/>
    </xf>
    <xf numFmtId="0" fontId="5" fillId="13" borderId="177">
      <alignment vertical="center"/>
    </xf>
    <xf numFmtId="4" fontId="72" fillId="78" borderId="189" applyNumberFormat="0" applyProtection="0">
      <alignment horizontal="right" vertical="center"/>
    </xf>
    <xf numFmtId="186" fontId="56" fillId="14" borderId="189" applyNumberFormat="0" applyProtection="0">
      <alignment horizontal="left" vertical="top" indent="1"/>
    </xf>
    <xf numFmtId="186" fontId="62" fillId="48" borderId="189" applyNumberFormat="0" applyProtection="0">
      <alignment horizontal="left" vertical="top" indent="1"/>
    </xf>
    <xf numFmtId="186" fontId="56" fillId="63" borderId="199" applyNumberFormat="0" applyProtection="0">
      <alignment horizontal="left" vertical="top" indent="1"/>
    </xf>
    <xf numFmtId="186" fontId="56" fillId="40" borderId="191" applyNumberFormat="0" applyFont="0" applyAlignment="0" applyProtection="0"/>
    <xf numFmtId="4" fontId="56" fillId="14" borderId="19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186" fontId="27" fillId="21" borderId="199" applyNumberFormat="0" applyProtection="0">
      <alignment horizontal="left" vertical="center" indent="1"/>
    </xf>
    <xf numFmtId="186" fontId="28" fillId="12" borderId="177">
      <alignment vertical="center"/>
      <protection locked="0"/>
    </xf>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5" borderId="199" applyNumberFormat="0" applyProtection="0">
      <alignment horizontal="left" vertical="top" indent="1"/>
    </xf>
    <xf numFmtId="186" fontId="57" fillId="44" borderId="202" applyNumberFormat="0" applyAlignment="0" applyProtection="0"/>
    <xf numFmtId="186" fontId="42" fillId="44" borderId="191" applyNumberFormat="0" applyAlignment="0" applyProtection="0"/>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4" fontId="62" fillId="11" borderId="199" applyNumberFormat="0" applyProtection="0">
      <alignment horizontal="left" vertical="center" indent="1"/>
    </xf>
    <xf numFmtId="0" fontId="5" fillId="13" borderId="177">
      <alignment vertical="center"/>
    </xf>
    <xf numFmtId="186" fontId="56" fillId="63" borderId="199" applyNumberFormat="0" applyProtection="0">
      <alignment horizontal="left" vertical="top" indent="1"/>
    </xf>
    <xf numFmtId="191" fontId="28" fillId="49" borderId="207">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4" fontId="62" fillId="11" borderId="189"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8"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19" borderId="201" applyNumberFormat="0" applyProtection="0">
      <alignment horizontal="right" vertical="center"/>
    </xf>
    <xf numFmtId="186" fontId="60" fillId="52" borderId="199" applyNumberFormat="0" applyProtection="0">
      <alignment horizontal="left" vertical="top" indent="1"/>
    </xf>
    <xf numFmtId="4" fontId="56" fillId="59" borderId="191" applyNumberFormat="0" applyProtection="0">
      <alignment horizontal="right" vertical="center"/>
    </xf>
    <xf numFmtId="4" fontId="62" fillId="48" borderId="189" applyNumberFormat="0" applyProtection="0">
      <alignment vertical="center"/>
    </xf>
    <xf numFmtId="186" fontId="57" fillId="44" borderId="202"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21" borderId="189" applyNumberFormat="0" applyProtection="0">
      <alignment horizontal="left" vertical="top" indent="1"/>
    </xf>
    <xf numFmtId="190" fontId="5" fillId="69" borderId="177">
      <alignment vertical="center"/>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63" borderId="189" applyNumberFormat="0" applyProtection="0">
      <alignment horizontal="left" vertical="top" indent="1"/>
    </xf>
    <xf numFmtId="188" fontId="5" fillId="70" borderId="197">
      <alignment horizontal="righ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9" fillId="53" borderId="191" applyNumberFormat="0" applyProtection="0">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50" borderId="197">
      <alignment vertical="center"/>
    </xf>
    <xf numFmtId="188" fontId="5" fillId="70" borderId="177">
      <alignment horizontal="right" vertical="center"/>
      <protection locked="0"/>
    </xf>
    <xf numFmtId="186" fontId="61" fillId="21" borderId="193" applyBorder="0"/>
    <xf numFmtId="186" fontId="56" fillId="40" borderId="191" applyNumberFormat="0" applyFont="0" applyAlignment="0" applyProtection="0"/>
    <xf numFmtId="186" fontId="27" fillId="15" borderId="189" applyNumberFormat="0" applyProtection="0">
      <alignment horizontal="left" vertical="top" indent="1"/>
    </xf>
    <xf numFmtId="186" fontId="56" fillId="40" borderId="201" applyNumberFormat="0" applyFont="0" applyAlignment="0" applyProtection="0"/>
    <xf numFmtId="186" fontId="60" fillId="52" borderId="189" applyNumberFormat="0" applyProtection="0">
      <alignment horizontal="left" vertical="top" indent="1"/>
    </xf>
    <xf numFmtId="4" fontId="56" fillId="55" borderId="191" applyNumberFormat="0" applyProtection="0">
      <alignment horizontal="right" vertical="center"/>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27" fillId="21" borderId="189" applyNumberFormat="0" applyProtection="0">
      <alignment horizontal="left" vertical="top" indent="1"/>
    </xf>
    <xf numFmtId="186" fontId="57" fillId="44" borderId="192" applyNumberFormat="0" applyAlignment="0" applyProtection="0"/>
    <xf numFmtId="190" fontId="5" fillId="69" borderId="186">
      <alignment vertical="center"/>
    </xf>
    <xf numFmtId="186" fontId="27" fillId="21" borderId="199" applyNumberFormat="0" applyProtection="0">
      <alignment horizontal="left" vertical="center"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90" fontId="28" fillId="51" borderId="177">
      <alignment horizontal="righ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91" fontId="5" fillId="13" borderId="186">
      <alignment vertical="center"/>
    </xf>
    <xf numFmtId="186" fontId="27" fillId="15" borderId="181" applyNumberFormat="0" applyProtection="0">
      <alignment horizontal="left" vertical="top" indent="1"/>
    </xf>
    <xf numFmtId="193" fontId="28" fillId="12" borderId="186">
      <alignment vertical="center"/>
      <protection locked="0"/>
    </xf>
    <xf numFmtId="186" fontId="56" fillId="21" borderId="189" applyNumberFormat="0" applyProtection="0">
      <alignment horizontal="left" vertical="top" indent="1"/>
    </xf>
    <xf numFmtId="186" fontId="56" fillId="15" borderId="181" applyNumberFormat="0" applyProtection="0">
      <alignment horizontal="left" vertical="top" indent="1"/>
    </xf>
    <xf numFmtId="37" fontId="33" fillId="0" borderId="194" applyNumberFormat="0"/>
    <xf numFmtId="193" fontId="28" fillId="12" borderId="197">
      <alignment vertical="center"/>
      <protection locked="0"/>
    </xf>
    <xf numFmtId="186" fontId="56" fillId="40" borderId="191" applyNumberFormat="0" applyFont="0" applyAlignment="0" applyProtection="0"/>
    <xf numFmtId="186" fontId="56" fillId="21" borderId="199" applyNumberFormat="0" applyProtection="0">
      <alignment horizontal="left" vertical="top" indent="1"/>
    </xf>
    <xf numFmtId="186" fontId="27"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8" fontId="28" fillId="51" borderId="197">
      <alignment horizontal="right" vertical="center"/>
      <protection locked="0"/>
    </xf>
    <xf numFmtId="191" fontId="5" fillId="69" borderId="186">
      <alignment vertical="center"/>
    </xf>
    <xf numFmtId="186" fontId="56" fillId="21" borderId="181" applyNumberFormat="0" applyProtection="0">
      <alignment horizontal="left" vertical="top" indent="1"/>
    </xf>
    <xf numFmtId="193" fontId="28" fillId="12" borderId="186">
      <alignment vertical="center"/>
      <protection locked="0"/>
    </xf>
    <xf numFmtId="186" fontId="27" fillId="15" borderId="181" applyNumberFormat="0" applyProtection="0">
      <alignment horizontal="left" vertical="center" indent="1"/>
    </xf>
    <xf numFmtId="186" fontId="56" fillId="40" borderId="179" applyNumberFormat="0" applyFont="0" applyAlignment="0" applyProtection="0"/>
    <xf numFmtId="186" fontId="56" fillId="14" borderId="181" applyNumberFormat="0" applyProtection="0">
      <alignment horizontal="left" vertical="top" indent="1"/>
    </xf>
    <xf numFmtId="186" fontId="56" fillId="21" borderId="181" applyNumberFormat="0" applyProtection="0">
      <alignment horizontal="left" vertical="top" indent="1"/>
    </xf>
    <xf numFmtId="37" fontId="33" fillId="0" borderId="184" applyNumberFormat="0"/>
    <xf numFmtId="186" fontId="56" fillId="63" borderId="181" applyNumberFormat="0" applyProtection="0">
      <alignment horizontal="left" vertical="top" indent="1"/>
    </xf>
    <xf numFmtId="186" fontId="27" fillId="14" borderId="181" applyNumberFormat="0" applyProtection="0">
      <alignment horizontal="left" vertical="center" indent="1"/>
    </xf>
    <xf numFmtId="186" fontId="56" fillId="63"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62" fillId="48" borderId="199" applyNumberFormat="0" applyProtection="0">
      <alignment horizontal="left" vertical="top" indent="1"/>
    </xf>
    <xf numFmtId="186" fontId="56" fillId="62" borderId="201"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186" fontId="27"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4" fontId="59" fillId="53" borderId="201" applyNumberFormat="0" applyProtection="0">
      <alignment vertical="center"/>
    </xf>
    <xf numFmtId="186" fontId="56" fillId="15" borderId="199" applyNumberFormat="0" applyProtection="0">
      <alignment horizontal="left" vertical="top" indent="1"/>
    </xf>
    <xf numFmtId="186" fontId="44" fillId="0" borderId="206" applyNumberFormat="0" applyFill="0" applyAlignment="0" applyProtection="0"/>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188" fontId="5" fillId="69" borderId="186">
      <alignment vertical="center"/>
    </xf>
    <xf numFmtId="4" fontId="70" fillId="86" borderId="188" applyNumberFormat="0" applyProtection="0">
      <alignment horizontal="left" vertical="center" indent="1"/>
    </xf>
    <xf numFmtId="186" fontId="27" fillId="64" borderId="186" applyNumberFormat="0">
      <protection locked="0"/>
    </xf>
    <xf numFmtId="172" fontId="28" fillId="12" borderId="207">
      <alignment vertical="center"/>
      <protection locked="0"/>
    </xf>
    <xf numFmtId="186" fontId="56" fillId="14" borderId="189" applyNumberFormat="0" applyProtection="0">
      <alignment horizontal="left" vertical="top" indent="1"/>
    </xf>
    <xf numFmtId="4" fontId="56" fillId="60" borderId="20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86" fontId="56" fillId="21" borderId="181" applyNumberFormat="0" applyProtection="0">
      <alignment horizontal="left" vertical="top" indent="1"/>
    </xf>
    <xf numFmtId="37" fontId="33" fillId="0" borderId="184" applyNumberFormat="0"/>
    <xf numFmtId="186" fontId="56" fillId="21" borderId="189" applyNumberFormat="0" applyProtection="0">
      <alignment horizontal="left" vertical="top" indent="1"/>
    </xf>
    <xf numFmtId="190" fontId="28" fillId="49" borderId="186">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21" borderId="181" applyNumberFormat="0" applyProtection="0">
      <alignment horizontal="left" vertical="center" indent="1"/>
    </xf>
    <xf numFmtId="4" fontId="59" fillId="65" borderId="179" applyNumberFormat="0" applyProtection="0">
      <alignment horizontal="right" vertical="center"/>
    </xf>
    <xf numFmtId="188" fontId="5" fillId="70" borderId="207">
      <alignment horizontal="right" vertical="center"/>
      <protection locked="0"/>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28" fillId="50" borderId="177">
      <alignment vertical="center"/>
    </xf>
    <xf numFmtId="186" fontId="27" fillId="21" borderId="181" applyNumberFormat="0" applyProtection="0">
      <alignment horizontal="left" vertical="top" indent="1"/>
    </xf>
    <xf numFmtId="186" fontId="56" fillId="21" borderId="181" applyNumberFormat="0" applyProtection="0">
      <alignment horizontal="left" vertical="top" indent="1"/>
    </xf>
    <xf numFmtId="186" fontId="56" fillId="40" borderId="201" applyNumberFormat="0" applyFont="0" applyAlignment="0" applyProtection="0"/>
    <xf numFmtId="186" fontId="56" fillId="40" borderId="191" applyNumberFormat="0" applyFont="0" applyAlignment="0" applyProtection="0"/>
    <xf numFmtId="186" fontId="27" fillId="14" borderId="199" applyNumberFormat="0" applyProtection="0">
      <alignment horizontal="left" vertical="center" indent="1"/>
    </xf>
    <xf numFmtId="4" fontId="56" fillId="15" borderId="201" applyNumberFormat="0" applyProtection="0">
      <alignment horizontal="right" vertical="center"/>
    </xf>
    <xf numFmtId="4" fontId="56" fillId="54"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4" fontId="59" fillId="65" borderId="201" applyNumberFormat="0" applyProtection="0">
      <alignment horizontal="right" vertical="center"/>
    </xf>
    <xf numFmtId="186" fontId="56" fillId="63" borderId="199" applyNumberFormat="0" applyProtection="0">
      <alignment horizontal="left" vertical="top" indent="1"/>
    </xf>
    <xf numFmtId="4" fontId="56" fillId="19" borderId="201" applyNumberFormat="0" applyProtection="0">
      <alignment horizontal="right" vertical="center"/>
    </xf>
    <xf numFmtId="4" fontId="59" fillId="65" borderId="201" applyNumberFormat="0" applyProtection="0">
      <alignment horizontal="right" vertical="center"/>
    </xf>
    <xf numFmtId="186" fontId="57" fillId="44" borderId="202" applyNumberFormat="0" applyAlignment="0" applyProtection="0"/>
    <xf numFmtId="4" fontId="56" fillId="57" borderId="205" applyNumberFormat="0" applyProtection="0">
      <alignment horizontal="right" vertical="center"/>
    </xf>
    <xf numFmtId="186" fontId="27" fillId="21" borderId="199" applyNumberFormat="0" applyProtection="0">
      <alignment horizontal="left" vertical="center"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60" fillId="52" borderId="199" applyNumberFormat="0" applyProtection="0">
      <alignment horizontal="left" vertical="top" indent="1"/>
    </xf>
    <xf numFmtId="186" fontId="56" fillId="40" borderId="201" applyNumberFormat="0" applyFont="0" applyAlignment="0" applyProtection="0"/>
    <xf numFmtId="4" fontId="56" fillId="55" borderId="201" applyNumberFormat="0" applyProtection="0">
      <alignment horizontal="right" vertical="center"/>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72" fontId="5" fillId="7" borderId="186">
      <alignment vertical="center"/>
      <protection locked="0"/>
    </xf>
    <xf numFmtId="4" fontId="74" fillId="87" borderId="189" applyNumberFormat="0" applyProtection="0">
      <alignment horizontal="right" vertical="center"/>
    </xf>
    <xf numFmtId="186" fontId="62" fillId="15" borderId="189" applyNumberFormat="0" applyProtection="0">
      <alignment horizontal="left" vertical="top" indent="1"/>
    </xf>
    <xf numFmtId="4" fontId="56" fillId="53" borderId="191" applyNumberFormat="0" applyProtection="0">
      <alignment horizontal="left" vertical="center" indent="1"/>
    </xf>
    <xf numFmtId="186" fontId="27" fillId="21" borderId="181" applyNumberFormat="0" applyProtection="0">
      <alignment horizontal="left" vertical="center" indent="1"/>
    </xf>
    <xf numFmtId="186" fontId="61" fillId="21" borderId="193" applyBorder="0"/>
    <xf numFmtId="4" fontId="56" fillId="52" borderId="191" applyNumberFormat="0" applyProtection="0">
      <alignment vertical="center"/>
    </xf>
    <xf numFmtId="186" fontId="56" fillId="14" borderId="189" applyNumberFormat="0" applyProtection="0">
      <alignment horizontal="left" vertical="top" indent="1"/>
    </xf>
    <xf numFmtId="190" fontId="28" fillId="51" borderId="197">
      <alignment horizontal="right" vertical="center"/>
      <protection locked="0"/>
    </xf>
    <xf numFmtId="186" fontId="60" fillId="52" borderId="189" applyNumberFormat="0" applyProtection="0">
      <alignment horizontal="left" vertical="top" indent="1"/>
    </xf>
    <xf numFmtId="186" fontId="56" fillId="15" borderId="189" applyNumberFormat="0" applyProtection="0">
      <alignment horizontal="left" vertical="top" indent="1"/>
    </xf>
    <xf numFmtId="191" fontId="28" fillId="50" borderId="177">
      <alignment vertical="center"/>
    </xf>
    <xf numFmtId="0" fontId="5" fillId="69" borderId="177">
      <alignment vertical="center"/>
    </xf>
    <xf numFmtId="0" fontId="37" fillId="15" borderId="189" applyNumberFormat="0" applyProtection="0">
      <alignment horizontal="left" vertical="top" indent="1"/>
    </xf>
    <xf numFmtId="186" fontId="56" fillId="40" borderId="191" applyNumberFormat="0" applyFont="0" applyAlignment="0" applyProtection="0"/>
    <xf numFmtId="4" fontId="56" fillId="19" borderId="191" applyNumberFormat="0" applyProtection="0">
      <alignment horizontal="right" vertical="center"/>
    </xf>
    <xf numFmtId="186" fontId="56" fillId="14" borderId="189" applyNumberFormat="0" applyProtection="0">
      <alignment horizontal="left" vertical="top" indent="1"/>
    </xf>
    <xf numFmtId="4" fontId="56" fillId="57" borderId="195" applyNumberFormat="0" applyProtection="0">
      <alignment horizontal="right" vertical="center"/>
    </xf>
    <xf numFmtId="4" fontId="56" fillId="0" borderId="191" applyNumberFormat="0" applyProtection="0">
      <alignment horizontal="right" vertical="center"/>
    </xf>
    <xf numFmtId="4" fontId="56" fillId="53" borderId="201" applyNumberFormat="0" applyProtection="0">
      <alignment horizontal="left" vertical="center" indent="1"/>
    </xf>
    <xf numFmtId="186" fontId="56" fillId="40" borderId="191" applyNumberFormat="0" applyFont="0" applyAlignment="0" applyProtection="0"/>
    <xf numFmtId="186" fontId="27" fillId="15"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63" borderId="199" applyNumberFormat="0" applyProtection="0">
      <alignment horizontal="left" vertical="top" indent="1"/>
    </xf>
    <xf numFmtId="4" fontId="56" fillId="19" borderId="191" applyNumberFormat="0" applyProtection="0">
      <alignment horizontal="right" vertical="center"/>
    </xf>
    <xf numFmtId="4" fontId="56" fillId="16" borderId="191" applyNumberFormat="0" applyProtection="0">
      <alignment horizontal="right" vertical="center"/>
    </xf>
    <xf numFmtId="186" fontId="56" fillId="15" borderId="199" applyNumberFormat="0" applyProtection="0">
      <alignment horizontal="left" vertical="top" indent="1"/>
    </xf>
    <xf numFmtId="4" fontId="62" fillId="11" borderId="181" applyNumberFormat="0" applyProtection="0">
      <alignment horizontal="left" vertical="center" indent="1"/>
    </xf>
    <xf numFmtId="186" fontId="56" fillId="40" borderId="179" applyNumberFormat="0" applyFont="0" applyAlignment="0" applyProtection="0"/>
    <xf numFmtId="4" fontId="56" fillId="57" borderId="182" applyNumberFormat="0" applyProtection="0">
      <alignment horizontal="right" vertical="center"/>
    </xf>
    <xf numFmtId="172" fontId="28" fillId="12" borderId="177">
      <alignment vertical="center"/>
      <protection locked="0"/>
    </xf>
    <xf numFmtId="194" fontId="33" fillId="0" borderId="178" applyFill="0"/>
    <xf numFmtId="186" fontId="56" fillId="15" borderId="181"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186" fontId="62" fillId="15" borderId="199" applyNumberFormat="0" applyProtection="0">
      <alignment horizontal="left" vertical="top" indent="1"/>
    </xf>
    <xf numFmtId="188" fontId="28" fillId="49" borderId="177">
      <alignment vertical="center"/>
    </xf>
    <xf numFmtId="186" fontId="56" fillId="40" borderId="191" applyNumberFormat="0" applyFont="0" applyAlignment="0" applyProtection="0"/>
    <xf numFmtId="0" fontId="5" fillId="13" borderId="186">
      <alignment vertical="center"/>
    </xf>
    <xf numFmtId="4" fontId="56" fillId="16" borderId="191" applyNumberFormat="0" applyProtection="0">
      <alignment horizontal="right" vertical="center"/>
    </xf>
    <xf numFmtId="191" fontId="28" fillId="50" borderId="186">
      <alignment vertical="center"/>
    </xf>
    <xf numFmtId="186" fontId="27" fillId="14" borderId="181" applyNumberFormat="0" applyProtection="0">
      <alignment horizontal="left" vertical="center" indent="1"/>
    </xf>
    <xf numFmtId="4" fontId="56" fillId="61" borderId="182" applyNumberFormat="0" applyProtection="0">
      <alignment horizontal="left" vertical="center"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8" fontId="5" fillId="13" borderId="186">
      <alignment vertical="center"/>
    </xf>
    <xf numFmtId="196"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186" fontId="62" fillId="48" borderId="181" applyNumberFormat="0" applyProtection="0">
      <alignment horizontal="left" vertical="top" indent="1"/>
    </xf>
    <xf numFmtId="4" fontId="59" fillId="65" borderId="191" applyNumberFormat="0" applyProtection="0">
      <alignment horizontal="right" vertical="center"/>
    </xf>
    <xf numFmtId="186" fontId="27" fillId="14" borderId="181" applyNumberFormat="0" applyProtection="0">
      <alignment horizontal="left" vertical="center" indent="1"/>
    </xf>
    <xf numFmtId="186" fontId="50" fillId="41" borderId="191" applyNumberFormat="0" applyAlignment="0" applyProtection="0"/>
    <xf numFmtId="193" fontId="28" fillId="50" borderId="177">
      <alignment vertical="center"/>
    </xf>
    <xf numFmtId="191" fontId="28" fillId="51" borderId="197">
      <alignment horizontal="right" vertical="center"/>
      <protection locked="0"/>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72" fontId="28" fillId="12" borderId="186">
      <alignment vertical="center"/>
      <protection locked="0"/>
    </xf>
    <xf numFmtId="186" fontId="28" fillId="49" borderId="177">
      <alignment vertical="center"/>
    </xf>
    <xf numFmtId="190" fontId="5" fillId="70" borderId="186">
      <alignment horizontal="right" vertical="center"/>
      <protection locked="0"/>
    </xf>
    <xf numFmtId="190" fontId="28" fillId="51" borderId="177">
      <alignment horizontal="right" vertical="center"/>
      <protection locked="0"/>
    </xf>
    <xf numFmtId="186" fontId="27" fillId="63" borderId="189" applyNumberFormat="0" applyProtection="0">
      <alignment horizontal="left" vertical="center"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28" fillId="12" borderId="197">
      <alignment vertical="center"/>
      <protection locked="0"/>
    </xf>
    <xf numFmtId="4" fontId="56" fillId="61" borderId="182" applyNumberFormat="0" applyProtection="0">
      <alignment horizontal="left" vertical="center" indent="1"/>
    </xf>
    <xf numFmtId="4" fontId="56" fillId="55" borderId="191" applyNumberFormat="0" applyProtection="0">
      <alignment horizontal="right" vertical="center"/>
    </xf>
    <xf numFmtId="4" fontId="56" fillId="61" borderId="195" applyNumberFormat="0" applyProtection="0">
      <alignment horizontal="left" vertical="center" indent="1"/>
    </xf>
    <xf numFmtId="0" fontId="5" fillId="70" borderId="186">
      <alignment horizontal="right" vertical="center"/>
      <protection locked="0"/>
    </xf>
    <xf numFmtId="4" fontId="56" fillId="60" borderId="191" applyNumberFormat="0" applyProtection="0">
      <alignment horizontal="right" vertical="center"/>
    </xf>
    <xf numFmtId="186" fontId="56" fillId="63" borderId="181" applyNumberFormat="0" applyProtection="0">
      <alignment horizontal="left" vertical="top" indent="1"/>
    </xf>
    <xf numFmtId="186" fontId="42" fillId="44" borderId="191" applyNumberFormat="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40" borderId="191" applyNumberFormat="0" applyFont="0" applyAlignment="0" applyProtection="0"/>
    <xf numFmtId="186" fontId="62" fillId="48" borderId="189"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91" fontId="5" fillId="13" borderId="177">
      <alignment vertical="center"/>
    </xf>
    <xf numFmtId="4" fontId="71" fillId="53" borderId="189" applyNumberFormat="0" applyProtection="0">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27" fillId="63" borderId="19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28" fillId="12" borderId="177">
      <alignment vertical="center"/>
      <protection locked="0"/>
    </xf>
    <xf numFmtId="186" fontId="56" fillId="14" borderId="18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90" fontId="5" fillId="70" borderId="197">
      <alignment horizontal="right" vertical="center"/>
      <protection locked="0"/>
    </xf>
    <xf numFmtId="186" fontId="27" fillId="21" borderId="189" applyNumberFormat="0" applyProtection="0">
      <alignment horizontal="left" vertical="top" indent="1"/>
    </xf>
    <xf numFmtId="4" fontId="56" fillId="57" borderId="195" applyNumberFormat="0" applyProtection="0">
      <alignment horizontal="right" vertical="center"/>
    </xf>
    <xf numFmtId="186" fontId="56" fillId="14" borderId="189" applyNumberFormat="0" applyProtection="0">
      <alignment horizontal="left" vertical="top" indent="1"/>
    </xf>
    <xf numFmtId="191" fontId="28" fillId="50" borderId="197">
      <alignment vertical="center"/>
    </xf>
    <xf numFmtId="4" fontId="56" fillId="61" borderId="205" applyNumberFormat="0" applyProtection="0">
      <alignment horizontal="left" vertical="center" indent="1"/>
    </xf>
    <xf numFmtId="191" fontId="28" fillId="51" borderId="177">
      <alignment horizontal="right" vertical="center"/>
      <protection locked="0"/>
    </xf>
    <xf numFmtId="4" fontId="56" fillId="15" borderId="195" applyNumberFormat="0" applyProtection="0">
      <alignment horizontal="left" vertical="center" indent="1"/>
    </xf>
    <xf numFmtId="186" fontId="56" fillId="40" borderId="201" applyNumberFormat="0" applyFon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60" fillId="52" borderId="189" applyNumberFormat="0" applyProtection="0">
      <alignment horizontal="left" vertical="top" indent="1"/>
    </xf>
    <xf numFmtId="4" fontId="62" fillId="11" borderId="189" applyNumberFormat="0" applyProtection="0">
      <alignment horizontal="left" vertical="center" indent="1"/>
    </xf>
    <xf numFmtId="186" fontId="27" fillId="21" borderId="189" applyNumberFormat="0" applyProtection="0">
      <alignment horizontal="left" vertical="center" indent="1"/>
    </xf>
    <xf numFmtId="191" fontId="28" fillId="12" borderId="207">
      <alignment vertical="center"/>
      <protection locked="0"/>
    </xf>
    <xf numFmtId="191" fontId="5" fillId="13" borderId="177">
      <alignment vertical="center"/>
    </xf>
    <xf numFmtId="186" fontId="56" fillId="63" borderId="201" applyNumberFormat="0" applyProtection="0">
      <alignment horizontal="left" vertical="center" indent="1"/>
    </xf>
    <xf numFmtId="4" fontId="76" fillId="87" borderId="199" applyNumberFormat="0" applyProtection="0">
      <alignment horizontal="right" vertical="center"/>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4" fontId="56" fillId="56" borderId="201" applyNumberFormat="0" applyProtection="0">
      <alignment horizontal="right" vertical="center"/>
    </xf>
    <xf numFmtId="4" fontId="63" fillId="66" borderId="205" applyNumberFormat="0" applyProtection="0">
      <alignment horizontal="left" vertical="center"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0" fillId="41" borderId="191" applyNumberFormat="0" applyAlignment="0" applyProtection="0"/>
    <xf numFmtId="186" fontId="27" fillId="63" borderId="189" applyNumberFormat="0" applyProtection="0">
      <alignment horizontal="left" vertical="top" indent="1"/>
    </xf>
    <xf numFmtId="186" fontId="57" fillId="44" borderId="202" applyNumberFormat="0" applyAlignment="0" applyProtection="0"/>
    <xf numFmtId="188" fontId="28" fillId="51" borderId="177">
      <alignment horizontal="right" vertical="center"/>
      <protection locked="0"/>
    </xf>
    <xf numFmtId="186" fontId="28" fillId="49" borderId="197">
      <alignment vertical="center"/>
    </xf>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0" fontId="5" fillId="70" borderId="177">
      <alignment horizontal="right" vertical="center"/>
      <protection locked="0"/>
    </xf>
    <xf numFmtId="4" fontId="56" fillId="23" borderId="201" applyNumberFormat="0" applyProtection="0">
      <alignment horizontal="right" vertical="center"/>
    </xf>
    <xf numFmtId="4" fontId="59" fillId="53" borderId="191" applyNumberFormat="0" applyProtection="0">
      <alignment vertical="center"/>
    </xf>
    <xf numFmtId="186" fontId="56" fillId="21"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40" borderId="179" applyNumberFormat="0" applyFont="0" applyAlignment="0" applyProtection="0"/>
    <xf numFmtId="37" fontId="33" fillId="0" borderId="194" applyNumberFormat="0"/>
    <xf numFmtId="186" fontId="57" fillId="44" borderId="192" applyNumberFormat="0" applyAlignment="0" applyProtection="0"/>
    <xf numFmtId="186" fontId="56" fillId="21" borderId="189" applyNumberFormat="0" applyProtection="0">
      <alignment horizontal="left" vertical="top" indent="1"/>
    </xf>
    <xf numFmtId="193" fontId="5" fillId="69" borderId="186">
      <alignment vertical="center"/>
    </xf>
    <xf numFmtId="186" fontId="56" fillId="40" borderId="191" applyNumberFormat="0" applyFont="0" applyAlignment="0" applyProtection="0"/>
    <xf numFmtId="4" fontId="62" fillId="11" borderId="181" applyNumberFormat="0" applyProtection="0">
      <alignment horizontal="left" vertical="center" indent="1"/>
    </xf>
    <xf numFmtId="4" fontId="56" fillId="52" borderId="179" applyNumberFormat="0" applyProtection="0">
      <alignment vertical="center"/>
    </xf>
    <xf numFmtId="188" fontId="5" fillId="13" borderId="197">
      <alignment vertical="center"/>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86" fontId="44" fillId="0" borderId="185" applyNumberFormat="0" applyFill="0" applyAlignment="0" applyProtection="0"/>
    <xf numFmtId="186" fontId="56" fillId="21" borderId="181" applyNumberFormat="0" applyProtection="0">
      <alignment horizontal="left" vertical="top" indent="1"/>
    </xf>
    <xf numFmtId="191" fontId="28" fillId="12" borderId="186">
      <alignment vertical="center"/>
      <protection locked="0"/>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4" fontId="56" fillId="15" borderId="195" applyNumberFormat="0" applyProtection="0">
      <alignment horizontal="left" vertical="center" indent="1"/>
    </xf>
    <xf numFmtId="186" fontId="28" fillId="49" borderId="197">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72" fontId="28" fillId="12" borderId="197">
      <alignment vertical="center"/>
      <protection locked="0"/>
    </xf>
    <xf numFmtId="186" fontId="56" fillId="67" borderId="186"/>
    <xf numFmtId="0" fontId="5" fillId="69" borderId="186">
      <alignment vertical="center"/>
    </xf>
    <xf numFmtId="186" fontId="62" fillId="15" borderId="181" applyNumberFormat="0" applyProtection="0">
      <alignment horizontal="left" vertical="top" indent="1"/>
    </xf>
    <xf numFmtId="186" fontId="56" fillId="14" borderId="181" applyNumberFormat="0" applyProtection="0">
      <alignment horizontal="left" vertical="top" indent="1"/>
    </xf>
    <xf numFmtId="194" fontId="33" fillId="0" borderId="178" applyFill="0"/>
    <xf numFmtId="186" fontId="56" fillId="15" borderId="18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191" fontId="28" fillId="51" borderId="186">
      <alignment horizontal="right" vertical="center"/>
      <protection locked="0"/>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5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4" fontId="64" fillId="64"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56" fillId="40" borderId="179" applyNumberFormat="0" applyFont="0" applyAlignment="0" applyProtection="0"/>
    <xf numFmtId="4" fontId="56" fillId="60"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27" fillId="15" borderId="181" applyNumberFormat="0" applyProtection="0">
      <alignment horizontal="left" vertical="top" indent="1"/>
    </xf>
    <xf numFmtId="186" fontId="56" fillId="15" borderId="181" applyNumberFormat="0" applyProtection="0">
      <alignment horizontal="left" vertical="top" indent="1"/>
    </xf>
    <xf numFmtId="172" fontId="5" fillId="7" borderId="186">
      <alignment vertical="center"/>
      <protection locked="0"/>
    </xf>
    <xf numFmtId="4" fontId="72" fillId="82" borderId="181" applyNumberFormat="0" applyProtection="0">
      <alignment horizontal="right" vertical="center"/>
    </xf>
    <xf numFmtId="186" fontId="27" fillId="63" borderId="181" applyNumberFormat="0" applyProtection="0">
      <alignment horizontal="left" vertical="center" indent="1"/>
    </xf>
    <xf numFmtId="37" fontId="33" fillId="0" borderId="194" applyNumberFormat="0"/>
    <xf numFmtId="4" fontId="56" fillId="19" borderId="191" applyNumberFormat="0" applyProtection="0">
      <alignment horizontal="right" vertical="center"/>
    </xf>
    <xf numFmtId="4" fontId="56" fillId="60" borderId="179" applyNumberFormat="0" applyProtection="0">
      <alignment horizontal="right" vertical="center"/>
    </xf>
    <xf numFmtId="4" fontId="64" fillId="64" borderId="191" applyNumberFormat="0" applyProtection="0">
      <alignment horizontal="right" vertical="center"/>
    </xf>
    <xf numFmtId="186" fontId="27" fillId="14" borderId="189" applyNumberFormat="0" applyProtection="0">
      <alignment horizontal="left" vertical="center" indent="1"/>
    </xf>
    <xf numFmtId="186" fontId="56" fillId="14" borderId="189" applyNumberFormat="0" applyProtection="0">
      <alignment horizontal="left" vertical="top" indent="1"/>
    </xf>
    <xf numFmtId="4" fontId="59" fillId="53" borderId="191" applyNumberFormat="0" applyProtection="0">
      <alignment vertical="center"/>
    </xf>
    <xf numFmtId="4" fontId="56" fillId="56" borderId="179" applyNumberFormat="0" applyProtection="0">
      <alignment horizontal="right" vertical="center"/>
    </xf>
    <xf numFmtId="186" fontId="27" fillId="21" borderId="18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4" fontId="59" fillId="53" borderId="179" applyNumberFormat="0" applyProtection="0">
      <alignment vertical="center"/>
    </xf>
    <xf numFmtId="186" fontId="56" fillId="63" borderId="181" applyNumberFormat="0" applyProtection="0">
      <alignment horizontal="left" vertical="top" indent="1"/>
    </xf>
    <xf numFmtId="191" fontId="28" fillId="12" borderId="207">
      <alignment vertical="center"/>
      <protection locked="0"/>
    </xf>
    <xf numFmtId="186" fontId="56" fillId="40" borderId="179" applyNumberFormat="0" applyFont="0" applyAlignment="0" applyProtection="0"/>
    <xf numFmtId="4" fontId="56" fillId="53" borderId="179" applyNumberFormat="0" applyProtection="0">
      <alignment horizontal="left" vertical="center"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8" fontId="5" fillId="13" borderId="186">
      <alignment vertical="center"/>
    </xf>
    <xf numFmtId="186" fontId="61" fillId="21" borderId="193" applyBorder="0"/>
    <xf numFmtId="186" fontId="56" fillId="63" borderId="199" applyNumberFormat="0" applyProtection="0">
      <alignment horizontal="left" vertical="top" indent="1"/>
    </xf>
    <xf numFmtId="186" fontId="27" fillId="63" borderId="189" applyNumberFormat="0" applyProtection="0">
      <alignment horizontal="left" vertical="top" indent="1"/>
    </xf>
    <xf numFmtId="186" fontId="60" fillId="52"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2" fillId="15" borderId="189" applyNumberFormat="0" applyProtection="0">
      <alignment horizontal="left" vertical="top"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4" fontId="56" fillId="15" borderId="191" applyNumberFormat="0" applyProtection="0">
      <alignment horizontal="right" vertical="center"/>
    </xf>
    <xf numFmtId="4" fontId="56" fillId="0" borderId="191" applyNumberFormat="0" applyProtection="0">
      <alignment horizontal="righ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193" fontId="28" fillId="50" borderId="19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4" fontId="71" fillId="53" borderId="199" applyNumberFormat="0" applyProtection="0">
      <alignment vertical="center"/>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16" borderId="19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44" fillId="0" borderId="196" applyNumberFormat="0" applyFill="0" applyAlignment="0" applyProtection="0"/>
    <xf numFmtId="0" fontId="27" fillId="63" borderId="199" applyNumberFormat="0" applyProtection="0">
      <alignment horizontal="left" vertical="center" indent="1"/>
    </xf>
    <xf numFmtId="186" fontId="56" fillId="63" borderId="189" applyNumberFormat="0" applyProtection="0">
      <alignment horizontal="left" vertical="top" indent="1"/>
    </xf>
    <xf numFmtId="186" fontId="60" fillId="52" borderId="199" applyNumberFormat="0" applyProtection="0">
      <alignment horizontal="left" vertical="top" indent="1"/>
    </xf>
    <xf numFmtId="4" fontId="56" fillId="55" borderId="191" applyNumberFormat="0" applyProtection="0">
      <alignment horizontal="righ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0" borderId="201" applyNumberFormat="0" applyProtection="0">
      <alignment horizontal="right" vertical="center"/>
    </xf>
    <xf numFmtId="186" fontId="56" fillId="63" borderId="189" applyNumberFormat="0" applyProtection="0">
      <alignment horizontal="left" vertical="top" indent="1"/>
    </xf>
    <xf numFmtId="186" fontId="56" fillId="63" borderId="201" applyNumberFormat="0" applyProtection="0">
      <alignment horizontal="left" vertical="center" indent="1"/>
    </xf>
    <xf numFmtId="4" fontId="56" fillId="14" borderId="195" applyNumberFormat="0" applyProtection="0">
      <alignment horizontal="left" vertical="center"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93" fontId="28" fillId="50" borderId="197">
      <alignment vertical="center"/>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37" fontId="33" fillId="0" borderId="194" applyNumberFormat="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4" fontId="56" fillId="61" borderId="205" applyNumberFormat="0" applyProtection="0">
      <alignment horizontal="left" vertical="center" indent="1"/>
    </xf>
    <xf numFmtId="186" fontId="56" fillId="40" borderId="179" applyNumberFormat="0" applyFont="0" applyAlignment="0" applyProtection="0"/>
    <xf numFmtId="186" fontId="56" fillId="63" borderId="199"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0" fontId="37" fillId="48" borderId="189" applyNumberFormat="0" applyProtection="0">
      <alignment horizontal="left" vertical="top" indent="1"/>
    </xf>
    <xf numFmtId="186" fontId="27" fillId="21" borderId="181" applyNumberFormat="0" applyProtection="0">
      <alignment horizontal="left" vertical="center" indent="1"/>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7" fillId="44" borderId="192" applyNumberFormat="0" applyAlignment="0" applyProtection="0"/>
    <xf numFmtId="186" fontId="28" fillId="50" borderId="197">
      <alignment vertical="center"/>
    </xf>
    <xf numFmtId="186" fontId="56" fillId="40" borderId="191" applyNumberFormat="0" applyFont="0" applyAlignment="0" applyProtection="0"/>
    <xf numFmtId="186" fontId="56" fillId="14" borderId="199" applyNumberFormat="0" applyProtection="0">
      <alignment horizontal="left" vertical="top" indent="1"/>
    </xf>
    <xf numFmtId="186" fontId="27" fillId="21" borderId="189" applyNumberFormat="0" applyProtection="0">
      <alignment horizontal="left" vertical="top" indent="1"/>
    </xf>
    <xf numFmtId="186" fontId="56" fillId="15" borderId="181"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4" fontId="56" fillId="56" borderId="191" applyNumberFormat="0" applyProtection="0">
      <alignment horizontal="right" vertical="center"/>
    </xf>
    <xf numFmtId="186" fontId="56" fillId="40" borderId="191" applyNumberFormat="0" applyFont="0" applyAlignment="0" applyProtection="0"/>
    <xf numFmtId="186" fontId="27" fillId="15" borderId="189" applyNumberFormat="0" applyProtection="0">
      <alignment horizontal="left" vertical="top" indent="1"/>
    </xf>
    <xf numFmtId="4" fontId="59" fillId="65" borderId="191" applyNumberFormat="0" applyProtection="0">
      <alignment horizontal="right" vertical="center"/>
    </xf>
    <xf numFmtId="193" fontId="28" fillId="12" borderId="197">
      <alignment vertical="center"/>
      <protection locked="0"/>
    </xf>
    <xf numFmtId="4" fontId="56" fillId="56" borderId="191" applyNumberFormat="0" applyProtection="0">
      <alignment horizontal="righ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21" borderId="189" applyNumberFormat="0" applyProtection="0">
      <alignment horizontal="left" vertical="top" indent="1"/>
    </xf>
    <xf numFmtId="4" fontId="56" fillId="15" borderId="195" applyNumberFormat="0" applyProtection="0">
      <alignment horizontal="left" vertical="center" indent="1"/>
    </xf>
    <xf numFmtId="186" fontId="60" fillId="52" borderId="189" applyNumberFormat="0" applyProtection="0">
      <alignment horizontal="left" vertical="top" indent="1"/>
    </xf>
    <xf numFmtId="186" fontId="56" fillId="62" borderId="201" applyNumberFormat="0" applyProtection="0">
      <alignment horizontal="left" vertical="center" indent="1"/>
    </xf>
    <xf numFmtId="186" fontId="62" fillId="15" borderId="181" applyNumberFormat="0" applyProtection="0">
      <alignment horizontal="left" vertical="top" indent="1"/>
    </xf>
    <xf numFmtId="193" fontId="28" fillId="50" borderId="177">
      <alignment vertical="center"/>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7" fillId="44" borderId="192" applyNumberFormat="0" applyAlignment="0" applyProtection="0"/>
    <xf numFmtId="4" fontId="72" fillId="87" borderId="181" applyNumberFormat="0" applyProtection="0">
      <alignment vertical="center"/>
    </xf>
    <xf numFmtId="186" fontId="27"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72" fontId="28" fillId="12" borderId="186">
      <alignment vertical="center"/>
      <protection locked="0"/>
    </xf>
    <xf numFmtId="186" fontId="56" fillId="40" borderId="179" applyNumberFormat="0" applyFont="0" applyAlignment="0" applyProtection="0"/>
    <xf numFmtId="186" fontId="56" fillId="63" borderId="181" applyNumberFormat="0" applyProtection="0">
      <alignment horizontal="left" vertical="top" indent="1"/>
    </xf>
    <xf numFmtId="4" fontId="56" fillId="57" borderId="195" applyNumberFormat="0" applyProtection="0">
      <alignment horizontal="right" vertical="center"/>
    </xf>
    <xf numFmtId="194" fontId="33" fillId="0" borderId="178" applyFill="0"/>
    <xf numFmtId="4" fontId="56" fillId="58" borderId="191" applyNumberFormat="0" applyProtection="0">
      <alignment horizontal="right" vertical="center"/>
    </xf>
    <xf numFmtId="4" fontId="27" fillId="21" borderId="205" applyNumberFormat="0" applyProtection="0">
      <alignment horizontal="left" vertical="center" indent="1"/>
    </xf>
    <xf numFmtId="186" fontId="28" fillId="49" borderId="197">
      <alignment vertical="center"/>
    </xf>
    <xf numFmtId="0" fontId="37" fillId="15" borderId="199"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62" borderId="179" applyNumberFormat="0" applyProtection="0">
      <alignment horizontal="left" vertical="center" indent="1"/>
    </xf>
    <xf numFmtId="186" fontId="57" fillId="44" borderId="202" applyNumberFormat="0" applyAlignment="0" applyProtection="0"/>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91" fontId="28" fillId="50" borderId="197">
      <alignment vertical="center"/>
    </xf>
    <xf numFmtId="186" fontId="56" fillId="15" borderId="199" applyNumberFormat="0" applyProtection="0">
      <alignment horizontal="left" vertical="top" indent="1"/>
    </xf>
    <xf numFmtId="186" fontId="27" fillId="21" borderId="199"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4" fontId="72" fillId="81" borderId="189" applyNumberFormat="0" applyProtection="0">
      <alignment horizontal="right" vertical="center"/>
    </xf>
    <xf numFmtId="0" fontId="27" fillId="14" borderId="199"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52" borderId="179" applyNumberFormat="0" applyProtection="0">
      <alignmen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96" fontId="5" fillId="69" borderId="197">
      <alignment vertical="center"/>
    </xf>
    <xf numFmtId="193" fontId="28" fillId="50" borderId="197">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61" fillId="21" borderId="193" applyBorder="0"/>
    <xf numFmtId="4" fontId="59" fillId="53" borderId="191" applyNumberFormat="0" applyProtection="0">
      <alignment vertical="center"/>
    </xf>
    <xf numFmtId="186" fontId="56" fillId="40" borderId="201" applyNumberFormat="0" applyFont="0" applyAlignment="0" applyProtection="0"/>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91" fontId="28" fillId="50" borderId="197">
      <alignment vertical="center"/>
    </xf>
    <xf numFmtId="186" fontId="27" fillId="63" borderId="199" applyNumberFormat="0" applyProtection="0">
      <alignment horizontal="left" vertical="top" indent="1"/>
    </xf>
    <xf numFmtId="186" fontId="56" fillId="15" borderId="181" applyNumberFormat="0" applyProtection="0">
      <alignment horizontal="left" vertical="top" indent="1"/>
    </xf>
    <xf numFmtId="186" fontId="27" fillId="21" borderId="18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37" fontId="33" fillId="0" borderId="204" applyNumberFormat="0"/>
    <xf numFmtId="4" fontId="56" fillId="57" borderId="205" applyNumberFormat="0" applyProtection="0">
      <alignment horizontal="right" vertical="center"/>
    </xf>
    <xf numFmtId="4" fontId="56" fillId="61" borderId="205" applyNumberFormat="0" applyProtection="0">
      <alignment horizontal="left" vertical="center" indent="1"/>
    </xf>
    <xf numFmtId="186" fontId="56" fillId="15" borderId="181" applyNumberFormat="0" applyProtection="0">
      <alignment horizontal="left" vertical="top" indent="1"/>
    </xf>
    <xf numFmtId="4" fontId="56" fillId="56" borderId="201" applyNumberFormat="0" applyProtection="0">
      <alignment horizontal="right" vertical="center"/>
    </xf>
    <xf numFmtId="186" fontId="27" fillId="15" borderId="199" applyNumberFormat="0" applyProtection="0">
      <alignment horizontal="left" vertical="top" indent="1"/>
    </xf>
    <xf numFmtId="186" fontId="56" fillId="14" borderId="201" applyNumberFormat="0" applyProtection="0">
      <alignment horizontal="left" vertical="center" indent="1"/>
    </xf>
    <xf numFmtId="194" fontId="33" fillId="0" borderId="178" applyFill="0"/>
    <xf numFmtId="0" fontId="27" fillId="21" borderId="181" applyNumberFormat="0" applyProtection="0">
      <alignment horizontal="left" vertical="center" indent="1"/>
    </xf>
    <xf numFmtId="4" fontId="59" fillId="53" borderId="191" applyNumberFormat="0" applyProtection="0">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56" fillId="21" borderId="181" applyNumberFormat="0" applyProtection="0">
      <alignment horizontal="left" vertical="top" indent="1"/>
    </xf>
    <xf numFmtId="190" fontId="5" fillId="13" borderId="186">
      <alignment vertical="center"/>
    </xf>
    <xf numFmtId="186" fontId="56" fillId="63" borderId="181" applyNumberFormat="0" applyProtection="0">
      <alignment horizontal="left" vertical="top" indent="1"/>
    </xf>
    <xf numFmtId="186" fontId="42" fillId="44" borderId="179" applyNumberFormat="0" applyAlignment="0" applyProtection="0"/>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186" fontId="56" fillId="21" borderId="181" applyNumberFormat="0" applyProtection="0">
      <alignment horizontal="left" vertical="top" indent="1"/>
    </xf>
    <xf numFmtId="4" fontId="56" fillId="23" borderId="191" applyNumberFormat="0" applyProtection="0">
      <alignment horizontal="right" vertical="center"/>
    </xf>
    <xf numFmtId="188" fontId="5" fillId="13" borderId="197">
      <alignment vertical="center"/>
    </xf>
    <xf numFmtId="186" fontId="56" fillId="14" borderId="199" applyNumberFormat="0" applyProtection="0">
      <alignment horizontal="left" vertical="top" indent="1"/>
    </xf>
    <xf numFmtId="4" fontId="27" fillId="21" borderId="182" applyNumberFormat="0" applyProtection="0">
      <alignment horizontal="left" vertical="center" indent="1"/>
    </xf>
    <xf numFmtId="186" fontId="62" fillId="48" borderId="181" applyNumberFormat="0" applyProtection="0">
      <alignment horizontal="left" vertical="top" indent="1"/>
    </xf>
    <xf numFmtId="4" fontId="56" fillId="52" borderId="191" applyNumberFormat="0" applyProtection="0">
      <alignment vertical="center"/>
    </xf>
    <xf numFmtId="186" fontId="56" fillId="40" borderId="179" applyNumberFormat="0" applyFont="0" applyAlignment="0" applyProtection="0"/>
    <xf numFmtId="4" fontId="56" fillId="59" borderId="179" applyNumberFormat="0" applyProtection="0">
      <alignment horizontal="right" vertical="center"/>
    </xf>
    <xf numFmtId="186" fontId="42" fillId="44" borderId="191" applyNumberFormat="0" applyAlignment="0" applyProtection="0"/>
    <xf numFmtId="186" fontId="56" fillId="40" borderId="191" applyNumberFormat="0" applyFont="0" applyAlignment="0" applyProtection="0"/>
    <xf numFmtId="4" fontId="56" fillId="16" borderId="179" applyNumberFormat="0" applyProtection="0">
      <alignment horizontal="right" vertical="center"/>
    </xf>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3" fontId="5" fillId="7" borderId="186">
      <alignment vertical="center"/>
      <protection locked="0"/>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center" indent="1"/>
    </xf>
    <xf numFmtId="186" fontId="50" fillId="41" borderId="179" applyNumberFormat="0" applyAlignment="0" applyProtection="0"/>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4" fontId="64" fillId="64" borderId="191" applyNumberFormat="0" applyProtection="0">
      <alignment horizontal="right" vertical="center"/>
    </xf>
    <xf numFmtId="4" fontId="56" fillId="16" borderId="191" applyNumberFormat="0" applyProtection="0">
      <alignment horizontal="right" vertical="center"/>
    </xf>
    <xf numFmtId="193" fontId="5" fillId="69" borderId="177">
      <alignment vertical="center"/>
    </xf>
    <xf numFmtId="0" fontId="27" fillId="63" borderId="18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186" fontId="57" fillId="44" borderId="192" applyNumberFormat="0" applyAlignment="0" applyProtection="0"/>
    <xf numFmtId="186" fontId="62" fillId="48" borderId="19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27" fillId="21" borderId="195" applyNumberFormat="0" applyProtection="0">
      <alignment horizontal="left" vertical="center" indent="1"/>
    </xf>
    <xf numFmtId="186" fontId="27" fillId="21" borderId="189" applyNumberFormat="0" applyProtection="0">
      <alignment horizontal="left" vertical="center" indent="1"/>
    </xf>
    <xf numFmtId="186" fontId="27" fillId="21" borderId="189" applyNumberFormat="0" applyProtection="0">
      <alignment horizontal="left" vertical="center" indent="1"/>
    </xf>
    <xf numFmtId="186" fontId="56" fillId="21" borderId="189" applyNumberFormat="0" applyProtection="0">
      <alignment horizontal="left" vertical="top" indent="1"/>
    </xf>
    <xf numFmtId="186" fontId="44" fillId="0" borderId="196" applyNumberFormat="0" applyFill="0" applyAlignment="0" applyProtection="0"/>
    <xf numFmtId="186" fontId="56" fillId="40" borderId="191" applyNumberFormat="0" applyFont="0" applyAlignment="0" applyProtection="0"/>
    <xf numFmtId="4" fontId="63" fillId="66" borderId="195" applyNumberFormat="0" applyProtection="0">
      <alignment horizontal="left" vertical="center" indent="1"/>
    </xf>
    <xf numFmtId="4" fontId="56" fillId="52" borderId="191" applyNumberFormat="0" applyProtection="0">
      <alignment vertical="center"/>
    </xf>
    <xf numFmtId="186" fontId="62" fillId="48" borderId="189" applyNumberFormat="0" applyProtection="0">
      <alignment horizontal="left" vertical="top" indent="1"/>
    </xf>
    <xf numFmtId="4" fontId="56" fillId="23" borderId="20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16" borderId="20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56" fillId="60" borderId="179" applyNumberFormat="0" applyProtection="0">
      <alignment horizontal="right" vertical="center"/>
    </xf>
    <xf numFmtId="4" fontId="72" fillId="82" borderId="199" applyNumberFormat="0" applyProtection="0">
      <alignment horizontal="right" vertical="center"/>
    </xf>
    <xf numFmtId="186" fontId="56" fillId="63"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40" borderId="191" applyNumberFormat="0" applyFont="0" applyAlignment="0" applyProtection="0"/>
    <xf numFmtId="4" fontId="56" fillId="14" borderId="205" applyNumberFormat="0" applyProtection="0">
      <alignment horizontal="left" vertical="center"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94" fontId="33" fillId="0" borderId="178" applyFill="0"/>
    <xf numFmtId="191" fontId="28" fillId="50" borderId="177">
      <alignment vertical="center"/>
    </xf>
    <xf numFmtId="190" fontId="28" fillId="51" borderId="186">
      <alignment horizontal="right" vertical="center"/>
      <protection locked="0"/>
    </xf>
    <xf numFmtId="186" fontId="56" fillId="63" borderId="18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6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4" fontId="62" fillId="48" borderId="189" applyNumberFormat="0" applyProtection="0">
      <alignment vertical="center"/>
    </xf>
    <xf numFmtId="4" fontId="56" fillId="57" borderId="205" applyNumberFormat="0" applyProtection="0">
      <alignment horizontal="right" vertical="center"/>
    </xf>
    <xf numFmtId="186" fontId="27" fillId="21" borderId="189" applyNumberFormat="0" applyProtection="0">
      <alignment horizontal="left" vertical="top" indent="1"/>
    </xf>
    <xf numFmtId="186" fontId="56" fillId="14" borderId="201" applyNumberFormat="0" applyProtection="0">
      <alignment horizontal="left" vertical="center" indent="1"/>
    </xf>
    <xf numFmtId="37" fontId="33" fillId="0" borderId="204" applyNumberFormat="0"/>
    <xf numFmtId="186" fontId="56" fillId="14" borderId="181" applyNumberFormat="0" applyProtection="0">
      <alignment horizontal="left" vertical="top" indent="1"/>
    </xf>
    <xf numFmtId="186" fontId="56" fillId="14" borderId="189" applyNumberFormat="0" applyProtection="0">
      <alignment horizontal="left" vertical="top" indent="1"/>
    </xf>
    <xf numFmtId="4" fontId="62" fillId="48" borderId="189" applyNumberFormat="0" applyProtection="0">
      <alignment vertical="center"/>
    </xf>
    <xf numFmtId="4" fontId="59" fillId="65" borderId="201" applyNumberFormat="0" applyProtection="0">
      <alignment horizontal="right" vertical="center"/>
    </xf>
    <xf numFmtId="186" fontId="27" fillId="63" borderId="199" applyNumberFormat="0" applyProtection="0">
      <alignment horizontal="left" vertical="center" indent="1"/>
    </xf>
    <xf numFmtId="172" fontId="28" fillId="12" borderId="177">
      <alignment vertical="center"/>
      <protection locked="0"/>
    </xf>
    <xf numFmtId="4" fontId="56" fillId="59"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94" fontId="33" fillId="0" borderId="178" applyFill="0"/>
    <xf numFmtId="186" fontId="27" fillId="14" borderId="199" applyNumberFormat="0" applyProtection="0">
      <alignment horizontal="left" vertical="center" indent="1"/>
    </xf>
    <xf numFmtId="4" fontId="56" fillId="54" borderId="191"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3" fontId="28" fillId="50" borderId="197">
      <alignment vertical="center"/>
    </xf>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62" fillId="48" borderId="181" applyNumberFormat="0" applyProtection="0">
      <alignment horizontal="left" vertical="top" indent="1"/>
    </xf>
    <xf numFmtId="186" fontId="56" fillId="14" borderId="181" applyNumberFormat="0" applyProtection="0">
      <alignment horizontal="left" vertical="top" indent="1"/>
    </xf>
    <xf numFmtId="188" fontId="5" fillId="69" borderId="177">
      <alignment vertical="center"/>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42" fillId="44" borderId="179" applyNumberFormat="0" applyAlignment="0" applyProtection="0"/>
    <xf numFmtId="188" fontId="5" fillId="13" borderId="186">
      <alignmen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4" fontId="56" fillId="15" borderId="195" applyNumberFormat="0" applyProtection="0">
      <alignment horizontal="left" vertical="center" indent="1"/>
    </xf>
    <xf numFmtId="186" fontId="56" fillId="62" borderId="179" applyNumberFormat="0" applyProtection="0">
      <alignment horizontal="left" vertical="center" indent="1"/>
    </xf>
    <xf numFmtId="186" fontId="27" fillId="14" borderId="189" applyNumberFormat="0" applyProtection="0">
      <alignment horizontal="left" vertical="top" indent="1"/>
    </xf>
    <xf numFmtId="186" fontId="28" fillId="49" borderId="197">
      <alignment vertical="center"/>
    </xf>
    <xf numFmtId="194" fontId="33" fillId="0" borderId="198" applyFill="0"/>
    <xf numFmtId="191" fontId="28" fillId="50" borderId="177">
      <alignment vertical="center"/>
    </xf>
    <xf numFmtId="186" fontId="28" fillId="50" borderId="207">
      <alignmen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1" fillId="21" borderId="183" applyBorder="0"/>
    <xf numFmtId="188" fontId="28" fillId="49" borderId="186">
      <alignment vertical="center"/>
    </xf>
    <xf numFmtId="186" fontId="56" fillId="15" borderId="181" applyNumberFormat="0" applyProtection="0">
      <alignment horizontal="left" vertical="top" indent="1"/>
    </xf>
    <xf numFmtId="4" fontId="59" fillId="65" borderId="179" applyNumberFormat="0" applyProtection="0">
      <alignment horizontal="right" vertical="center"/>
    </xf>
    <xf numFmtId="186" fontId="56" fillId="40" borderId="201" applyNumberFormat="0" applyFont="0" applyAlignment="0" applyProtection="0"/>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8" borderId="191" applyNumberFormat="0" applyProtection="0">
      <alignment horizontal="right" vertical="center"/>
    </xf>
    <xf numFmtId="4" fontId="59" fillId="65" borderId="191" applyNumberFormat="0" applyProtection="0">
      <alignment horizontal="right" vertical="center"/>
    </xf>
    <xf numFmtId="190" fontId="5" fillId="13" borderId="177">
      <alignment vertical="center"/>
    </xf>
    <xf numFmtId="186" fontId="27" fillId="14" borderId="199" applyNumberFormat="0" applyProtection="0">
      <alignment horizontal="left" vertical="top" indent="1"/>
    </xf>
    <xf numFmtId="4" fontId="56" fillId="59" borderId="191" applyNumberFormat="0" applyProtection="0">
      <alignment horizontal="right" vertical="center"/>
    </xf>
    <xf numFmtId="194" fontId="33" fillId="0" borderId="178" applyFill="0"/>
    <xf numFmtId="186" fontId="56" fillId="21" borderId="189" applyNumberFormat="0" applyProtection="0">
      <alignment horizontal="left" vertical="top" indent="1"/>
    </xf>
    <xf numFmtId="4" fontId="56" fillId="15" borderId="195"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27" fillId="21" borderId="199" applyNumberFormat="0" applyProtection="0">
      <alignment horizontal="left" vertical="top" indent="1"/>
    </xf>
    <xf numFmtId="193" fontId="28" fillId="12" borderId="197">
      <alignment vertical="center"/>
      <protection locked="0"/>
    </xf>
    <xf numFmtId="193" fontId="28" fillId="12" borderId="207">
      <alignment vertical="center"/>
      <protection locked="0"/>
    </xf>
    <xf numFmtId="186" fontId="56" fillId="63" borderId="189" applyNumberFormat="0" applyProtection="0">
      <alignment horizontal="left" vertical="top" indent="1"/>
    </xf>
    <xf numFmtId="191" fontId="5" fillId="69" borderId="186">
      <alignment vertical="center"/>
    </xf>
    <xf numFmtId="4" fontId="59" fillId="65" borderId="201" applyNumberFormat="0" applyProtection="0">
      <alignment horizontal="right" vertical="center"/>
    </xf>
    <xf numFmtId="186" fontId="57" fillId="44" borderId="192" applyNumberFormat="0" applyAlignment="0" applyProtection="0"/>
    <xf numFmtId="186" fontId="28" fillId="50" borderId="197">
      <alignment vertical="center"/>
    </xf>
    <xf numFmtId="4" fontId="56" fillId="15" borderId="182" applyNumberFormat="0" applyProtection="0">
      <alignment horizontal="left" vertical="center" indent="1"/>
    </xf>
    <xf numFmtId="186" fontId="61" fillId="21" borderId="183" applyBorder="0"/>
    <xf numFmtId="194" fontId="33" fillId="0" borderId="178" applyFill="0"/>
    <xf numFmtId="186" fontId="28" fillId="12" borderId="186">
      <alignment vertical="center"/>
      <protection locked="0"/>
    </xf>
    <xf numFmtId="186" fontId="56" fillId="40" borderId="191" applyNumberFormat="0" applyFont="0" applyAlignment="0" applyProtection="0"/>
    <xf numFmtId="186" fontId="56" fillId="14" borderId="191" applyNumberFormat="0" applyProtection="0">
      <alignment horizontal="left" vertical="center" indent="1"/>
    </xf>
    <xf numFmtId="172" fontId="5" fillId="7"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8" fontId="5" fillId="69" borderId="186">
      <alignment vertical="center"/>
    </xf>
    <xf numFmtId="186" fontId="27" fillId="63" borderId="189" applyNumberFormat="0" applyProtection="0">
      <alignment horizontal="left" vertical="top" indent="1"/>
    </xf>
    <xf numFmtId="194" fontId="33" fillId="0" borderId="198" applyFill="0"/>
    <xf numFmtId="4" fontId="63" fillId="66" borderId="205" applyNumberFormat="0" applyProtection="0">
      <alignment horizontal="left" vertical="center" indent="1"/>
    </xf>
    <xf numFmtId="4" fontId="56" fillId="16" borderId="201" applyNumberFormat="0" applyProtection="0">
      <alignment horizontal="right" vertical="center"/>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23" borderId="191" applyNumberFormat="0" applyProtection="0">
      <alignment horizontal="righ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7" fillId="44" borderId="192" applyNumberFormat="0" applyAlignment="0" applyProtection="0"/>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8" fontId="5" fillId="70" borderId="186">
      <alignment horizontal="right" vertical="center"/>
      <protection locked="0"/>
    </xf>
    <xf numFmtId="188" fontId="5" fillId="69" borderId="186">
      <alignment vertical="center"/>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11" borderId="179" applyNumberFormat="0" applyProtection="0">
      <alignment horizontal="left" vertical="center" indent="1"/>
    </xf>
    <xf numFmtId="186" fontId="56" fillId="63" borderId="181" applyNumberFormat="0" applyProtection="0">
      <alignment horizontal="left" vertical="top" indent="1"/>
    </xf>
    <xf numFmtId="186" fontId="42" fillId="44" borderId="179" applyNumberForma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62" fillId="15" borderId="199" applyNumberFormat="0" applyProtection="0">
      <alignment horizontal="left" vertical="top" indent="1"/>
    </xf>
    <xf numFmtId="4" fontId="56" fillId="61" borderId="205" applyNumberFormat="0" applyProtection="0">
      <alignment horizontal="left" vertical="center" indent="1"/>
    </xf>
    <xf numFmtId="186" fontId="28" fillId="49" borderId="207">
      <alignment vertical="center"/>
    </xf>
    <xf numFmtId="4" fontId="56" fillId="15" borderId="191" applyNumberFormat="0" applyProtection="0">
      <alignment horizontal="right" vertical="center"/>
    </xf>
    <xf numFmtId="4" fontId="56" fillId="60" borderId="191" applyNumberFormat="0" applyProtection="0">
      <alignment horizontal="right" vertical="center"/>
    </xf>
    <xf numFmtId="186" fontId="56" fillId="14" borderId="189" applyNumberFormat="0" applyProtection="0">
      <alignment horizontal="left" vertical="top" indent="1"/>
    </xf>
    <xf numFmtId="194" fontId="33" fillId="0" borderId="187" applyFill="0"/>
    <xf numFmtId="193" fontId="5" fillId="69" borderId="186">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91" fontId="28" fillId="51" borderId="177">
      <alignment horizontal="right" vertical="center"/>
      <protection locked="0"/>
    </xf>
    <xf numFmtId="4" fontId="56" fillId="55" borderId="201" applyNumberFormat="0" applyProtection="0">
      <alignment horizontal="right" vertical="center"/>
    </xf>
    <xf numFmtId="186" fontId="56" fillId="40" borderId="191" applyNumberFormat="0" applyFont="0" applyAlignment="0" applyProtection="0"/>
    <xf numFmtId="186" fontId="56" fillId="40" borderId="191" applyNumberFormat="0" applyFont="0" applyAlignment="0" applyProtection="0"/>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63" borderId="181" applyNumberFormat="0" applyProtection="0">
      <alignment horizontal="left" vertical="top" indent="1"/>
    </xf>
    <xf numFmtId="186" fontId="27" fillId="63" borderId="181" applyNumberFormat="0" applyProtection="0">
      <alignment horizontal="left" vertical="top" indent="1"/>
    </xf>
    <xf numFmtId="186" fontId="56" fillId="11" borderId="179" applyNumberFormat="0" applyProtection="0">
      <alignment horizontal="left" vertical="center" indent="1"/>
    </xf>
    <xf numFmtId="191" fontId="28" fillId="51" borderId="207">
      <alignment horizontal="right" vertical="center"/>
      <protection locked="0"/>
    </xf>
    <xf numFmtId="0" fontId="27" fillId="21" borderId="189" applyNumberFormat="0" applyProtection="0">
      <alignment horizontal="left" vertical="top" indent="1"/>
    </xf>
    <xf numFmtId="4" fontId="56" fillId="58" borderId="191" applyNumberFormat="0" applyProtection="0">
      <alignment horizontal="right" vertical="center"/>
    </xf>
    <xf numFmtId="4" fontId="62" fillId="11" borderId="199" applyNumberFormat="0" applyProtection="0">
      <alignment horizontal="left" vertical="center" indent="1"/>
    </xf>
    <xf numFmtId="191" fontId="28" fillId="49" borderId="186">
      <alignment vertical="center"/>
    </xf>
    <xf numFmtId="186" fontId="27" fillId="63" borderId="181"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186" fontId="50" fillId="41" borderId="179" applyNumberFormat="0" applyAlignment="0" applyProtection="0"/>
    <xf numFmtId="194" fontId="33" fillId="0" borderId="198" applyFill="0"/>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60" fillId="52" borderId="189" applyNumberFormat="0" applyProtection="0">
      <alignment horizontal="left" vertical="top" indent="1"/>
    </xf>
    <xf numFmtId="186" fontId="56" fillId="40" borderId="191" applyNumberFormat="0" applyFont="0" applyAlignment="0" applyProtection="0"/>
    <xf numFmtId="193" fontId="28" fillId="12" borderId="197">
      <alignment vertical="center"/>
      <protection locked="0"/>
    </xf>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4" fontId="56" fillId="15" borderId="191" applyNumberFormat="0" applyProtection="0">
      <alignment horizontal="right" vertical="center"/>
    </xf>
    <xf numFmtId="4" fontId="56" fillId="16" borderId="191" applyNumberFormat="0" applyProtection="0">
      <alignment horizontal="right" vertical="center"/>
    </xf>
    <xf numFmtId="186" fontId="56" fillId="15" borderId="181" applyNumberFormat="0" applyProtection="0">
      <alignment horizontal="left" vertical="top" indent="1"/>
    </xf>
    <xf numFmtId="186" fontId="28" fillId="50" borderId="177">
      <alignment vertical="center"/>
    </xf>
    <xf numFmtId="4" fontId="56" fillId="23" borderId="191" applyNumberFormat="0" applyProtection="0">
      <alignment horizontal="right" vertical="center"/>
    </xf>
    <xf numFmtId="186" fontId="56" fillId="40" borderId="191" applyNumberFormat="0" applyFont="0" applyAlignment="0" applyProtection="0"/>
    <xf numFmtId="191" fontId="5" fillId="69" borderId="186">
      <alignment vertical="center"/>
    </xf>
    <xf numFmtId="186" fontId="56" fillId="40" borderId="191" applyNumberFormat="0" applyFont="0" applyAlignment="0" applyProtection="0"/>
    <xf numFmtId="188" fontId="5" fillId="69" borderId="197">
      <alignment vertical="center"/>
    </xf>
    <xf numFmtId="4" fontId="56" fillId="16" borderId="179"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186" fontId="57" fillId="44" borderId="180" applyNumberFormat="0" applyAlignment="0" applyProtection="0"/>
    <xf numFmtId="186" fontId="27" fillId="15" borderId="189" applyNumberFormat="0" applyProtection="0">
      <alignment horizontal="left" vertical="top" indent="1"/>
    </xf>
    <xf numFmtId="191" fontId="5" fillId="70" borderId="186">
      <alignment horizontal="right" vertical="center"/>
      <protection locked="0"/>
    </xf>
    <xf numFmtId="186" fontId="50" fillId="41" borderId="179" applyNumberFormat="0" applyAlignment="0" applyProtection="0"/>
    <xf numFmtId="186" fontId="56" fillId="63" borderId="199" applyNumberFormat="0" applyProtection="0">
      <alignment horizontal="left" vertical="top" indent="1"/>
    </xf>
    <xf numFmtId="190" fontId="28" fillId="49" borderId="197">
      <alignment vertical="center"/>
    </xf>
    <xf numFmtId="186" fontId="56" fillId="15" borderId="181" applyNumberFormat="0" applyProtection="0">
      <alignment horizontal="left" vertical="top" indent="1"/>
    </xf>
    <xf numFmtId="186" fontId="60" fillId="52" borderId="181" applyNumberFormat="0" applyProtection="0">
      <alignment horizontal="left" vertical="top" indent="1"/>
    </xf>
    <xf numFmtId="186" fontId="57" fillId="44" borderId="180" applyNumberFormat="0" applyAlignment="0" applyProtection="0"/>
    <xf numFmtId="4" fontId="64" fillId="64"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1" borderId="193" applyBorder="0"/>
    <xf numFmtId="186" fontId="56" fillId="11" borderId="201" applyNumberFormat="0" applyProtection="0">
      <alignment horizontal="left" vertical="center" indent="1"/>
    </xf>
    <xf numFmtId="186" fontId="56" fillId="21" borderId="189" applyNumberFormat="0" applyProtection="0">
      <alignment horizontal="left" vertical="top" indent="1"/>
    </xf>
    <xf numFmtId="0" fontId="5" fillId="13" borderId="177">
      <alignment vertical="center"/>
    </xf>
    <xf numFmtId="4" fontId="63" fillId="66" borderId="195" applyNumberFormat="0" applyProtection="0">
      <alignment horizontal="left" vertical="center" indent="1"/>
    </xf>
    <xf numFmtId="0" fontId="5" fillId="13" borderId="177">
      <alignment vertical="center"/>
    </xf>
    <xf numFmtId="186" fontId="56" fillId="15" borderId="181" applyNumberFormat="0" applyProtection="0">
      <alignment horizontal="left" vertical="top" indent="1"/>
    </xf>
    <xf numFmtId="4" fontId="56" fillId="15" borderId="179" applyNumberFormat="0" applyProtection="0">
      <alignment horizontal="right" vertical="center"/>
    </xf>
    <xf numFmtId="186" fontId="56" fillId="21" borderId="199" applyNumberFormat="0" applyProtection="0">
      <alignment horizontal="left" vertical="top" indent="1"/>
    </xf>
    <xf numFmtId="4" fontId="56" fillId="16" borderId="191" applyNumberFormat="0" applyProtection="0">
      <alignment horizontal="right" vertical="center"/>
    </xf>
    <xf numFmtId="186" fontId="56" fillId="14" borderId="181" applyNumberFormat="0" applyProtection="0">
      <alignment horizontal="left" vertical="top" indent="1"/>
    </xf>
    <xf numFmtId="4" fontId="63" fillId="66" borderId="205" applyNumberFormat="0" applyProtection="0">
      <alignment horizontal="left" vertical="center" indent="1"/>
    </xf>
    <xf numFmtId="4" fontId="56" fillId="60" borderId="179" applyNumberFormat="0" applyProtection="0">
      <alignment horizontal="right" vertical="center"/>
    </xf>
    <xf numFmtId="4" fontId="56" fillId="59" borderId="179" applyNumberFormat="0" applyProtection="0">
      <alignment horizontal="right" vertical="center"/>
    </xf>
    <xf numFmtId="186" fontId="56" fillId="63" borderId="189" applyNumberFormat="0" applyProtection="0">
      <alignment horizontal="left" vertical="top" indent="1"/>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7" borderId="205" applyNumberFormat="0" applyProtection="0">
      <alignment horizontal="right" vertical="center"/>
    </xf>
    <xf numFmtId="4" fontId="56" fillId="15"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4" fontId="56" fillId="57" borderId="195" applyNumberFormat="0" applyProtection="0">
      <alignment horizontal="right" vertical="center"/>
    </xf>
    <xf numFmtId="186" fontId="50" fillId="41" borderId="191" applyNumberFormat="0" applyAlignment="0" applyProtection="0"/>
    <xf numFmtId="186" fontId="28" fillId="12" borderId="186">
      <alignment vertical="center"/>
      <protection locked="0"/>
    </xf>
    <xf numFmtId="186" fontId="56" fillId="40" borderId="191" applyNumberFormat="0" applyFont="0" applyAlignment="0" applyProtection="0"/>
    <xf numFmtId="186" fontId="56" fillId="14" borderId="181" applyNumberFormat="0" applyProtection="0">
      <alignment horizontal="left" vertical="top" indent="1"/>
    </xf>
    <xf numFmtId="193" fontId="5" fillId="69" borderId="186">
      <alignment vertical="center"/>
    </xf>
    <xf numFmtId="4" fontId="56" fillId="15" borderId="182" applyNumberFormat="0" applyProtection="0">
      <alignment horizontal="left" vertical="center" indent="1"/>
    </xf>
    <xf numFmtId="4" fontId="56" fillId="52" borderId="201" applyNumberFormat="0" applyProtection="0">
      <alignment vertical="center"/>
    </xf>
    <xf numFmtId="186" fontId="28" fillId="12" borderId="177">
      <alignment vertical="center"/>
      <protection locked="0"/>
    </xf>
    <xf numFmtId="172" fontId="28" fillId="12" borderId="186">
      <alignment vertical="center"/>
      <protection locked="0"/>
    </xf>
    <xf numFmtId="191" fontId="5" fillId="13" borderId="186">
      <alignment vertical="center"/>
    </xf>
    <xf numFmtId="4" fontId="62" fillId="48" borderId="181" applyNumberFormat="0" applyProtection="0">
      <alignment vertical="center"/>
    </xf>
    <xf numFmtId="186" fontId="56" fillId="21" borderId="189" applyNumberFormat="0" applyProtection="0">
      <alignment horizontal="left" vertical="top" indent="1"/>
    </xf>
    <xf numFmtId="193" fontId="28" fillId="12" borderId="177">
      <alignment vertical="center"/>
      <protection locked="0"/>
    </xf>
    <xf numFmtId="4" fontId="56" fillId="16" borderId="179" applyNumberFormat="0" applyProtection="0">
      <alignment horizontal="right" vertical="center"/>
    </xf>
    <xf numFmtId="194" fontId="33" fillId="0" borderId="178" applyFill="0"/>
    <xf numFmtId="4" fontId="56" fillId="59" borderId="191" applyNumberFormat="0" applyProtection="0">
      <alignment horizontal="right" vertical="center"/>
    </xf>
    <xf numFmtId="4" fontId="62" fillId="48" borderId="189"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center" indent="1"/>
    </xf>
    <xf numFmtId="4" fontId="63" fillId="66" borderId="205" applyNumberFormat="0" applyProtection="0">
      <alignment horizontal="left" vertical="center" indent="1"/>
    </xf>
    <xf numFmtId="186" fontId="44" fillId="0" borderId="206" applyNumberFormat="0" applyFill="0" applyAlignment="0" applyProtection="0"/>
    <xf numFmtId="186" fontId="27" fillId="21" borderId="199" applyNumberFormat="0" applyProtection="0">
      <alignment horizontal="left" vertical="top" indent="1"/>
    </xf>
    <xf numFmtId="186" fontId="56" fillId="62" borderId="191" applyNumberFormat="0" applyProtection="0">
      <alignment horizontal="left" vertical="center" indent="1"/>
    </xf>
    <xf numFmtId="188" fontId="28" fillId="49" borderId="197">
      <alignment vertical="center"/>
    </xf>
    <xf numFmtId="191" fontId="28" fillId="50" borderId="197">
      <alignment vertical="center"/>
    </xf>
    <xf numFmtId="186" fontId="56" fillId="21" borderId="181"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93" fontId="28" fillId="50" borderId="197">
      <alignment vertical="center"/>
    </xf>
    <xf numFmtId="186" fontId="44" fillId="0" borderId="196" applyNumberFormat="0" applyFill="0" applyAlignment="0" applyProtection="0"/>
    <xf numFmtId="4" fontId="56" fillId="57" borderId="195" applyNumberFormat="0" applyProtection="0">
      <alignment horizontal="righ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27" fillId="14" borderId="181"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7" fillId="44" borderId="180" applyNumberFormat="0" applyAlignment="0" applyProtection="0"/>
    <xf numFmtId="186" fontId="50" fillId="41"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2" fillId="48" borderId="199" applyNumberFormat="0" applyProtection="0">
      <alignment horizontal="left" vertical="top" indent="1"/>
    </xf>
    <xf numFmtId="186" fontId="56" fillId="14"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4" fontId="56" fillId="15" borderId="191" applyNumberFormat="0" applyProtection="0">
      <alignment horizontal="right" vertical="center"/>
    </xf>
    <xf numFmtId="186" fontId="27" fillId="14" borderId="189" applyNumberFormat="0" applyProtection="0">
      <alignment horizontal="left" vertical="top" indent="1"/>
    </xf>
    <xf numFmtId="186" fontId="56" fillId="63" borderId="191"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56" fillId="63" borderId="181" applyNumberFormat="0" applyProtection="0">
      <alignment horizontal="left" vertical="top" indent="1"/>
    </xf>
    <xf numFmtId="4" fontId="56" fillId="54" borderId="179" applyNumberFormat="0" applyProtection="0">
      <alignment horizontal="left" vertical="center" indent="1"/>
    </xf>
    <xf numFmtId="186" fontId="42" fillId="44" borderId="179" applyNumberFormat="0" applyAlignment="0" applyProtection="0"/>
    <xf numFmtId="186" fontId="57" fillId="44" borderId="180" applyNumberFormat="0" applyAlignment="0" applyProtection="0"/>
    <xf numFmtId="4" fontId="74" fillId="87" borderId="189" applyNumberFormat="0" applyProtection="0">
      <alignment horizontal="right" vertical="center"/>
    </xf>
    <xf numFmtId="186" fontId="56" fillId="67" borderId="197"/>
    <xf numFmtId="186" fontId="56" fillId="40" borderId="191" applyNumberFormat="0" applyFont="0" applyAlignment="0" applyProtection="0"/>
    <xf numFmtId="186" fontId="61" fillId="21" borderId="193" applyBorder="0"/>
    <xf numFmtId="4" fontId="62" fillId="11" borderId="189" applyNumberFormat="0" applyProtection="0">
      <alignment horizontal="left" vertical="center" indent="1"/>
    </xf>
    <xf numFmtId="186" fontId="56" fillId="14"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4" fontId="56" fillId="54" borderId="191" applyNumberFormat="0" applyProtection="0">
      <alignment horizontal="left" vertical="center" indent="1"/>
    </xf>
    <xf numFmtId="186" fontId="27"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6" fillId="21" borderId="189" applyNumberFormat="0" applyProtection="0">
      <alignment horizontal="left" vertical="top" indent="1"/>
    </xf>
    <xf numFmtId="186" fontId="56" fillId="63" borderId="201" applyNumberFormat="0" applyProtection="0">
      <alignment horizontal="left" vertical="center" indent="1"/>
    </xf>
    <xf numFmtId="4" fontId="56" fillId="54" borderId="191" applyNumberFormat="0" applyProtection="0">
      <alignment horizontal="left" vertical="center" indent="1"/>
    </xf>
    <xf numFmtId="196" fontId="5" fillId="70" borderId="186">
      <alignment horizontal="right" vertical="center"/>
      <protection locked="0"/>
    </xf>
    <xf numFmtId="186" fontId="57" fillId="44" borderId="192" applyNumberFormat="0" applyAlignment="0" applyProtection="0"/>
    <xf numFmtId="186" fontId="56" fillId="63" borderId="181" applyNumberFormat="0" applyProtection="0">
      <alignment horizontal="left" vertical="top" indent="1"/>
    </xf>
    <xf numFmtId="4" fontId="62" fillId="11" borderId="189" applyNumberFormat="0" applyProtection="0">
      <alignment horizontal="left" vertical="center" indent="1"/>
    </xf>
    <xf numFmtId="186" fontId="60" fillId="52" borderId="181" applyNumberFormat="0" applyProtection="0">
      <alignment horizontal="left" vertical="top" indent="1"/>
    </xf>
    <xf numFmtId="186" fontId="56" fillId="15" borderId="199" applyNumberFormat="0" applyProtection="0">
      <alignment horizontal="left" vertical="top" indent="1"/>
    </xf>
    <xf numFmtId="191" fontId="5" fillId="13" borderId="186">
      <alignment vertical="center"/>
    </xf>
    <xf numFmtId="186" fontId="62" fillId="48" borderId="189" applyNumberFormat="0" applyProtection="0">
      <alignment horizontal="left" vertical="top" indent="1"/>
    </xf>
    <xf numFmtId="4" fontId="56" fillId="23" borderId="179" applyNumberFormat="0" applyProtection="0">
      <alignment horizontal="right" vertical="center"/>
    </xf>
    <xf numFmtId="0" fontId="5" fillId="7" borderId="186">
      <alignment vertical="center"/>
      <protection locked="0"/>
    </xf>
    <xf numFmtId="4" fontId="56" fillId="54" borderId="191" applyNumberFormat="0" applyProtection="0">
      <alignment horizontal="left" vertical="center" indent="1"/>
    </xf>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56" fillId="14" borderId="182"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4" fontId="56" fillId="58" borderId="201" applyNumberFormat="0" applyProtection="0">
      <alignment horizontal="right" vertical="center"/>
    </xf>
    <xf numFmtId="186" fontId="56" fillId="63" borderId="189" applyNumberFormat="0" applyProtection="0">
      <alignment horizontal="left" vertical="top" indent="1"/>
    </xf>
    <xf numFmtId="186" fontId="50" fillId="41" borderId="201" applyNumberFormat="0" applyAlignment="0" applyProtection="0"/>
    <xf numFmtId="4" fontId="56" fillId="14" borderId="195" applyNumberFormat="0" applyProtection="0">
      <alignment horizontal="left" vertical="center" indent="1"/>
    </xf>
    <xf numFmtId="4" fontId="56" fillId="19" borderId="19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15" borderId="179" applyNumberFormat="0" applyProtection="0">
      <alignment horizontal="right" vertical="center"/>
    </xf>
    <xf numFmtId="191" fontId="28" fillId="50" borderId="186">
      <alignment vertical="center"/>
    </xf>
    <xf numFmtId="186" fontId="56" fillId="15" borderId="189" applyNumberFormat="0" applyProtection="0">
      <alignment horizontal="left" vertical="top" indent="1"/>
    </xf>
    <xf numFmtId="4" fontId="63" fillId="66" borderId="205" applyNumberFormat="0" applyProtection="0">
      <alignment horizontal="left" vertical="center" indent="1"/>
    </xf>
    <xf numFmtId="186" fontId="42" fillId="44" borderId="179" applyNumberFormat="0" applyAlignment="0" applyProtection="0"/>
    <xf numFmtId="186" fontId="56" fillId="14" borderId="189" applyNumberFormat="0" applyProtection="0">
      <alignment horizontal="left" vertical="top" indent="1"/>
    </xf>
    <xf numFmtId="186" fontId="62" fillId="15" borderId="189" applyNumberFormat="0" applyProtection="0">
      <alignment horizontal="left" vertical="top" indent="1"/>
    </xf>
    <xf numFmtId="186" fontId="28" fillId="49" borderId="177">
      <alignment vertical="center"/>
    </xf>
    <xf numFmtId="4" fontId="56" fillId="19" borderId="179" applyNumberFormat="0" applyProtection="0">
      <alignment horizontal="right" vertical="center"/>
    </xf>
    <xf numFmtId="186" fontId="56" fillId="40" borderId="201" applyNumberFormat="0" applyFont="0" applyAlignment="0" applyProtection="0"/>
    <xf numFmtId="186" fontId="56" fillId="14" borderId="181" applyNumberFormat="0" applyProtection="0">
      <alignment horizontal="left" vertical="top" indent="1"/>
    </xf>
    <xf numFmtId="190" fontId="5" fillId="70" borderId="177">
      <alignment horizontal="right" vertical="center"/>
      <protection locked="0"/>
    </xf>
    <xf numFmtId="188" fontId="5" fillId="7" borderId="177">
      <alignment vertical="center"/>
      <protection locked="0"/>
    </xf>
    <xf numFmtId="186" fontId="56" fillId="21" borderId="199" applyNumberFormat="0" applyProtection="0">
      <alignment horizontal="left" vertical="top" indent="1"/>
    </xf>
    <xf numFmtId="4" fontId="64" fillId="64" borderId="191" applyNumberFormat="0" applyProtection="0">
      <alignment horizontal="right" vertical="center"/>
    </xf>
    <xf numFmtId="186" fontId="56" fillId="63" borderId="181" applyNumberFormat="0" applyProtection="0">
      <alignment horizontal="left" vertical="top" indent="1"/>
    </xf>
    <xf numFmtId="191" fontId="28" fillId="50" borderId="186">
      <alignment vertical="center"/>
    </xf>
    <xf numFmtId="186" fontId="56" fillId="63" borderId="199" applyNumberFormat="0" applyProtection="0">
      <alignment horizontal="left" vertical="top" indent="1"/>
    </xf>
    <xf numFmtId="4" fontId="72" fillId="49" borderId="199"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0" fillId="41" borderId="179" applyNumberFormat="0" applyAlignment="0" applyProtection="0"/>
    <xf numFmtId="4" fontId="56" fillId="0" borderId="179" applyNumberFormat="0" applyProtection="0">
      <alignment horizontal="right" vertical="center"/>
    </xf>
    <xf numFmtId="4" fontId="27" fillId="21" borderId="195"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4" fontId="56" fillId="15" borderId="195" applyNumberFormat="0" applyProtection="0">
      <alignment horizontal="left" vertical="center" indent="1"/>
    </xf>
    <xf numFmtId="186" fontId="56" fillId="40" borderId="19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186" fontId="56" fillId="40" borderId="201" applyNumberFormat="0" applyFont="0" applyAlignment="0" applyProtection="0"/>
    <xf numFmtId="196" fontId="5" fillId="70" borderId="177">
      <alignment horizontal="right" vertical="center"/>
      <protection locked="0"/>
    </xf>
    <xf numFmtId="4" fontId="56" fillId="54" borderId="191" applyNumberFormat="0" applyProtection="0">
      <alignment horizontal="left" vertical="center" indent="1"/>
    </xf>
    <xf numFmtId="186" fontId="56" fillId="40" borderId="191" applyNumberFormat="0" applyFont="0" applyAlignment="0" applyProtection="0"/>
    <xf numFmtId="186" fontId="56" fillId="40" borderId="201" applyNumberFormat="0" applyFont="0" applyAlignment="0" applyProtection="0"/>
    <xf numFmtId="194" fontId="33" fillId="0" borderId="178" applyFill="0"/>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28" fillId="49" borderId="197">
      <alignment vertical="center"/>
    </xf>
    <xf numFmtId="186" fontId="56" fillId="21" borderId="181"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14" borderId="199" applyNumberFormat="0" applyProtection="0">
      <alignment horizontal="left" vertical="top" indent="1"/>
    </xf>
    <xf numFmtId="186" fontId="28" fillId="51" borderId="197">
      <alignment horizontal="right" vertical="center"/>
      <protection locked="0"/>
    </xf>
    <xf numFmtId="191" fontId="28" fillId="49" borderId="177">
      <alignment vertical="center"/>
    </xf>
    <xf numFmtId="186" fontId="56" fillId="63" borderId="181" applyNumberFormat="0" applyProtection="0">
      <alignment horizontal="left" vertical="top" indent="1"/>
    </xf>
    <xf numFmtId="4" fontId="56" fillId="55" borderId="17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61" fillId="21" borderId="193" applyBorder="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91" fontId="5" fillId="69" borderId="177">
      <alignment vertical="center"/>
    </xf>
    <xf numFmtId="186" fontId="61" fillId="21" borderId="193" applyBorder="0"/>
    <xf numFmtId="186" fontId="56" fillId="63" borderId="181" applyNumberFormat="0" applyProtection="0">
      <alignment horizontal="left" vertical="top" indent="1"/>
    </xf>
    <xf numFmtId="186" fontId="50" fillId="41" borderId="191" applyNumberFormat="0" applyAlignment="0" applyProtection="0"/>
    <xf numFmtId="4" fontId="72" fillId="83" borderId="189" applyNumberFormat="0" applyProtection="0">
      <alignment horizontal="right" vertical="center"/>
    </xf>
    <xf numFmtId="186" fontId="56" fillId="21" borderId="189" applyNumberFormat="0" applyProtection="0">
      <alignment horizontal="left" vertical="top" indent="1"/>
    </xf>
    <xf numFmtId="4" fontId="59" fillId="65" borderId="179" applyNumberFormat="0" applyProtection="0">
      <alignment horizontal="right" vertical="center"/>
    </xf>
    <xf numFmtId="186" fontId="57" fillId="44" borderId="180" applyNumberFormat="0" applyAlignment="0" applyProtection="0"/>
    <xf numFmtId="186" fontId="60" fillId="52" borderId="199" applyNumberFormat="0" applyProtection="0">
      <alignment horizontal="left" vertical="top" indent="1"/>
    </xf>
    <xf numFmtId="191" fontId="28" fillId="12" borderId="197">
      <alignment vertical="center"/>
      <protection locked="0"/>
    </xf>
    <xf numFmtId="186" fontId="56" fillId="40" borderId="201" applyNumberFormat="0" applyFont="0" applyAlignment="0" applyProtection="0"/>
    <xf numFmtId="4" fontId="56" fillId="59" borderId="201" applyNumberFormat="0" applyProtection="0">
      <alignment horizontal="right" vertical="center"/>
    </xf>
    <xf numFmtId="186" fontId="56" fillId="14" borderId="189" applyNumberFormat="0" applyProtection="0">
      <alignment horizontal="left" vertical="top" indent="1"/>
    </xf>
    <xf numFmtId="4" fontId="59" fillId="65" borderId="201" applyNumberFormat="0" applyProtection="0">
      <alignment horizontal="right" vertical="center"/>
    </xf>
    <xf numFmtId="186" fontId="56" fillId="63" borderId="179" applyNumberFormat="0" applyProtection="0">
      <alignment horizontal="left" vertical="center" indent="1"/>
    </xf>
    <xf numFmtId="4" fontId="56" fillId="54" borderId="201" applyNumberFormat="0" applyProtection="0">
      <alignment horizontal="left" vertical="center" indent="1"/>
    </xf>
    <xf numFmtId="186" fontId="56" fillId="62" borderId="201" applyNumberFormat="0" applyProtection="0">
      <alignment horizontal="left" vertical="center" indent="1"/>
    </xf>
    <xf numFmtId="4" fontId="56" fillId="52" borderId="201" applyNumberFormat="0" applyProtection="0">
      <alignment vertical="center"/>
    </xf>
    <xf numFmtId="4" fontId="62" fillId="11"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90" fontId="28" fillId="49" borderId="197">
      <alignment vertical="center"/>
    </xf>
    <xf numFmtId="186" fontId="56" fillId="15" borderId="199" applyNumberFormat="0" applyProtection="0">
      <alignment horizontal="left" vertical="top" indent="1"/>
    </xf>
    <xf numFmtId="186" fontId="56" fillId="14" borderId="189" applyNumberFormat="0" applyProtection="0">
      <alignment horizontal="left" vertical="top" indent="1"/>
    </xf>
    <xf numFmtId="4" fontId="56" fillId="59"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15" borderId="205"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62" borderId="201"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57" fillId="44" borderId="202" applyNumberFormat="0" applyAlignment="0" applyProtection="0"/>
    <xf numFmtId="186" fontId="62" fillId="15" borderId="199" applyNumberFormat="0" applyProtection="0">
      <alignment horizontal="left" vertical="top" indent="1"/>
    </xf>
    <xf numFmtId="186" fontId="56" fillId="40" borderId="201" applyNumberFormat="0" applyFont="0" applyAlignment="0" applyProtection="0"/>
    <xf numFmtId="4" fontId="56" fillId="16" borderId="201" applyNumberFormat="0" applyProtection="0">
      <alignment horizontal="right" vertical="center"/>
    </xf>
    <xf numFmtId="4" fontId="56" fillId="55" borderId="201" applyNumberFormat="0" applyProtection="0">
      <alignment horizontal="right" vertical="center"/>
    </xf>
    <xf numFmtId="186" fontId="27" fillId="63" borderId="189" applyNumberFormat="0" applyProtection="0">
      <alignment horizontal="left" vertical="center" indent="1"/>
    </xf>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91" fontId="5" fillId="13" borderId="177">
      <alignment vertical="center"/>
    </xf>
    <xf numFmtId="186" fontId="61" fillId="21" borderId="203" applyBorder="0"/>
    <xf numFmtId="4" fontId="56" fillId="55" borderId="201" applyNumberFormat="0" applyProtection="0">
      <alignment horizontal="right" vertical="center"/>
    </xf>
    <xf numFmtId="186" fontId="56" fillId="15" borderId="199" applyNumberFormat="0" applyProtection="0">
      <alignment horizontal="left" vertical="top" indent="1"/>
    </xf>
    <xf numFmtId="186" fontId="57" fillId="44" borderId="202" applyNumberForma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4" fontId="56" fillId="15" borderId="201" applyNumberFormat="0" applyProtection="0">
      <alignment horizontal="right" vertical="center"/>
    </xf>
    <xf numFmtId="186" fontId="42" fillId="44" borderId="201" applyNumberForma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3" fillId="66" borderId="19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4" borderId="201" applyNumberFormat="0" applyProtection="0">
      <alignment horizontal="left" vertical="center"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6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23" borderId="20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63" borderId="199" applyNumberFormat="0" applyProtection="0">
      <alignment horizontal="left" vertical="top" indent="1"/>
    </xf>
    <xf numFmtId="186" fontId="57" fillId="44" borderId="202" applyNumberFormat="0" applyAlignment="0" applyProtection="0"/>
    <xf numFmtId="186" fontId="56" fillId="63"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2"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63" fillId="66" borderId="205" applyNumberFormat="0" applyProtection="0">
      <alignment horizontal="left" vertical="center" indent="1"/>
    </xf>
    <xf numFmtId="186" fontId="42" fillId="44" borderId="201" applyNumberFormat="0" applyAlignment="0" applyProtection="0"/>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4" fontId="56" fillId="55" borderId="20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27" fillId="21" borderId="199" applyNumberFormat="0" applyProtection="0">
      <alignment horizontal="left" vertical="center" indent="1"/>
    </xf>
    <xf numFmtId="186" fontId="57" fillId="44" borderId="202" applyNumberFormat="0" applyAlignment="0" applyProtection="0"/>
    <xf numFmtId="4" fontId="59" fillId="65" borderId="201" applyNumberFormat="0" applyProtection="0">
      <alignment horizontal="right" vertical="center"/>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4" fontId="56" fillId="15" borderId="201" applyNumberFormat="0" applyProtection="0">
      <alignment horizontal="righ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center" indent="1"/>
    </xf>
    <xf numFmtId="4" fontId="27" fillId="21" borderId="205" applyNumberFormat="0" applyProtection="0">
      <alignment horizontal="left" vertical="center" indent="1"/>
    </xf>
    <xf numFmtId="4" fontId="56" fillId="52" borderId="201" applyNumberFormat="0" applyProtection="0">
      <alignmen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4" fontId="56" fillId="56" borderId="201" applyNumberFormat="0" applyProtection="0">
      <alignment horizontal="right" vertical="center"/>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15" borderId="201" applyNumberFormat="0" applyProtection="0">
      <alignment horizontal="right" vertical="center"/>
    </xf>
    <xf numFmtId="186" fontId="62" fillId="15"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6" fillId="52" borderId="201" applyNumberFormat="0" applyProtection="0">
      <alignment vertical="center"/>
    </xf>
    <xf numFmtId="4" fontId="56" fillId="58" borderId="201" applyNumberFormat="0" applyProtection="0">
      <alignment horizontal="right" vertical="center"/>
    </xf>
    <xf numFmtId="186" fontId="27" fillId="21"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4" fontId="56" fillId="57" borderId="205" applyNumberFormat="0" applyProtection="0">
      <alignment horizontal="right" vertical="center"/>
    </xf>
    <xf numFmtId="4" fontId="56" fillId="14"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4" fontId="59" fillId="65" borderId="201" applyNumberFormat="0" applyProtection="0">
      <alignment horizontal="right" vertical="center"/>
    </xf>
    <xf numFmtId="186" fontId="42" fillId="44" borderId="201" applyNumberFormat="0" applyAlignment="0" applyProtection="0"/>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21" borderId="199" applyNumberFormat="0" applyProtection="0">
      <alignment horizontal="left" vertical="top" indent="1"/>
    </xf>
    <xf numFmtId="37" fontId="33" fillId="0" borderId="184" applyNumberFormat="0"/>
    <xf numFmtId="186" fontId="56" fillId="15" borderId="181" applyNumberFormat="0" applyProtection="0">
      <alignment horizontal="left" vertical="top" indent="1"/>
    </xf>
    <xf numFmtId="186" fontId="56" fillId="63" borderId="181" applyNumberFormat="0" applyProtection="0">
      <alignment horizontal="left" vertical="top" indent="1"/>
    </xf>
    <xf numFmtId="4" fontId="72" fillId="49" borderId="181" applyNumberFormat="0" applyProtection="0">
      <alignment horizontal="right" vertical="center"/>
    </xf>
    <xf numFmtId="186" fontId="56" fillId="15" borderId="181"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4" fontId="56" fillId="19" borderId="179"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4" fontId="56" fillId="54" borderId="179" applyNumberFormat="0" applyProtection="0">
      <alignment horizontal="left" vertical="center" indent="1"/>
    </xf>
    <xf numFmtId="4" fontId="56" fillId="59" borderId="191" applyNumberFormat="0" applyProtection="0">
      <alignment horizontal="right" vertical="center"/>
    </xf>
    <xf numFmtId="186" fontId="42" fillId="44" borderId="191" applyNumberFormat="0" applyAlignment="0" applyProtection="0"/>
    <xf numFmtId="4" fontId="56" fillId="58" borderId="191" applyNumberFormat="0" applyProtection="0">
      <alignment horizontal="right" vertical="center"/>
    </xf>
    <xf numFmtId="191" fontId="28" fillId="51" borderId="186">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56" fillId="40" borderId="179" applyNumberFormat="0" applyFont="0" applyAlignment="0" applyProtection="0"/>
    <xf numFmtId="4" fontId="56" fillId="53" borderId="179" applyNumberFormat="0" applyProtection="0">
      <alignment horizontal="left" vertical="center" indent="1"/>
    </xf>
    <xf numFmtId="4" fontId="56" fillId="14" borderId="195" applyNumberFormat="0" applyProtection="0">
      <alignment horizontal="left" vertical="center" indent="1"/>
    </xf>
    <xf numFmtId="186" fontId="50" fillId="41" borderId="191" applyNumberFormat="0" applyAlignment="0" applyProtection="0"/>
    <xf numFmtId="186" fontId="56" fillId="15" borderId="181" applyNumberFormat="0" applyProtection="0">
      <alignment horizontal="left" vertical="top" indent="1"/>
    </xf>
    <xf numFmtId="186" fontId="56" fillId="63" borderId="189" applyNumberFormat="0" applyProtection="0">
      <alignment horizontal="left" vertical="top" indent="1"/>
    </xf>
    <xf numFmtId="196" fontId="5" fillId="13" borderId="186">
      <alignment vertical="center"/>
    </xf>
    <xf numFmtId="4" fontId="72" fillId="83" borderId="189"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191" fontId="5" fillId="13" borderId="177">
      <alignment vertical="center"/>
    </xf>
    <xf numFmtId="186" fontId="56" fillId="15" borderId="189" applyNumberFormat="0" applyProtection="0">
      <alignment horizontal="left" vertical="top" indent="1"/>
    </xf>
    <xf numFmtId="4" fontId="27" fillId="21" borderId="195" applyNumberFormat="0" applyProtection="0">
      <alignment horizontal="left" vertical="center" indent="1"/>
    </xf>
    <xf numFmtId="37" fontId="33" fillId="0" borderId="204" applyNumberFormat="0"/>
    <xf numFmtId="186" fontId="56" fillId="14" borderId="189" applyNumberFormat="0" applyProtection="0">
      <alignment horizontal="left" vertical="top" indent="1"/>
    </xf>
    <xf numFmtId="4" fontId="59" fillId="65" borderId="201" applyNumberFormat="0" applyProtection="0">
      <alignment horizontal="right" vertical="center"/>
    </xf>
    <xf numFmtId="186" fontId="27" fillId="63" borderId="199" applyNumberFormat="0" applyProtection="0">
      <alignment horizontal="left" vertical="center" indent="1"/>
    </xf>
    <xf numFmtId="186" fontId="56" fillId="14" borderId="199" applyNumberFormat="0" applyProtection="0">
      <alignment horizontal="left" vertical="top" indent="1"/>
    </xf>
    <xf numFmtId="4" fontId="56" fillId="19" borderId="191" applyNumberFormat="0" applyProtection="0">
      <alignment horizontal="right" vertical="center"/>
    </xf>
    <xf numFmtId="186" fontId="56" fillId="40" borderId="201" applyNumberFormat="0" applyFont="0" applyAlignment="0" applyProtection="0"/>
    <xf numFmtId="4" fontId="56" fillId="15" borderId="19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40" borderId="201" applyNumberFormat="0" applyFont="0" applyAlignment="0" applyProtection="0"/>
    <xf numFmtId="186" fontId="27" fillId="63" borderId="18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top" indent="1"/>
    </xf>
    <xf numFmtId="4" fontId="56" fillId="54" borderId="191" applyNumberFormat="0" applyProtection="0">
      <alignment horizontal="left" vertical="center" indent="1"/>
    </xf>
    <xf numFmtId="186" fontId="56" fillId="63" borderId="189" applyNumberFormat="0" applyProtection="0">
      <alignment horizontal="left" vertical="top" indent="1"/>
    </xf>
    <xf numFmtId="190" fontId="5" fillId="70" borderId="197">
      <alignment horizontal="righ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4" fontId="33" fillId="0" borderId="178" applyFill="0"/>
    <xf numFmtId="4" fontId="56" fillId="19" borderId="179" applyNumberFormat="0" applyProtection="0">
      <alignment horizontal="right" vertical="center"/>
    </xf>
    <xf numFmtId="186" fontId="56" fillId="40" borderId="179" applyNumberFormat="0" applyFont="0" applyAlignment="0" applyProtection="0"/>
    <xf numFmtId="186" fontId="56" fillId="14" borderId="201"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194" fontId="33" fillId="0" borderId="178" applyFill="0"/>
    <xf numFmtId="186" fontId="62" fillId="48"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91" fontId="28" fillId="50" borderId="17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8" fillId="50" borderId="197">
      <alignment vertical="center"/>
    </xf>
    <xf numFmtId="186" fontId="42" fillId="44" borderId="201" applyNumberFormat="0" applyAlignment="0" applyProtection="0"/>
    <xf numFmtId="186" fontId="56" fillId="40" borderId="201" applyNumberFormat="0" applyFont="0" applyAlignment="0" applyProtection="0"/>
    <xf numFmtId="188" fontId="28" fillId="50" borderId="197">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37" fontId="33" fillId="0" borderId="204" applyNumberFormat="0"/>
    <xf numFmtId="186" fontId="56" fillId="14" borderId="189" applyNumberFormat="0" applyProtection="0">
      <alignment horizontal="left" vertical="top" indent="1"/>
    </xf>
    <xf numFmtId="186" fontId="27" fillId="14" borderId="189" applyNumberFormat="0" applyProtection="0">
      <alignment horizontal="left" vertical="top" indent="1"/>
    </xf>
    <xf numFmtId="4" fontId="59" fillId="53" borderId="191" applyNumberFormat="0" applyProtection="0">
      <alignment vertical="center"/>
    </xf>
    <xf numFmtId="4" fontId="64" fillId="64" borderId="191" applyNumberFormat="0" applyProtection="0">
      <alignment horizontal="right" vertical="center"/>
    </xf>
    <xf numFmtId="4" fontId="56" fillId="53" borderId="201" applyNumberFormat="0" applyProtection="0">
      <alignment horizontal="left" vertical="center" indent="1"/>
    </xf>
    <xf numFmtId="186" fontId="50" fillId="41" borderId="201" applyNumberFormat="0" applyAlignment="0" applyProtection="0"/>
    <xf numFmtId="4" fontId="56" fillId="15" borderId="201" applyNumberFormat="0" applyProtection="0">
      <alignment horizontal="right" vertical="center"/>
    </xf>
    <xf numFmtId="4" fontId="59" fillId="65" borderId="201" applyNumberFormat="0" applyProtection="0">
      <alignment horizontal="right" vertical="center"/>
    </xf>
    <xf numFmtId="186" fontId="27" fillId="14" borderId="199" applyNumberFormat="0" applyProtection="0">
      <alignment horizontal="left" vertical="top" indent="1"/>
    </xf>
    <xf numFmtId="4" fontId="56" fillId="54" borderId="201" applyNumberFormat="0" applyProtection="0">
      <alignment horizontal="left" vertical="center" indent="1"/>
    </xf>
    <xf numFmtId="186" fontId="27" fillId="63" borderId="199" applyNumberFormat="0" applyProtection="0">
      <alignment horizontal="left" vertical="center" indent="1"/>
    </xf>
    <xf numFmtId="186" fontId="56" fillId="14" borderId="189" applyNumberFormat="0" applyProtection="0">
      <alignment horizontal="left" vertical="top" indent="1"/>
    </xf>
    <xf numFmtId="186" fontId="56" fillId="63"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4" fillId="87" borderId="199"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27" fillId="63" borderId="189" applyNumberFormat="0" applyProtection="0">
      <alignment horizontal="left" vertical="top" indent="1"/>
    </xf>
    <xf numFmtId="186" fontId="27" fillId="15" borderId="199" applyNumberFormat="0" applyProtection="0">
      <alignment horizontal="left" vertical="center" indent="1"/>
    </xf>
    <xf numFmtId="4" fontId="27" fillId="21" borderId="195"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4" fontId="56" fillId="52" borderId="191" applyNumberFormat="0" applyProtection="0">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7" fillId="44" borderId="192" applyNumberFormat="0" applyAlignment="0" applyProtection="0"/>
    <xf numFmtId="186" fontId="42" fillId="44" borderId="191" applyNumberFormat="0" applyAlignment="0" applyProtection="0"/>
    <xf numFmtId="4" fontId="56" fillId="59" borderId="191" applyNumberFormat="0" applyProtection="0">
      <alignment horizontal="right" vertical="center"/>
    </xf>
    <xf numFmtId="4" fontId="64" fillId="64" borderId="191" applyNumberFormat="0" applyProtection="0">
      <alignment horizontal="right" vertical="center"/>
    </xf>
    <xf numFmtId="4" fontId="56" fillId="61" borderId="195" applyNumberFormat="0" applyProtection="0">
      <alignment horizontal="left" vertical="center" indent="1"/>
    </xf>
    <xf numFmtId="186" fontId="56" fillId="14" borderId="201" applyNumberFormat="0" applyProtection="0">
      <alignment horizontal="left" vertical="center"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86" fontId="56" fillId="21" borderId="181" applyNumberFormat="0" applyProtection="0">
      <alignment horizontal="left" vertical="top" indent="1"/>
    </xf>
    <xf numFmtId="190" fontId="5" fillId="69" borderId="197">
      <alignment vertical="center"/>
    </xf>
    <xf numFmtId="186" fontId="56" fillId="14" borderId="181"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63" borderId="189" applyNumberFormat="0" applyProtection="0">
      <alignment horizontal="left" vertical="top" indent="1"/>
    </xf>
    <xf numFmtId="4" fontId="27" fillId="21" borderId="205" applyNumberFormat="0" applyProtection="0">
      <alignment horizontal="left" vertical="center" indent="1"/>
    </xf>
    <xf numFmtId="186" fontId="56" fillId="62" borderId="191" applyNumberFormat="0" applyProtection="0">
      <alignment horizontal="left" vertical="center"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0" fontId="27" fillId="15" borderId="199" applyNumberFormat="0" applyProtection="0">
      <alignment horizontal="left" vertical="center" indent="1"/>
    </xf>
    <xf numFmtId="4" fontId="56" fillId="14" borderId="205" applyNumberFormat="0" applyProtection="0">
      <alignment horizontal="left" vertical="center" indent="1"/>
    </xf>
    <xf numFmtId="4" fontId="56" fillId="54" borderId="201" applyNumberFormat="0" applyProtection="0">
      <alignment horizontal="left" vertical="center" indent="1"/>
    </xf>
    <xf numFmtId="4" fontId="56" fillId="54" borderId="191" applyNumberFormat="0" applyProtection="0">
      <alignment horizontal="left" vertical="center" indent="1"/>
    </xf>
    <xf numFmtId="4" fontId="59" fillId="65" borderId="201" applyNumberFormat="0" applyProtection="0">
      <alignment horizontal="right" vertical="center"/>
    </xf>
    <xf numFmtId="188" fontId="28" fillId="49" borderId="197">
      <alignment vertical="center"/>
    </xf>
    <xf numFmtId="186" fontId="56" fillId="14" borderId="191"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4" fontId="63" fillId="66" borderId="195" applyNumberFormat="0" applyProtection="0">
      <alignment horizontal="left" vertical="center" indent="1"/>
    </xf>
    <xf numFmtId="186" fontId="56" fillId="62" borderId="191" applyNumberFormat="0" applyProtection="0">
      <alignment horizontal="left" vertical="center" indent="1"/>
    </xf>
    <xf numFmtId="186" fontId="56" fillId="14" borderId="199" applyNumberFormat="0" applyProtection="0">
      <alignment horizontal="left" vertical="top" indent="1"/>
    </xf>
    <xf numFmtId="0" fontId="37" fillId="48" borderId="189" applyNumberFormat="0" applyProtection="0">
      <alignment horizontal="left" vertical="top" indent="1"/>
    </xf>
    <xf numFmtId="186" fontId="57" fillId="44" borderId="192" applyNumberFormat="0" applyAlignment="0" applyProtection="0"/>
    <xf numFmtId="186" fontId="27" fillId="21" borderId="189" applyNumberFormat="0" applyProtection="0">
      <alignment horizontal="left" vertical="top" indent="1"/>
    </xf>
    <xf numFmtId="4" fontId="56" fillId="15" borderId="182"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21" borderId="181" applyNumberFormat="0" applyProtection="0">
      <alignment horizontal="left" vertical="top" indent="1"/>
    </xf>
    <xf numFmtId="191" fontId="28" fillId="50" borderId="197">
      <alignment vertical="center"/>
    </xf>
    <xf numFmtId="186" fontId="56" fillId="63" borderId="181" applyNumberFormat="0" applyProtection="0">
      <alignment horizontal="left" vertical="top" indent="1"/>
    </xf>
    <xf numFmtId="186" fontId="57" fillId="44" borderId="192" applyNumberFormat="0" applyAlignment="0" applyProtection="0"/>
    <xf numFmtId="186" fontId="27" fillId="15" borderId="189" applyNumberFormat="0" applyProtection="0">
      <alignment horizontal="left" vertical="center" indent="1"/>
    </xf>
    <xf numFmtId="191" fontId="28" fillId="50" borderId="197">
      <alignment vertical="center"/>
    </xf>
    <xf numFmtId="186" fontId="27" fillId="63" borderId="189" applyNumberFormat="0" applyProtection="0">
      <alignment horizontal="left" vertical="center" indent="1"/>
    </xf>
    <xf numFmtId="186" fontId="56" fillId="14" borderId="191" applyNumberFormat="0" applyProtection="0">
      <alignment horizontal="left" vertical="center" indent="1"/>
    </xf>
    <xf numFmtId="190" fontId="28" fillId="50" borderId="197">
      <alignmen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205" applyNumberFormat="0" applyProtection="0">
      <alignment horizontal="right" vertical="center"/>
    </xf>
    <xf numFmtId="186" fontId="42" fillId="44" borderId="191" applyNumberFormat="0" applyAlignment="0" applyProtection="0"/>
    <xf numFmtId="191" fontId="28" fillId="50" borderId="197">
      <alignment vertical="center"/>
    </xf>
    <xf numFmtId="186" fontId="56" fillId="15" borderId="189" applyNumberFormat="0" applyProtection="0">
      <alignment horizontal="left" vertical="top"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1" borderId="191" applyNumberFormat="0" applyProtection="0">
      <alignment horizontal="left" vertical="center" indent="1"/>
    </xf>
    <xf numFmtId="172"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23" borderId="19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27" fillId="21" borderId="199" applyNumberFormat="0" applyProtection="0">
      <alignment horizontal="left" vertical="center"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59" fillId="53" borderId="201" applyNumberFormat="0" applyProtection="0">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28" fillId="12" borderId="207">
      <alignment vertical="center"/>
      <protection locked="0"/>
    </xf>
    <xf numFmtId="186" fontId="56" fillId="63" borderId="199" applyNumberFormat="0" applyProtection="0">
      <alignment horizontal="left" vertical="top" indent="1"/>
    </xf>
    <xf numFmtId="0" fontId="5" fillId="13" borderId="177">
      <alignment vertical="center"/>
    </xf>
    <xf numFmtId="191" fontId="28" fillId="12" borderId="207">
      <alignment vertical="center"/>
      <protection locked="0"/>
    </xf>
    <xf numFmtId="186" fontId="44" fillId="0" borderId="206" applyNumberFormat="0" applyFill="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4" fontId="56" fillId="56"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28" fillId="50" borderId="177">
      <alignment vertical="center"/>
    </xf>
    <xf numFmtId="4" fontId="56" fillId="14" borderId="205" applyNumberFormat="0" applyProtection="0">
      <alignment horizontal="left" vertical="center" indent="1"/>
    </xf>
    <xf numFmtId="191" fontId="28" fillId="49" borderId="197">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44" fillId="0" borderId="196" applyNumberFormat="0" applyFill="0" applyAlignment="0" applyProtection="0"/>
    <xf numFmtId="4" fontId="56" fillId="15" borderId="191" applyNumberFormat="0" applyProtection="0">
      <alignment horizontal="right" vertical="center"/>
    </xf>
    <xf numFmtId="4" fontId="56" fillId="15" borderId="195" applyNumberFormat="0" applyProtection="0">
      <alignment horizontal="left" vertical="center" indent="1"/>
    </xf>
    <xf numFmtId="4" fontId="56" fillId="57" borderId="205" applyNumberFormat="0" applyProtection="0">
      <alignment horizontal="right" vertical="center"/>
    </xf>
    <xf numFmtId="186" fontId="56" fillId="63"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1" borderId="189" applyNumberFormat="0" applyProtection="0">
      <alignment horizontal="left" vertical="top" indent="1"/>
    </xf>
    <xf numFmtId="191" fontId="28" fillId="51" borderId="197">
      <alignment horizontal="right" vertical="center"/>
      <protection locked="0"/>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86" fontId="56" fillId="21" borderId="189" applyNumberFormat="0" applyProtection="0">
      <alignment horizontal="left" vertical="top" indent="1"/>
    </xf>
    <xf numFmtId="4" fontId="56" fillId="58" borderId="191" applyNumberFormat="0" applyProtection="0">
      <alignment horizontal="right" vertical="center"/>
    </xf>
    <xf numFmtId="186" fontId="44" fillId="0" borderId="206" applyNumberFormat="0" applyFill="0" applyAlignment="0" applyProtection="0"/>
    <xf numFmtId="186" fontId="56" fillId="14" borderId="19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63" borderId="189" applyNumberFormat="0" applyProtection="0">
      <alignment horizontal="left" vertical="top" indent="1"/>
    </xf>
    <xf numFmtId="186" fontId="27" fillId="15" borderId="199" applyNumberFormat="0" applyProtection="0">
      <alignment horizontal="left" vertical="top" indent="1"/>
    </xf>
    <xf numFmtId="37" fontId="33" fillId="0" borderId="204" applyNumberFormat="0"/>
    <xf numFmtId="4" fontId="56" fillId="23" borderId="179" applyNumberFormat="0" applyProtection="0">
      <alignment horizontal="right" vertical="center"/>
    </xf>
    <xf numFmtId="186" fontId="56" fillId="63" borderId="201" applyNumberFormat="0" applyProtection="0">
      <alignment horizontal="left" vertical="center" indent="1"/>
    </xf>
    <xf numFmtId="186" fontId="27" fillId="21" borderId="189" applyNumberFormat="0" applyProtection="0">
      <alignment horizontal="left" vertical="top" indent="1"/>
    </xf>
    <xf numFmtId="0" fontId="27" fillId="21"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186" fontId="56" fillId="40" borderId="191" applyNumberFormat="0" applyFont="0" applyAlignment="0" applyProtection="0"/>
    <xf numFmtId="186" fontId="62" fillId="48"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91" fontId="28" fillId="49" borderId="177">
      <alignment vertical="center"/>
    </xf>
    <xf numFmtId="186" fontId="27" fillId="21" borderId="189" applyNumberFormat="0" applyProtection="0">
      <alignment horizontal="left" vertical="top" indent="1"/>
    </xf>
    <xf numFmtId="186" fontId="56" fillId="14" borderId="189" applyNumberFormat="0" applyProtection="0">
      <alignment horizontal="left" vertical="top" indent="1"/>
    </xf>
    <xf numFmtId="4" fontId="56" fillId="0" borderId="191" applyNumberFormat="0" applyProtection="0">
      <alignment horizontal="right" vertical="center"/>
    </xf>
    <xf numFmtId="4" fontId="56" fillId="55" borderId="201" applyNumberFormat="0" applyProtection="0">
      <alignment horizontal="right" vertical="center"/>
    </xf>
    <xf numFmtId="186" fontId="56" fillId="40" borderId="191" applyNumberFormat="0" applyFont="0" applyAlignment="0" applyProtection="0"/>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7" fillId="44" borderId="202" applyNumberFormat="0" applyAlignment="0" applyProtection="0"/>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4" fontId="72" fillId="80" borderId="199" applyNumberFormat="0" applyProtection="0">
      <alignment horizontal="right" vertical="center"/>
    </xf>
    <xf numFmtId="186" fontId="56" fillId="15" borderId="181" applyNumberFormat="0" applyProtection="0">
      <alignment horizontal="left" vertical="top" indent="1"/>
    </xf>
    <xf numFmtId="4" fontId="64" fillId="64" borderId="201" applyNumberFormat="0" applyProtection="0">
      <alignment horizontal="right" vertical="center"/>
    </xf>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62" fillId="48" borderId="199" applyNumberFormat="0" applyProtection="0">
      <alignment horizontal="left" vertical="top" indent="1"/>
    </xf>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186" fontId="44" fillId="0" borderId="206" applyNumberFormat="0" applyFill="0" applyAlignment="0" applyProtection="0"/>
    <xf numFmtId="4" fontId="56" fillId="56" borderId="201" applyNumberFormat="0" applyProtection="0">
      <alignment horizontal="right" vertical="center"/>
    </xf>
    <xf numFmtId="186" fontId="42" fillId="44" borderId="201" applyNumberFormat="0" applyAlignment="0" applyProtection="0"/>
    <xf numFmtId="4" fontId="59" fillId="53" borderId="20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6" borderId="201" applyNumberFormat="0" applyProtection="0">
      <alignment horizontal="right" vertical="center"/>
    </xf>
    <xf numFmtId="4" fontId="59" fillId="53" borderId="201"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8" borderId="201" applyNumberFormat="0" applyProtection="0">
      <alignment horizontal="right" vertical="center"/>
    </xf>
    <xf numFmtId="4" fontId="56" fillId="52" borderId="201" applyNumberFormat="0" applyProtection="0">
      <alignmen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23" borderId="201" applyNumberFormat="0" applyProtection="0">
      <alignment horizontal="righ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4" fillId="64" borderId="201" applyNumberFormat="0" applyProtection="0">
      <alignment horizontal="right" vertical="center"/>
    </xf>
    <xf numFmtId="186" fontId="42" fillId="44" borderId="201" applyNumberFormat="0" applyAlignment="0" applyProtection="0"/>
    <xf numFmtId="186" fontId="56" fillId="14" borderId="199" applyNumberFormat="0" applyProtection="0">
      <alignment horizontal="left" vertical="top" indent="1"/>
    </xf>
    <xf numFmtId="37" fontId="33" fillId="0" borderId="204" applyNumberFormat="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4" fontId="56" fillId="14" borderId="205" applyNumberFormat="0" applyProtection="0">
      <alignment horizontal="left" vertical="center" indent="1"/>
    </xf>
    <xf numFmtId="186" fontId="50" fillId="41" borderId="201" applyNumberFormat="0" applyAlignment="0" applyProtection="0"/>
    <xf numFmtId="186" fontId="50" fillId="41" borderId="201" applyNumberFormat="0" applyAlignment="0" applyProtection="0"/>
    <xf numFmtId="186" fontId="44" fillId="0" borderId="206" applyNumberFormat="0" applyFill="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4" fontId="56" fillId="57" borderId="205" applyNumberFormat="0" applyProtection="0">
      <alignment horizontal="right" vertical="center"/>
    </xf>
    <xf numFmtId="4" fontId="56" fillId="58"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4" fontId="64" fillId="64" borderId="201" applyNumberFormat="0" applyProtection="0">
      <alignment horizontal="right" vertical="center"/>
    </xf>
    <xf numFmtId="186" fontId="56" fillId="15" borderId="199" applyNumberFormat="0" applyProtection="0">
      <alignment horizontal="left" vertical="top" indent="1"/>
    </xf>
    <xf numFmtId="186" fontId="62" fillId="15" borderId="199" applyNumberFormat="0" applyProtection="0">
      <alignment horizontal="left" vertical="top" indent="1"/>
    </xf>
    <xf numFmtId="186" fontId="56" fillId="14" borderId="199" applyNumberFormat="0" applyProtection="0">
      <alignment horizontal="left" vertical="top" indent="1"/>
    </xf>
    <xf numFmtId="186" fontId="27" fillId="63" borderId="199" applyNumberFormat="0" applyProtection="0">
      <alignment horizontal="left" vertical="center"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4" fontId="59" fillId="65" borderId="201" applyNumberFormat="0" applyProtection="0">
      <alignment horizontal="right" vertical="center"/>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7" borderId="205" applyNumberFormat="0" applyProtection="0">
      <alignment horizontal="right" vertical="center"/>
    </xf>
    <xf numFmtId="4" fontId="62" fillId="11"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186" fontId="56" fillId="14" borderId="199" applyNumberFormat="0" applyProtection="0">
      <alignment horizontal="left" vertical="top"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27" fillId="21" borderId="205"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4" fontId="56" fillId="52" borderId="201" applyNumberFormat="0" applyProtection="0">
      <alignmen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27"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3" borderId="201"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64" fillId="64" borderId="201" applyNumberFormat="0" applyProtection="0">
      <alignment horizontal="right" vertical="center"/>
    </xf>
    <xf numFmtId="4" fontId="62" fillId="11" borderId="199" applyNumberFormat="0" applyProtection="0">
      <alignment horizontal="left" vertical="center"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186" fontId="27" fillId="21" borderId="199" applyNumberFormat="0" applyProtection="0">
      <alignment horizontal="left" vertical="top" indent="1"/>
    </xf>
    <xf numFmtId="4" fontId="56" fillId="57" borderId="205" applyNumberFormat="0" applyProtection="0">
      <alignment horizontal="right" vertical="center"/>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60" borderId="201" applyNumberFormat="0" applyProtection="0">
      <alignment horizontal="righ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0"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60" fillId="52"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42" fillId="44" borderId="201" applyNumberFormat="0" applyAlignment="0" applyProtection="0"/>
    <xf numFmtId="4" fontId="59" fillId="65" borderId="201" applyNumberFormat="0" applyProtection="0">
      <alignment horizontal="right" vertical="center"/>
    </xf>
    <xf numFmtId="186" fontId="50" fillId="41" borderId="201" applyNumberFormat="0" applyAlignment="0" applyProtection="0"/>
    <xf numFmtId="186" fontId="42" fillId="44" borderId="201" applyNumberFormat="0" applyAlignment="0" applyProtection="0"/>
    <xf numFmtId="4" fontId="56" fillId="53"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19" borderId="201" applyNumberFormat="0" applyProtection="0">
      <alignment horizontal="right" vertical="center"/>
    </xf>
    <xf numFmtId="4" fontId="64" fillId="64" borderId="201" applyNumberFormat="0" applyProtection="0">
      <alignment horizontal="right" vertical="center"/>
    </xf>
    <xf numFmtId="4" fontId="56" fillId="23"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60" fillId="52" borderId="199" applyNumberFormat="0" applyProtection="0">
      <alignment horizontal="left" vertical="top"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2" fillId="48" borderId="199" applyNumberFormat="0" applyProtection="0">
      <alignment vertical="center"/>
    </xf>
    <xf numFmtId="4" fontId="62" fillId="11" borderId="199" applyNumberFormat="0" applyProtection="0">
      <alignment horizontal="left" vertical="center" indent="1"/>
    </xf>
    <xf numFmtId="186" fontId="62" fillId="48" borderId="199" applyNumberFormat="0" applyProtection="0">
      <alignment horizontal="left" vertical="top" indent="1"/>
    </xf>
    <xf numFmtId="186" fontId="62" fillId="15"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61" fillId="21"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4" fillId="0" borderId="206" applyNumberFormat="0" applyFill="0" applyAlignment="0" applyProtection="0"/>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42" fillId="44" borderId="201" applyNumberFormat="0" applyAlignment="0" applyProtection="0"/>
    <xf numFmtId="4" fontId="64" fillId="64" borderId="201" applyNumberFormat="0" applyProtection="0">
      <alignment horizontal="right" vertical="center"/>
    </xf>
    <xf numFmtId="4" fontId="56" fillId="54" borderId="201" applyNumberFormat="0" applyProtection="0">
      <alignment horizontal="left" vertical="center"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0" fillId="41" borderId="201" applyNumberFormat="0" applyAlignment="0" applyProtection="0"/>
    <xf numFmtId="186" fontId="42" fillId="44" borderId="201" applyNumberFormat="0" applyAlignment="0" applyProtection="0"/>
    <xf numFmtId="186" fontId="56" fillId="40" borderId="201" applyNumberFormat="0" applyFont="0" applyAlignment="0" applyProtection="0"/>
    <xf numFmtId="186" fontId="56" fillId="14" borderId="201" applyNumberFormat="0" applyProtection="0">
      <alignment horizontal="left" vertical="center" indent="1"/>
    </xf>
    <xf numFmtId="164" fontId="5" fillId="0" borderId="0" applyFont="0" applyFill="0" applyBorder="0" applyAlignment="0" applyProtection="0"/>
    <xf numFmtId="164" fontId="27" fillId="0" borderId="0" applyFont="0" applyFill="0" applyBorder="0" applyAlignment="0" applyProtection="0"/>
    <xf numFmtId="191" fontId="28" fillId="50" borderId="220">
      <alignment vertical="center"/>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72" fontId="28" fillId="12" borderId="197">
      <alignment vertical="center"/>
      <protection locked="0"/>
    </xf>
    <xf numFmtId="186" fontId="57" fillId="44" borderId="215" applyNumberFormat="0" applyAlignment="0" applyProtection="0"/>
    <xf numFmtId="4" fontId="27" fillId="21" borderId="238" applyNumberFormat="0" applyProtection="0">
      <alignment horizontal="left" vertical="center" indent="1"/>
    </xf>
    <xf numFmtId="164" fontId="5" fillId="0" borderId="0" applyFont="0" applyFill="0" applyBorder="0" applyAlignment="0" applyProtection="0"/>
    <xf numFmtId="164" fontId="34" fillId="0" borderId="0" applyFont="0" applyFill="0" applyBorder="0" applyAlignment="0" applyProtection="0"/>
    <xf numFmtId="186" fontId="27" fillId="21" borderId="216"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08" applyFill="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3" fillId="0" borderId="0"/>
    <xf numFmtId="9" fontId="3" fillId="0" borderId="0" applyFont="0" applyFill="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4" fontId="70" fillId="85" borderId="212" applyNumberFormat="0" applyProtection="0">
      <alignment horizontal="left" vertical="center" indent="1"/>
    </xf>
    <xf numFmtId="4" fontId="70" fillId="86" borderId="213" applyNumberFormat="0" applyProtection="0">
      <alignment horizontal="left" vertical="center" indent="1"/>
    </xf>
    <xf numFmtId="4" fontId="75" fillId="88" borderId="213"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94" fontId="33" fillId="0" borderId="208" applyFill="0"/>
    <xf numFmtId="0" fontId="3" fillId="0" borderId="0"/>
    <xf numFmtId="0" fontId="3" fillId="0" borderId="0"/>
    <xf numFmtId="164"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61" fillId="21" borderId="226" applyBorder="0"/>
    <xf numFmtId="186" fontId="57" fillId="44" borderId="225" applyNumberFormat="0" applyAlignment="0" applyProtection="0"/>
    <xf numFmtId="186" fontId="28" fillId="49" borderId="17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38" applyNumberFormat="0" applyProtection="0">
      <alignment horizontal="left" vertical="center" indent="1"/>
    </xf>
    <xf numFmtId="172" fontId="28" fillId="12" borderId="240">
      <alignment vertical="center"/>
      <protection locked="0"/>
    </xf>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16" applyNumberFormat="0" applyProtection="0">
      <alignment horizontal="left" vertical="top" indent="1"/>
    </xf>
    <xf numFmtId="186" fontId="50" fillId="41"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1" fontId="28" fillId="49" borderId="220">
      <alignment vertical="center"/>
    </xf>
    <xf numFmtId="186" fontId="28" fillId="49" borderId="220">
      <alignment vertical="center"/>
    </xf>
    <xf numFmtId="193" fontId="28" fillId="12" borderId="220">
      <alignment vertical="center"/>
      <protection locked="0"/>
    </xf>
    <xf numFmtId="172" fontId="28" fillId="12" borderId="220">
      <alignment vertical="center"/>
      <protection locked="0"/>
    </xf>
    <xf numFmtId="191" fontId="28" fillId="50" borderId="220">
      <alignment vertical="center"/>
    </xf>
    <xf numFmtId="193" fontId="28" fillId="50" borderId="220">
      <alignment vertical="center"/>
    </xf>
    <xf numFmtId="191" fontId="28" fillId="50" borderId="220">
      <alignment vertical="center"/>
    </xf>
    <xf numFmtId="188" fontId="28" fillId="51" borderId="220">
      <alignment horizontal="right" vertical="center"/>
      <protection locked="0"/>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24" applyNumberFormat="0" applyProtection="0">
      <alignment horizontal="left" vertical="center" indent="1"/>
    </xf>
    <xf numFmtId="4" fontId="56" fillId="54" borderId="214" applyNumberFormat="0" applyProtection="0">
      <alignment horizontal="left" vertical="center" indent="1"/>
    </xf>
    <xf numFmtId="37" fontId="33" fillId="0" borderId="210" applyNumberFormat="0"/>
    <xf numFmtId="188" fontId="5" fillId="69" borderId="220">
      <alignment vertical="center"/>
    </xf>
    <xf numFmtId="191" fontId="5" fillId="70" borderId="220">
      <alignment horizontal="right" vertical="center"/>
      <protection locked="0"/>
    </xf>
    <xf numFmtId="186" fontId="56" fillId="40" borderId="214" applyNumberFormat="0" applyFont="0" applyAlignment="0" applyProtection="0"/>
    <xf numFmtId="186" fontId="57" fillId="44" borderId="215" applyNumberFormat="0" applyAlignment="0" applyProtection="0"/>
    <xf numFmtId="186" fontId="60" fillId="52" borderId="216" applyNumberFormat="0" applyProtection="0">
      <alignment horizontal="left" vertical="top" indent="1"/>
    </xf>
    <xf numFmtId="186" fontId="56" fillId="15" borderId="232" applyNumberFormat="0" applyProtection="0">
      <alignment horizontal="left" vertical="top"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16" applyNumberFormat="0" applyProtection="0">
      <alignment horizontal="left" vertical="top" indent="1"/>
    </xf>
    <xf numFmtId="186" fontId="27" fillId="63" borderId="222" applyNumberFormat="0" applyProtection="0">
      <alignment horizontal="left" vertical="top" indent="1"/>
    </xf>
    <xf numFmtId="186" fontId="56" fillId="21" borderId="216" applyNumberFormat="0" applyProtection="0">
      <alignment horizontal="left" vertical="top" indent="1"/>
    </xf>
    <xf numFmtId="186" fontId="56" fillId="21" borderId="222" applyNumberFormat="0" applyProtection="0">
      <alignment horizontal="left" vertical="top" indent="1"/>
    </xf>
    <xf numFmtId="4" fontId="56" fillId="60"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14" applyNumberFormat="0" applyFont="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4" fontId="27" fillId="21"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21" borderId="216"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1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16"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16"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14" applyNumberFormat="0" applyAlignment="0" applyProtection="0"/>
    <xf numFmtId="186" fontId="42" fillId="44" borderId="21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14" applyNumberFormat="0" applyFont="0" applyAlignment="0" applyProtection="0"/>
    <xf numFmtId="186" fontId="56" fillId="15" borderId="216" applyNumberFormat="0" applyProtection="0">
      <alignment horizontal="left" vertical="top" indent="1"/>
    </xf>
    <xf numFmtId="186" fontId="27" fillId="15" borderId="216" applyNumberFormat="0" applyProtection="0">
      <alignment horizontal="left" vertical="center" indent="1"/>
    </xf>
    <xf numFmtId="4" fontId="56" fillId="15" borderId="217" applyNumberFormat="0" applyProtection="0">
      <alignment horizontal="left" vertical="center" indent="1"/>
    </xf>
    <xf numFmtId="4" fontId="56" fillId="60" borderId="214" applyNumberFormat="0" applyProtection="0">
      <alignment horizontal="right" vertical="center"/>
    </xf>
    <xf numFmtId="186" fontId="56" fillId="63" borderId="216" applyNumberFormat="0" applyProtection="0">
      <alignment horizontal="left" vertical="top"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220">
      <alignment vertical="center"/>
    </xf>
    <xf numFmtId="4" fontId="56" fillId="59" borderId="214" applyNumberFormat="0" applyProtection="0">
      <alignment horizontal="right" vertical="center"/>
    </xf>
    <xf numFmtId="186" fontId="56" fillId="21" borderId="216" applyNumberFormat="0" applyProtection="0">
      <alignment horizontal="left" vertical="top" indent="1"/>
    </xf>
    <xf numFmtId="186" fontId="56" fillId="21" borderId="222" applyNumberFormat="0" applyProtection="0">
      <alignment horizontal="left" vertical="top" indent="1"/>
    </xf>
    <xf numFmtId="186" fontId="61" fillId="21" borderId="218" applyBorder="0"/>
    <xf numFmtId="186" fontId="56" fillId="64" borderId="211" applyNumberFormat="0">
      <protection locked="0"/>
    </xf>
    <xf numFmtId="186" fontId="56" fillId="40" borderId="214" applyNumberFormat="0" applyFont="0" applyAlignment="0" applyProtection="0"/>
    <xf numFmtId="193" fontId="28" fillId="50" borderId="220">
      <alignment vertical="center"/>
    </xf>
    <xf numFmtId="4" fontId="56" fillId="54" borderId="224" applyNumberFormat="0" applyProtection="0">
      <alignment horizontal="left" vertical="center" indent="1"/>
    </xf>
    <xf numFmtId="193" fontId="28" fillId="50" borderId="197">
      <alignment vertical="center"/>
    </xf>
    <xf numFmtId="186" fontId="28" fillId="49" borderId="220">
      <alignment vertical="center"/>
    </xf>
    <xf numFmtId="190" fontId="28" fillId="50" borderId="220">
      <alignment vertical="center"/>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94" fontId="33" fillId="0" borderId="221" applyFill="0"/>
    <xf numFmtId="191" fontId="5" fillId="7" borderId="220">
      <alignment vertical="center"/>
      <protection locked="0"/>
    </xf>
    <xf numFmtId="191" fontId="5" fillId="69" borderId="220">
      <alignment vertical="center"/>
    </xf>
    <xf numFmtId="186" fontId="56" fillId="40" borderId="214" applyNumberFormat="0" applyFont="0" applyAlignment="0" applyProtection="0"/>
    <xf numFmtId="186" fontId="56" fillId="40" borderId="214" applyNumberFormat="0" applyFont="0" applyAlignment="0" applyProtection="0"/>
    <xf numFmtId="4" fontId="56" fillId="52" borderId="214" applyNumberFormat="0" applyProtection="0">
      <alignment vertical="center"/>
    </xf>
    <xf numFmtId="4" fontId="56" fillId="55" borderId="214" applyNumberFormat="0" applyProtection="0">
      <alignment horizontal="right" vertical="center"/>
    </xf>
    <xf numFmtId="186" fontId="56" fillId="15" borderId="216" applyNumberFormat="0" applyProtection="0">
      <alignment horizontal="left" vertical="top" indent="1"/>
    </xf>
    <xf numFmtId="186" fontId="42" fillId="44" borderId="224" applyNumberFormat="0" applyAlignment="0" applyProtection="0"/>
    <xf numFmtId="186" fontId="56" fillId="21"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63" borderId="216" applyNumberFormat="0" applyProtection="0">
      <alignment horizontal="left" vertical="center" indent="1"/>
    </xf>
    <xf numFmtId="186" fontId="28" fillId="49" borderId="230">
      <alignmen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14" applyNumberFormat="0" applyProtection="0">
      <alignment horizontal="right" vertical="center"/>
    </xf>
    <xf numFmtId="4" fontId="56" fillId="56"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186" fontId="62" fillId="15"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4" fontId="56" fillId="14" borderId="217" applyNumberFormat="0" applyProtection="0">
      <alignment horizontal="left" vertical="center" indent="1"/>
    </xf>
    <xf numFmtId="186" fontId="60" fillId="52" borderId="216" applyNumberFormat="0" applyProtection="0">
      <alignment horizontal="left" vertical="top" indent="1"/>
    </xf>
    <xf numFmtId="186" fontId="50" fillId="41" borderId="21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186" fontId="28" fillId="49" borderId="177">
      <alignment vertical="center"/>
    </xf>
    <xf numFmtId="186" fontId="28" fillId="50" borderId="177">
      <alignment vertical="center"/>
    </xf>
    <xf numFmtId="186" fontId="28" fillId="49" borderId="197">
      <alignment vertical="center"/>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44" fillId="0" borderId="219" applyNumberFormat="0" applyFill="0" applyAlignment="0" applyProtection="0"/>
    <xf numFmtId="186" fontId="56" fillId="14"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91" fontId="28" fillId="12" borderId="220">
      <alignment vertical="center"/>
      <protection locked="0"/>
    </xf>
    <xf numFmtId="4" fontId="56" fillId="57" borderId="217" applyNumberFormat="0" applyProtection="0">
      <alignment horizontal="right" vertical="center"/>
    </xf>
    <xf numFmtId="4" fontId="56" fillId="56" borderId="214" applyNumberFormat="0" applyProtection="0">
      <alignment horizontal="right" vertical="center"/>
    </xf>
    <xf numFmtId="186" fontId="28" fillId="50" borderId="220">
      <alignment vertical="center"/>
    </xf>
    <xf numFmtId="186" fontId="28" fillId="12" borderId="220">
      <alignment vertical="center"/>
      <protection locked="0"/>
    </xf>
    <xf numFmtId="186" fontId="50" fillId="41" borderId="214" applyNumberFormat="0" applyAlignment="0" applyProtection="0"/>
    <xf numFmtId="186" fontId="56" fillId="40" borderId="23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37" fontId="33" fillId="0" borderId="227" applyNumberFormat="0"/>
    <xf numFmtId="4" fontId="56" fillId="15" borderId="228" applyNumberFormat="0" applyProtection="0">
      <alignment horizontal="left" vertical="center" indent="1"/>
    </xf>
    <xf numFmtId="186" fontId="28" fillId="50" borderId="230">
      <alignment vertical="center"/>
    </xf>
    <xf numFmtId="186" fontId="57" fillId="44" borderId="215" applyNumberFormat="0" applyAlignment="0" applyProtection="0"/>
    <xf numFmtId="190" fontId="28" fillId="49" borderId="240">
      <alignment vertical="center"/>
    </xf>
    <xf numFmtId="186" fontId="44" fillId="0" borderId="239" applyNumberFormat="0" applyFill="0" applyAlignment="0" applyProtection="0"/>
    <xf numFmtId="4" fontId="56" fillId="5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42" fillId="44" borderId="23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24" applyNumberFormat="0" applyAlignment="0" applyProtection="0"/>
    <xf numFmtId="4" fontId="56" fillId="58" borderId="224" applyNumberFormat="0" applyProtection="0">
      <alignment horizontal="right" vertical="center"/>
    </xf>
    <xf numFmtId="186" fontId="27" fillId="14" borderId="23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40">
      <alignment vertical="center"/>
      <protection locked="0"/>
    </xf>
    <xf numFmtId="193" fontId="28" fillId="12" borderId="240">
      <alignment vertical="center"/>
      <protection locked="0"/>
    </xf>
    <xf numFmtId="193" fontId="28" fillId="50" borderId="240">
      <alignment vertical="center"/>
    </xf>
    <xf numFmtId="186" fontId="28" fillId="50" borderId="240">
      <alignment vertical="center"/>
    </xf>
    <xf numFmtId="186" fontId="28" fillId="51" borderId="240">
      <alignment horizontal="right" vertical="center"/>
      <protection locked="0"/>
    </xf>
    <xf numFmtId="190" fontId="28" fillId="51" borderId="240">
      <alignment horizontal="right" vertical="center"/>
      <protection locked="0"/>
    </xf>
    <xf numFmtId="190" fontId="28" fillId="51" borderId="240">
      <alignment horizontal="right" vertical="center"/>
      <protection locked="0"/>
    </xf>
    <xf numFmtId="191" fontId="28" fillId="51" borderId="240">
      <alignment horizontal="right" vertical="center"/>
      <protection locked="0"/>
    </xf>
    <xf numFmtId="4" fontId="56" fillId="52" borderId="224" applyNumberFormat="0" applyProtection="0">
      <alignment vertical="center"/>
    </xf>
    <xf numFmtId="186" fontId="42" fillId="44" borderId="224" applyNumberFormat="0" applyAlignment="0" applyProtection="0"/>
    <xf numFmtId="4" fontId="56" fillId="57" borderId="23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3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40" applyNumberFormat="0">
      <protection locked="0"/>
    </xf>
    <xf numFmtId="186" fontId="61" fillId="21" borderId="226" applyBorder="0"/>
    <xf numFmtId="188" fontId="5" fillId="69" borderId="240">
      <alignment vertical="center"/>
    </xf>
    <xf numFmtId="188" fontId="5" fillId="70" borderId="24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90" fontId="28" fillId="49" borderId="197">
      <alignment vertical="center"/>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8" fontId="28" fillId="50" borderId="197">
      <alignment vertical="center"/>
    </xf>
    <xf numFmtId="190" fontId="28" fillId="51" borderId="197">
      <alignment horizontal="right" vertical="center"/>
      <protection locked="0"/>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8" fontId="5" fillId="13" borderId="197">
      <alignment vertical="center"/>
    </xf>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86" fontId="56" fillId="21" borderId="222" applyNumberFormat="0" applyProtection="0">
      <alignment horizontal="left" vertical="top" indent="1"/>
    </xf>
    <xf numFmtId="188" fontId="28" fillId="51" borderId="220">
      <alignment horizontal="right" vertical="center"/>
      <protection locked="0"/>
    </xf>
    <xf numFmtId="190" fontId="28" fillId="51" borderId="220">
      <alignment horizontal="right" vertical="center"/>
      <protection locked="0"/>
    </xf>
    <xf numFmtId="4" fontId="59" fillId="53" borderId="214" applyNumberFormat="0" applyProtection="0">
      <alignment vertical="center"/>
    </xf>
    <xf numFmtId="4" fontId="56" fillId="19" borderId="214" applyNumberFormat="0" applyProtection="0">
      <alignment horizontal="right" vertical="center"/>
    </xf>
    <xf numFmtId="4" fontId="27" fillId="21" borderId="217" applyNumberFormat="0" applyProtection="0">
      <alignment horizontal="left" vertical="center"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14" applyNumberFormat="0" applyProtection="0">
      <alignment horizontal="right" vertical="center"/>
    </xf>
    <xf numFmtId="186" fontId="56" fillId="14" borderId="222" applyNumberFormat="0" applyProtection="0">
      <alignment horizontal="left" vertical="top" indent="1"/>
    </xf>
    <xf numFmtId="37" fontId="33" fillId="0" borderId="210" applyNumberFormat="0"/>
    <xf numFmtId="186" fontId="60" fillId="52" borderId="222" applyNumberFormat="0" applyProtection="0">
      <alignment horizontal="left" vertical="top" indent="1"/>
    </xf>
    <xf numFmtId="194" fontId="33" fillId="0" borderId="221" applyFill="0"/>
    <xf numFmtId="172" fontId="28" fillId="12" borderId="230">
      <alignment vertical="center"/>
      <protection locked="0"/>
    </xf>
    <xf numFmtId="188" fontId="5" fillId="13" borderId="220">
      <alignment vertical="center"/>
    </xf>
    <xf numFmtId="186" fontId="56" fillId="40" borderId="214" applyNumberFormat="0" applyFont="0" applyAlignment="0" applyProtection="0"/>
    <xf numFmtId="186" fontId="60" fillId="52" borderId="222" applyNumberFormat="0" applyProtection="0">
      <alignment horizontal="left" vertical="top" indent="1"/>
    </xf>
    <xf numFmtId="186" fontId="56" fillId="14" borderId="216" applyNumberFormat="0" applyProtection="0">
      <alignment horizontal="left" vertical="top" indent="1"/>
    </xf>
    <xf numFmtId="186" fontId="27" fillId="15" borderId="216" applyNumberFormat="0" applyProtection="0">
      <alignment horizontal="left" vertical="center" indent="1"/>
    </xf>
    <xf numFmtId="191" fontId="28" fillId="12" borderId="220">
      <alignment vertical="center"/>
      <protection locked="0"/>
    </xf>
    <xf numFmtId="186" fontId="56" fillId="40" borderId="214" applyNumberFormat="0" applyFont="0" applyAlignment="0" applyProtection="0"/>
    <xf numFmtId="186" fontId="27" fillId="63"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90" fontId="28" fillId="51" borderId="220">
      <alignment horizontal="right" vertical="center"/>
      <protection locked="0"/>
    </xf>
    <xf numFmtId="4" fontId="27" fillId="21" borderId="217" applyNumberFormat="0" applyProtection="0">
      <alignment horizontal="left" vertical="center" indent="1"/>
    </xf>
    <xf numFmtId="186" fontId="28" fillId="12" borderId="240">
      <alignment vertical="center"/>
      <protection locked="0"/>
    </xf>
    <xf numFmtId="4" fontId="63" fillId="66" borderId="228" applyNumberFormat="0" applyProtection="0">
      <alignment horizontal="left" vertical="center" indent="1"/>
    </xf>
    <xf numFmtId="193" fontId="28" fillId="12" borderId="220">
      <alignment vertical="center"/>
      <protection locked="0"/>
    </xf>
    <xf numFmtId="4" fontId="64" fillId="64" borderId="224" applyNumberFormat="0" applyProtection="0">
      <alignment horizontal="right" vertical="center"/>
    </xf>
    <xf numFmtId="186" fontId="50" fillId="41" borderId="214" applyNumberFormat="0" applyAlignment="0" applyProtection="0"/>
    <xf numFmtId="186" fontId="50" fillId="41" borderId="214" applyNumberFormat="0" applyAlignment="0" applyProtection="0"/>
    <xf numFmtId="186" fontId="56" fillId="40" borderId="214" applyNumberFormat="0" applyFont="0" applyAlignment="0" applyProtection="0"/>
    <xf numFmtId="186" fontId="57" fillId="44" borderId="215" applyNumberFormat="0" applyAlignment="0" applyProtection="0"/>
    <xf numFmtId="186" fontId="28" fillId="49" borderId="220">
      <alignment vertical="center"/>
    </xf>
    <xf numFmtId="190" fontId="28" fillId="49" borderId="220">
      <alignment vertical="center"/>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72" fontId="28" fillId="12" borderId="220">
      <alignment vertical="center"/>
      <protection locked="0"/>
    </xf>
    <xf numFmtId="193" fontId="28" fillId="50" borderId="220">
      <alignment vertical="center"/>
    </xf>
    <xf numFmtId="186" fontId="28" fillId="50" borderId="220">
      <alignment vertical="center"/>
    </xf>
    <xf numFmtId="191" fontId="28" fillId="50" borderId="220">
      <alignment vertical="center"/>
    </xf>
    <xf numFmtId="186"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27"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56" fillId="0" borderId="214" applyNumberFormat="0" applyProtection="0">
      <alignment horizontal="right" vertical="center"/>
    </xf>
    <xf numFmtId="186" fontId="56" fillId="67" borderId="220"/>
    <xf numFmtId="186" fontId="44" fillId="0" borderId="219" applyNumberFormat="0" applyFill="0" applyAlignment="0" applyProtection="0"/>
    <xf numFmtId="4" fontId="56" fillId="52" borderId="214" applyNumberFormat="0" applyProtection="0">
      <alignment vertical="center"/>
    </xf>
    <xf numFmtId="188" fontId="5" fillId="7" borderId="220">
      <alignment vertical="center"/>
      <protection locked="0"/>
    </xf>
    <xf numFmtId="188"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4" fontId="59" fillId="53" borderId="214" applyNumberFormat="0" applyProtection="0">
      <alignment vertical="center"/>
    </xf>
    <xf numFmtId="4" fontId="56" fillId="56" borderId="214" applyNumberFormat="0" applyProtection="0">
      <alignment horizontal="right" vertical="center"/>
    </xf>
    <xf numFmtId="4" fontId="56" fillId="57" borderId="217" applyNumberFormat="0" applyProtection="0">
      <alignment horizontal="right" vertical="center"/>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11" borderId="216" applyNumberFormat="0" applyProtection="0">
      <alignment horizontal="left" vertical="center" indent="1"/>
    </xf>
    <xf numFmtId="4" fontId="56" fillId="0"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69" borderId="220">
      <alignment vertical="center"/>
    </xf>
    <xf numFmtId="186" fontId="57" fillId="44" borderId="215" applyNumberFormat="0" applyAlignment="0" applyProtection="0"/>
    <xf numFmtId="186" fontId="27" fillId="63" borderId="216" applyNumberFormat="0" applyProtection="0">
      <alignment horizontal="left" vertical="top" indent="1"/>
    </xf>
    <xf numFmtId="186" fontId="56" fillId="63"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center"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27" fillId="21" borderId="217" applyNumberFormat="0" applyProtection="0">
      <alignment horizontal="left" vertical="center" indent="1"/>
    </xf>
    <xf numFmtId="4" fontId="59" fillId="53" borderId="214" applyNumberFormat="0" applyProtection="0">
      <alignment vertical="center"/>
    </xf>
    <xf numFmtId="190" fontId="28" fillId="51" borderId="220">
      <alignment horizontal="right" vertical="center"/>
      <protection locked="0"/>
    </xf>
    <xf numFmtId="191" fontId="28" fillId="51" borderId="220">
      <alignment horizontal="right" vertical="center"/>
      <protection locked="0"/>
    </xf>
    <xf numFmtId="186" fontId="56" fillId="40" borderId="214" applyNumberFormat="0" applyFont="0" applyAlignment="0" applyProtection="0"/>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64" fontId="35" fillId="0" borderId="0" applyFont="0" applyFill="0" applyBorder="0" applyAlignment="0" applyProtection="0"/>
    <xf numFmtId="4" fontId="62" fillId="48" borderId="222" applyNumberFormat="0" applyProtection="0">
      <alignment vertical="center"/>
    </xf>
    <xf numFmtId="188" fontId="28" fillId="49" borderId="230">
      <alignment vertical="center"/>
    </xf>
    <xf numFmtId="191" fontId="28" fillId="49" borderId="197">
      <alignment vertical="center"/>
    </xf>
    <xf numFmtId="191" fontId="28" fillId="50" borderId="197">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90" fontId="5" fillId="70" borderId="197">
      <alignment horizontal="righ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4" fontId="56" fillId="54" borderId="214" applyNumberFormat="0" applyProtection="0">
      <alignment horizontal="left" vertical="center" indent="1"/>
    </xf>
    <xf numFmtId="4" fontId="56" fillId="23" borderId="214" applyNumberFormat="0" applyProtection="0">
      <alignment horizontal="right" vertical="center"/>
    </xf>
    <xf numFmtId="4" fontId="62" fillId="11" borderId="22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7" fillId="44" borderId="215" applyNumberFormat="0" applyAlignment="0" applyProtection="0"/>
    <xf numFmtId="186" fontId="57" fillId="44" borderId="215" applyNumberFormat="0" applyAlignment="0" applyProtection="0"/>
    <xf numFmtId="4" fontId="56" fillId="6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3" fillId="66"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186" fontId="60" fillId="52" borderId="216" applyNumberFormat="0" applyProtection="0">
      <alignment horizontal="left" vertical="top" indent="1"/>
    </xf>
    <xf numFmtId="4" fontId="56" fillId="59" borderId="214" applyNumberFormat="0" applyProtection="0">
      <alignment horizontal="right" vertical="center"/>
    </xf>
    <xf numFmtId="4" fontId="56" fillId="61"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4" borderId="222" applyNumberFormat="0" applyProtection="0">
      <alignment horizontal="left" vertical="top" indent="1"/>
    </xf>
    <xf numFmtId="186" fontId="61" fillId="21" borderId="218" applyBorder="0"/>
    <xf numFmtId="4" fontId="62" fillId="48" borderId="216" applyNumberFormat="0" applyProtection="0">
      <alignment vertical="center"/>
    </xf>
    <xf numFmtId="4" fontId="27" fillId="21" borderId="217" applyNumberFormat="0" applyProtection="0">
      <alignment horizontal="left" vertical="center" indent="1"/>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64" fillId="64" borderId="214" applyNumberFormat="0" applyProtection="0">
      <alignment horizontal="right" vertical="center"/>
    </xf>
    <xf numFmtId="4" fontId="27" fillId="21" borderId="217" applyNumberFormat="0" applyProtection="0">
      <alignment horizontal="left" vertical="center" indent="1"/>
    </xf>
    <xf numFmtId="186" fontId="50" fillId="41" borderId="214" applyNumberFormat="0" applyAlignment="0" applyProtection="0"/>
    <xf numFmtId="186" fontId="56" fillId="21" borderId="232"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15"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8" borderId="222" applyNumberFormat="0" applyProtection="0">
      <alignment vertical="center"/>
    </xf>
    <xf numFmtId="4" fontId="56" fillId="61" borderId="238" applyNumberFormat="0" applyProtection="0">
      <alignment horizontal="left" vertical="center" indent="1"/>
    </xf>
    <xf numFmtId="186" fontId="56" fillId="21" borderId="23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63" borderId="222" applyNumberFormat="0" applyProtection="0">
      <alignment horizontal="left" vertical="top" indent="1"/>
    </xf>
    <xf numFmtId="164" fontId="35" fillId="0" borderId="0" applyFont="0" applyFill="0" applyBorder="0" applyAlignment="0" applyProtection="0"/>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22" applyNumberFormat="0" applyProtection="0">
      <alignment horizontal="left" vertical="top" indent="1"/>
    </xf>
    <xf numFmtId="186" fontId="56" fillId="63" borderId="216" applyNumberFormat="0" applyProtection="0">
      <alignment horizontal="left" vertical="top" indent="1"/>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9" borderId="214" applyNumberFormat="0" applyProtection="0">
      <alignment horizontal="right" vertical="center"/>
    </xf>
    <xf numFmtId="186" fontId="42" fillId="44" borderId="214" applyNumberFormat="0" applyAlignment="0" applyProtection="0"/>
    <xf numFmtId="186" fontId="56" fillId="40" borderId="214" applyNumberFormat="0" applyFont="0" applyAlignment="0" applyProtection="0"/>
    <xf numFmtId="4" fontId="56" fillId="59" borderId="224" applyNumberFormat="0" applyProtection="0">
      <alignment horizontal="right" vertical="center"/>
    </xf>
    <xf numFmtId="186" fontId="56" fillId="15" borderId="222" applyNumberFormat="0" applyProtection="0">
      <alignment horizontal="left" vertical="top" indent="1"/>
    </xf>
    <xf numFmtId="4" fontId="56" fillId="23" borderId="224" applyNumberFormat="0" applyProtection="0">
      <alignment horizontal="right" vertical="center"/>
    </xf>
    <xf numFmtId="186" fontId="50" fillId="41" borderId="214"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22" applyNumberFormat="0" applyProtection="0">
      <alignment horizontal="left" vertical="top" indent="1"/>
    </xf>
    <xf numFmtId="186" fontId="56" fillId="63" borderId="23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42" fillId="44" borderId="214" applyNumberFormat="0" applyAlignment="0" applyProtection="0"/>
    <xf numFmtId="186" fontId="42" fillId="44" borderId="214" applyNumberFormat="0" applyAlignment="0" applyProtection="0"/>
    <xf numFmtId="186" fontId="28" fillId="51" borderId="197">
      <alignment horizontal="right" vertical="center"/>
      <protection locked="0"/>
    </xf>
    <xf numFmtId="186" fontId="56" fillId="40" borderId="214" applyNumberFormat="0" applyFont="0" applyAlignment="0" applyProtection="0"/>
    <xf numFmtId="186" fontId="44" fillId="0" borderId="229" applyNumberFormat="0" applyFill="0" applyAlignment="0" applyProtection="0"/>
    <xf numFmtId="186" fontId="42" fillId="44" borderId="214" applyNumberFormat="0" applyAlignment="0" applyProtection="0"/>
    <xf numFmtId="186" fontId="27" fillId="15" borderId="216" applyNumberFormat="0" applyProtection="0">
      <alignment horizontal="left" vertical="top" indent="1"/>
    </xf>
    <xf numFmtId="186" fontId="42" fillId="44" borderId="214" applyNumberFormat="0" applyAlignment="0" applyProtection="0"/>
    <xf numFmtId="4" fontId="27" fillId="21" borderId="217" applyNumberFormat="0" applyProtection="0">
      <alignment horizontal="left" vertical="center" indent="1"/>
    </xf>
    <xf numFmtId="4" fontId="56" fillId="15" borderId="217" applyNumberFormat="0" applyProtection="0">
      <alignment horizontal="left" vertical="center"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220">
      <alignment vertical="center"/>
    </xf>
    <xf numFmtId="4" fontId="27" fillId="21" borderId="217" applyNumberFormat="0" applyProtection="0">
      <alignment horizontal="left" vertical="center" indent="1"/>
    </xf>
    <xf numFmtId="4" fontId="56" fillId="52" borderId="214" applyNumberFormat="0" applyProtection="0">
      <alignment vertical="center"/>
    </xf>
    <xf numFmtId="186" fontId="56" fillId="63" borderId="216"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28" fillId="50" borderId="197">
      <alignment vertical="center"/>
    </xf>
    <xf numFmtId="186" fontId="28" fillId="51" borderId="177">
      <alignment horizontal="right" vertical="center"/>
      <protection locked="0"/>
    </xf>
    <xf numFmtId="186" fontId="57" fillId="44" borderId="215" applyNumberFormat="0" applyAlignment="0" applyProtection="0"/>
    <xf numFmtId="186" fontId="56" fillId="15" borderId="232" applyNumberFormat="0" applyProtection="0">
      <alignment horizontal="left" vertical="top" indent="1"/>
    </xf>
    <xf numFmtId="186" fontId="56" fillId="63" borderId="216" applyNumberFormat="0" applyProtection="0">
      <alignment horizontal="left" vertical="top" indent="1"/>
    </xf>
    <xf numFmtId="188" fontId="28" fillId="49" borderId="220">
      <alignment vertical="center"/>
    </xf>
    <xf numFmtId="191" fontId="28" fillId="50" borderId="220">
      <alignment vertical="center"/>
    </xf>
    <xf numFmtId="186" fontId="56" fillId="21" borderId="222" applyNumberFormat="0" applyProtection="0">
      <alignment horizontal="left" vertical="top" indent="1"/>
    </xf>
    <xf numFmtId="193" fontId="28" fillId="12" borderId="220">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14" applyNumberFormat="0" applyProtection="0">
      <alignment horizontal="right" vertical="center"/>
    </xf>
    <xf numFmtId="186" fontId="56" fillId="14" borderId="216" applyNumberFormat="0" applyProtection="0">
      <alignment horizontal="left" vertical="top" indent="1"/>
    </xf>
    <xf numFmtId="4" fontId="56" fillId="15" borderId="214" applyNumberFormat="0" applyProtection="0">
      <alignment horizontal="right" vertical="center"/>
    </xf>
    <xf numFmtId="4" fontId="56" fillId="23" borderId="214" applyNumberFormat="0" applyProtection="0">
      <alignment horizontal="right" vertical="center"/>
    </xf>
    <xf numFmtId="164" fontId="35" fillId="0" borderId="0" applyFont="0" applyFill="0" applyBorder="0" applyAlignment="0" applyProtection="0"/>
    <xf numFmtId="186" fontId="42" fillId="44" borderId="224" applyNumberFormat="0" applyAlignment="0" applyProtection="0"/>
    <xf numFmtId="188" fontId="28" fillId="49" borderId="197">
      <alignment vertical="center"/>
    </xf>
    <xf numFmtId="4" fontId="56" fillId="53" borderId="224" applyNumberFormat="0" applyProtection="0">
      <alignment horizontal="left" vertical="center" indent="1"/>
    </xf>
    <xf numFmtId="186" fontId="56" fillId="63" borderId="222"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20">
      <alignment horizontal="right" vertical="center"/>
      <protection locked="0"/>
    </xf>
    <xf numFmtId="4" fontId="56" fillId="59" borderId="234" applyNumberFormat="0" applyProtection="0">
      <alignment horizontal="right" vertical="center"/>
    </xf>
    <xf numFmtId="191" fontId="5" fillId="69" borderId="240">
      <alignment vertical="center"/>
    </xf>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15" borderId="232" applyNumberFormat="0" applyProtection="0">
      <alignment horizontal="left" vertical="top" indent="1"/>
    </xf>
    <xf numFmtId="193" fontId="28" fillId="12" borderId="177">
      <alignment vertical="center"/>
      <protection locked="0"/>
    </xf>
    <xf numFmtId="186" fontId="27" fillId="14" borderId="216" applyNumberFormat="0" applyProtection="0">
      <alignment horizontal="left" vertical="center"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62" borderId="214" applyNumberFormat="0" applyProtection="0">
      <alignment horizontal="left" vertical="center" indent="1"/>
    </xf>
    <xf numFmtId="191" fontId="28" fillId="50" borderId="220">
      <alignment vertical="center"/>
    </xf>
    <xf numFmtId="4" fontId="56" fillId="61" borderId="217" applyNumberFormat="0" applyProtection="0">
      <alignment horizontal="left" vertical="center" indent="1"/>
    </xf>
    <xf numFmtId="186" fontId="56" fillId="40" borderId="214" applyNumberFormat="0" applyFont="0" applyAlignment="0" applyProtection="0"/>
    <xf numFmtId="186" fontId="28" fillId="50" borderId="220">
      <alignment vertical="center"/>
    </xf>
    <xf numFmtId="191" fontId="28" fillId="12" borderId="220">
      <alignment vertical="center"/>
      <protection locked="0"/>
    </xf>
    <xf numFmtId="4" fontId="56" fillId="52" borderId="224" applyNumberFormat="0" applyProtection="0">
      <alignment vertical="center"/>
    </xf>
    <xf numFmtId="186" fontId="56" fillId="63" borderId="222" applyNumberFormat="0" applyProtection="0">
      <alignment horizontal="left" vertical="top" indent="1"/>
    </xf>
    <xf numFmtId="4" fontId="64" fillId="64" borderId="224" applyNumberFormat="0" applyProtection="0">
      <alignment horizontal="right" vertical="center"/>
    </xf>
    <xf numFmtId="164" fontId="35" fillId="0" borderId="0" applyFont="0" applyFill="0" applyBorder="0" applyAlignment="0" applyProtection="0"/>
    <xf numFmtId="186" fontId="56" fillId="40" borderId="214" applyNumberFormat="0" applyFont="0" applyAlignment="0" applyProtection="0"/>
    <xf numFmtId="4" fontId="56" fillId="58" borderId="224" applyNumberFormat="0" applyProtection="0">
      <alignment horizontal="right" vertical="center"/>
    </xf>
    <xf numFmtId="172" fontId="28" fillId="12" borderId="230">
      <alignment vertical="center"/>
      <protection locked="0"/>
    </xf>
    <xf numFmtId="186" fontId="56" fillId="40" borderId="214" applyNumberFormat="0" applyFont="0" applyAlignment="0" applyProtection="0"/>
    <xf numFmtId="186" fontId="56" fillId="14" borderId="222" applyNumberFormat="0" applyProtection="0">
      <alignment horizontal="left" vertical="top" indent="1"/>
    </xf>
    <xf numFmtId="4" fontId="56" fillId="14" borderId="238"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8" fontId="28" fillId="49" borderId="220">
      <alignment vertical="center"/>
    </xf>
    <xf numFmtId="190" fontId="28" fillId="49" borderId="220">
      <alignment vertical="center"/>
    </xf>
    <xf numFmtId="191"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91" fontId="28" fillId="12" borderId="220">
      <alignment vertical="center"/>
      <protection locked="0"/>
    </xf>
    <xf numFmtId="191" fontId="28" fillId="50" borderId="220">
      <alignment vertical="center"/>
    </xf>
    <xf numFmtId="191"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88" fontId="28" fillId="50" borderId="220">
      <alignment vertical="center"/>
    </xf>
    <xf numFmtId="190"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1" borderId="220">
      <alignment horizontal="right" vertical="center"/>
      <protection locked="0"/>
    </xf>
    <xf numFmtId="186" fontId="28" fillId="51" borderId="220">
      <alignment horizontal="right" vertical="center"/>
      <protection locked="0"/>
    </xf>
    <xf numFmtId="186" fontId="28" fillId="51" borderId="220">
      <alignment horizontal="right" vertical="center"/>
      <protection locked="0"/>
    </xf>
    <xf numFmtId="190" fontId="28" fillId="51" borderId="220">
      <alignment horizontal="right" vertical="center"/>
      <protection locked="0"/>
    </xf>
    <xf numFmtId="188"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62" fillId="48" borderId="216" applyNumberFormat="0" applyProtection="0">
      <alignment vertical="center"/>
    </xf>
    <xf numFmtId="4" fontId="59" fillId="12" borderId="220"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7" borderId="220"/>
    <xf numFmtId="4" fontId="64" fillId="64" borderId="214" applyNumberFormat="0" applyProtection="0">
      <alignment horizontal="right" vertical="center"/>
    </xf>
    <xf numFmtId="37" fontId="33" fillId="0" borderId="210" applyNumberFormat="0"/>
    <xf numFmtId="186" fontId="27" fillId="21"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4" fontId="27" fillId="21" borderId="228" applyNumberFormat="0" applyProtection="0">
      <alignment horizontal="left" vertical="center" indent="1"/>
    </xf>
    <xf numFmtId="186" fontId="56" fillId="40" borderId="214" applyNumberFormat="0" applyFont="0" applyAlignment="0" applyProtection="0"/>
    <xf numFmtId="191" fontId="5" fillId="13" borderId="220">
      <alignment vertical="center"/>
    </xf>
    <xf numFmtId="188" fontId="5" fillId="13" borderId="220">
      <alignment vertical="center"/>
    </xf>
    <xf numFmtId="190" fontId="5" fillId="13" borderId="220">
      <alignment vertical="center"/>
    </xf>
    <xf numFmtId="191" fontId="5" fillId="7" borderId="220">
      <alignment vertical="center"/>
      <protection locked="0"/>
    </xf>
    <xf numFmtId="188" fontId="5" fillId="7" borderId="220">
      <alignment vertical="center"/>
      <protection locked="0"/>
    </xf>
    <xf numFmtId="196" fontId="5" fillId="69" borderId="220">
      <alignment vertical="center"/>
    </xf>
    <xf numFmtId="188" fontId="5" fillId="69" borderId="220">
      <alignment vertical="center"/>
    </xf>
    <xf numFmtId="190" fontId="5" fillId="69" borderId="220">
      <alignment vertical="center"/>
    </xf>
    <xf numFmtId="191" fontId="5" fillId="69" borderId="220">
      <alignment vertical="center"/>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4" borderId="216" applyNumberFormat="0" applyProtection="0">
      <alignment horizontal="left" vertical="center" indent="1"/>
    </xf>
    <xf numFmtId="186" fontId="56" fillId="21" borderId="216" applyNumberFormat="0" applyProtection="0">
      <alignment horizontal="left" vertical="top" indent="1"/>
    </xf>
    <xf numFmtId="191" fontId="5" fillId="7" borderId="197">
      <alignment vertical="center"/>
      <protection locked="0"/>
    </xf>
    <xf numFmtId="186" fontId="27" fillId="63" borderId="216"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42" fillId="44" borderId="214" applyNumberFormat="0" applyAlignment="0" applyProtection="0"/>
    <xf numFmtId="186" fontId="60" fillId="52" borderId="222" applyNumberFormat="0" applyProtection="0">
      <alignment horizontal="left" vertical="top" indent="1"/>
    </xf>
    <xf numFmtId="186" fontId="56" fillId="40" borderId="214" applyNumberFormat="0" applyFont="0" applyAlignment="0" applyProtection="0"/>
    <xf numFmtId="37" fontId="33" fillId="0" borderId="210" applyNumberFormat="0"/>
    <xf numFmtId="4" fontId="56" fillId="15" borderId="214" applyNumberFormat="0" applyProtection="0">
      <alignment horizontal="right" vertical="center"/>
    </xf>
    <xf numFmtId="186" fontId="56" fillId="21" borderId="216" applyNumberFormat="0" applyProtection="0">
      <alignment horizontal="left" vertical="top" indent="1"/>
    </xf>
    <xf numFmtId="4" fontId="27" fillId="21" borderId="217" applyNumberFormat="0" applyProtection="0">
      <alignment horizontal="left" vertical="center" indent="1"/>
    </xf>
    <xf numFmtId="191" fontId="5" fillId="13" borderId="220">
      <alignment vertical="center"/>
    </xf>
    <xf numFmtId="191" fontId="28" fillId="51" borderId="22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220">
      <alignment vertical="center"/>
    </xf>
    <xf numFmtId="186" fontId="27" fillId="15" borderId="216" applyNumberFormat="0" applyProtection="0">
      <alignment horizontal="left" vertical="center" indent="1"/>
    </xf>
    <xf numFmtId="37" fontId="33" fillId="0" borderId="210" applyNumberFormat="0"/>
    <xf numFmtId="186" fontId="56" fillId="14" borderId="216"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190" fontId="28" fillId="50" borderId="240">
      <alignment vertical="center"/>
    </xf>
    <xf numFmtId="186" fontId="56" fillId="15"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72" fontId="28" fillId="12" borderId="220">
      <alignment vertical="center"/>
      <protection locked="0"/>
    </xf>
    <xf numFmtId="191" fontId="28" fillId="51" borderId="220">
      <alignment horizontal="right" vertical="center"/>
      <protection locked="0"/>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42" fillId="44" borderId="224" applyNumberFormat="0" applyAlignment="0" applyProtection="0"/>
    <xf numFmtId="186" fontId="56" fillId="63" borderId="216" applyNumberFormat="0" applyProtection="0">
      <alignment horizontal="left" vertical="top" indent="1"/>
    </xf>
    <xf numFmtId="186" fontId="56" fillId="63" borderId="222" applyNumberFormat="0" applyProtection="0">
      <alignment horizontal="left" vertical="top" indent="1"/>
    </xf>
    <xf numFmtId="4" fontId="27" fillId="21" borderId="217" applyNumberFormat="0" applyProtection="0">
      <alignment horizontal="left" vertical="center" indent="1"/>
    </xf>
    <xf numFmtId="4" fontId="59" fillId="53" borderId="214" applyNumberFormat="0" applyProtection="0">
      <alignment vertical="center"/>
    </xf>
    <xf numFmtId="193" fontId="28" fillId="50" borderId="197">
      <alignment vertical="center"/>
    </xf>
    <xf numFmtId="186" fontId="62" fillId="48" borderId="216"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27" fillId="63" borderId="216" applyNumberFormat="0" applyProtection="0">
      <alignment horizontal="left" vertical="center"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186" fontId="27" fillId="21" borderId="216" applyNumberFormat="0" applyProtection="0">
      <alignment horizontal="left" vertical="center" indent="1"/>
    </xf>
    <xf numFmtId="4" fontId="56" fillId="61" borderId="217" applyNumberFormat="0" applyProtection="0">
      <alignment horizontal="left" vertical="center" indent="1"/>
    </xf>
    <xf numFmtId="186" fontId="42" fillId="44" borderId="21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42" fillId="44" borderId="214" applyNumberFormat="0" applyAlignment="0" applyProtection="0"/>
    <xf numFmtId="191" fontId="5" fillId="69" borderId="197">
      <alignment vertical="center"/>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190" fontId="28" fillId="51" borderId="220">
      <alignment horizontal="right" vertical="center"/>
      <protection locked="0"/>
    </xf>
    <xf numFmtId="186" fontId="56" fillId="15" borderId="216" applyNumberFormat="0" applyProtection="0">
      <alignment horizontal="left" vertical="top" indent="1"/>
    </xf>
    <xf numFmtId="190" fontId="28" fillId="50" borderId="220">
      <alignment vertical="center"/>
    </xf>
    <xf numFmtId="190" fontId="28" fillId="49" borderId="220">
      <alignment vertical="center"/>
    </xf>
    <xf numFmtId="186" fontId="62" fillId="48" borderId="232" applyNumberFormat="0" applyProtection="0">
      <alignment horizontal="left" vertical="top" indent="1"/>
    </xf>
    <xf numFmtId="186" fontId="56" fillId="21" borderId="222" applyNumberFormat="0" applyProtection="0">
      <alignment horizontal="left" vertical="top" indent="1"/>
    </xf>
    <xf numFmtId="191" fontId="5" fillId="13" borderId="197">
      <alignment vertical="center"/>
    </xf>
    <xf numFmtId="186" fontId="56" fillId="15" borderId="232" applyNumberFormat="0" applyProtection="0">
      <alignment horizontal="left" vertical="top" indent="1"/>
    </xf>
    <xf numFmtId="186" fontId="60" fillId="52" borderId="222" applyNumberFormat="0" applyProtection="0">
      <alignment horizontal="left" vertical="top" indent="1"/>
    </xf>
    <xf numFmtId="190" fontId="28" fillId="51" borderId="230">
      <alignment horizontal="right" vertical="center"/>
      <protection locked="0"/>
    </xf>
    <xf numFmtId="186" fontId="50" fillId="41" borderId="224" applyNumberFormat="0" applyAlignment="0" applyProtection="0"/>
    <xf numFmtId="186" fontId="56" fillId="40" borderId="214" applyNumberFormat="0" applyFont="0" applyAlignment="0" applyProtection="0"/>
    <xf numFmtId="186" fontId="56" fillId="21" borderId="222" applyNumberFormat="0" applyProtection="0">
      <alignment horizontal="left" vertical="top" indent="1"/>
    </xf>
    <xf numFmtId="186" fontId="56" fillId="21" borderId="232" applyNumberFormat="0" applyProtection="0">
      <alignment horizontal="left" vertical="top"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57" fillId="44" borderId="215" applyNumberFormat="0" applyAlignment="0" applyProtection="0"/>
    <xf numFmtId="186" fontId="57" fillId="44" borderId="215" applyNumberFormat="0" applyAlignment="0" applyProtection="0"/>
    <xf numFmtId="186" fontId="60" fillId="52" borderId="216" applyNumberFormat="0" applyProtection="0">
      <alignment horizontal="left" vertical="top" indent="1"/>
    </xf>
    <xf numFmtId="4" fontId="56" fillId="57" borderId="217"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4" borderId="214" applyNumberFormat="0" applyProtection="0">
      <alignment horizontal="left" vertical="center" indent="1"/>
    </xf>
    <xf numFmtId="4" fontId="56" fillId="19" borderId="214" applyNumberFormat="0" applyProtection="0">
      <alignment horizontal="right" vertical="center"/>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27" fillId="21"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40" borderId="214" applyNumberFormat="0" applyFont="0" applyAlignment="0" applyProtection="0"/>
    <xf numFmtId="186" fontId="56" fillId="21" borderId="216" applyNumberFormat="0" applyProtection="0">
      <alignment horizontal="left" vertical="top" indent="1"/>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8" fontId="5" fillId="13"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220">
      <alignment horizontal="right" vertical="center"/>
      <protection locked="0"/>
    </xf>
    <xf numFmtId="186" fontId="44" fillId="0" borderId="219" applyNumberFormat="0" applyFill="0" applyAlignment="0" applyProtection="0"/>
    <xf numFmtId="186" fontId="56" fillId="14" borderId="214" applyNumberFormat="0" applyProtection="0">
      <alignment horizontal="left" vertical="center" indent="1"/>
    </xf>
    <xf numFmtId="186" fontId="62" fillId="48" borderId="216" applyNumberFormat="0" applyProtection="0">
      <alignment horizontal="left" vertical="top" indent="1"/>
    </xf>
    <xf numFmtId="186" fontId="56" fillId="63" borderId="232" applyNumberFormat="0" applyProtection="0">
      <alignment horizontal="left" vertical="top" indent="1"/>
    </xf>
    <xf numFmtId="4" fontId="62" fillId="11" borderId="222" applyNumberFormat="0" applyProtection="0">
      <alignment horizontal="left" vertical="center" indent="1"/>
    </xf>
    <xf numFmtId="186" fontId="61" fillId="21" borderId="218" applyBorder="0"/>
    <xf numFmtId="186" fontId="56" fillId="14" borderId="222" applyNumberFormat="0" applyProtection="0">
      <alignment horizontal="left" vertical="top" indent="1"/>
    </xf>
    <xf numFmtId="186" fontId="56" fillId="40" borderId="224" applyNumberFormat="0" applyFont="0" applyAlignment="0" applyProtection="0"/>
    <xf numFmtId="186" fontId="42" fillId="44" borderId="214" applyNumberFormat="0" applyAlignment="0" applyProtection="0"/>
    <xf numFmtId="186" fontId="28" fillId="12" borderId="220">
      <alignment vertical="center"/>
      <protection locked="0"/>
    </xf>
    <xf numFmtId="186" fontId="28" fillId="51" borderId="220">
      <alignment horizontal="right" vertical="center"/>
      <protection locked="0"/>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2" fillId="48" borderId="216" applyNumberFormat="0" applyProtection="0">
      <alignment vertical="center"/>
    </xf>
    <xf numFmtId="186" fontId="56" fillId="63" borderId="222" applyNumberFormat="0" applyProtection="0">
      <alignment horizontal="left" vertical="top" indent="1"/>
    </xf>
    <xf numFmtId="4" fontId="62" fillId="48" borderId="216" applyNumberFormat="0" applyProtection="0">
      <alignmen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188" fontId="5" fillId="13" borderId="240">
      <alignment vertical="center"/>
    </xf>
    <xf numFmtId="186" fontId="56" fillId="63" borderId="232" applyNumberFormat="0" applyProtection="0">
      <alignment horizontal="left" vertical="top" indent="1"/>
    </xf>
    <xf numFmtId="186" fontId="28" fillId="12" borderId="17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14" applyNumberFormat="0" applyFont="0" applyAlignment="0" applyProtection="0"/>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3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91" fontId="28" fillId="51" borderId="197">
      <alignment horizontal="right" vertical="center"/>
      <protection locked="0"/>
    </xf>
    <xf numFmtId="190" fontId="28" fillId="51" borderId="220">
      <alignment horizontal="right" vertical="center"/>
      <protection locked="0"/>
    </xf>
    <xf numFmtId="186" fontId="27" fillId="63" borderId="216" applyNumberFormat="0" applyProtection="0">
      <alignment horizontal="left" vertical="top" indent="1"/>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4" fontId="56" fillId="58" borderId="214" applyNumberFormat="0" applyProtection="0">
      <alignment horizontal="right" vertical="center"/>
    </xf>
    <xf numFmtId="4" fontId="59" fillId="65" borderId="214" applyNumberFormat="0" applyProtection="0">
      <alignment horizontal="right" vertical="center"/>
    </xf>
    <xf numFmtId="190" fontId="28" fillId="49" borderId="220">
      <alignment vertical="center"/>
    </xf>
    <xf numFmtId="186" fontId="28" fillId="49" borderId="22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6" fillId="40" borderId="214" applyNumberFormat="0" applyFont="0" applyAlignment="0" applyProtection="0"/>
    <xf numFmtId="4" fontId="56" fillId="54" borderId="224" applyNumberFormat="0" applyProtection="0">
      <alignment horizontal="left" vertical="center" indent="1"/>
    </xf>
    <xf numFmtId="186" fontId="42" fillId="44" borderId="224" applyNumberFormat="0" applyAlignment="0" applyProtection="0"/>
    <xf numFmtId="186" fontId="56" fillId="40" borderId="214" applyNumberFormat="0" applyFont="0" applyAlignment="0" applyProtection="0"/>
    <xf numFmtId="186" fontId="57" fillId="44" borderId="235" applyNumberFormat="0" applyAlignment="0" applyProtection="0"/>
    <xf numFmtId="4" fontId="56" fillId="54" borderId="234" applyNumberFormat="0" applyProtection="0">
      <alignment horizontal="left" vertical="center" indent="1"/>
    </xf>
    <xf numFmtId="186" fontId="57" fillId="44" borderId="225" applyNumberForma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16" applyNumberFormat="0" applyProtection="0">
      <alignment horizontal="left" vertical="top" indent="1"/>
    </xf>
    <xf numFmtId="4" fontId="56" fillId="55" borderId="214" applyNumberFormat="0" applyProtection="0">
      <alignment horizontal="right" vertical="center"/>
    </xf>
    <xf numFmtId="193" fontId="28" fillId="12" borderId="197">
      <alignment vertical="center"/>
      <protection locked="0"/>
    </xf>
    <xf numFmtId="186" fontId="56" fillId="40" borderId="214" applyNumberFormat="0" applyFont="0" applyAlignment="0" applyProtection="0"/>
    <xf numFmtId="4" fontId="56" fillId="19" borderId="214" applyNumberFormat="0" applyProtection="0">
      <alignment horizontal="right" vertical="center"/>
    </xf>
    <xf numFmtId="186" fontId="56" fillId="63" borderId="222" applyNumberFormat="0" applyProtection="0">
      <alignment horizontal="left" vertical="top" indent="1"/>
    </xf>
    <xf numFmtId="186" fontId="28" fillId="50" borderId="220">
      <alignment vertical="center"/>
    </xf>
    <xf numFmtId="186" fontId="27" fillId="15" borderId="216" applyNumberFormat="0" applyProtection="0">
      <alignment horizontal="left" vertical="top" indent="1"/>
    </xf>
    <xf numFmtId="186" fontId="56" fillId="11" borderId="214" applyNumberFormat="0" applyProtection="0">
      <alignment horizontal="left" vertical="center" indent="1"/>
    </xf>
    <xf numFmtId="191" fontId="28" fillId="12"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4" fontId="59" fillId="12" borderId="220" applyNumberFormat="0" applyProtection="0">
      <alignment vertical="center"/>
    </xf>
    <xf numFmtId="188" fontId="5" fillId="13" borderId="22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91" fontId="28" fillId="50" borderId="197">
      <alignment vertical="center"/>
    </xf>
    <xf numFmtId="186" fontId="44" fillId="0" borderId="239" applyNumberFormat="0" applyFill="0" applyAlignment="0" applyProtection="0"/>
    <xf numFmtId="4" fontId="56" fillId="54" borderId="214" applyNumberFormat="0" applyProtection="0">
      <alignment horizontal="left" vertical="center" indent="1"/>
    </xf>
    <xf numFmtId="186" fontId="56" fillId="14" borderId="216" applyNumberFormat="0" applyProtection="0">
      <alignment horizontal="left" vertical="top" indent="1"/>
    </xf>
    <xf numFmtId="194" fontId="33" fillId="0" borderId="221" applyFill="0"/>
    <xf numFmtId="186" fontId="56" fillId="40" borderId="214" applyNumberFormat="0" applyFont="0" applyAlignment="0" applyProtection="0"/>
    <xf numFmtId="193" fontId="28" fillId="12" borderId="220">
      <alignment vertical="center"/>
      <protection locked="0"/>
    </xf>
    <xf numFmtId="172" fontId="28" fillId="12" borderId="220">
      <alignment vertical="center"/>
      <protection locked="0"/>
    </xf>
    <xf numFmtId="191" fontId="28" fillId="50" borderId="220">
      <alignment vertical="center"/>
    </xf>
    <xf numFmtId="186" fontId="56" fillId="21"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4" fontId="27" fillId="21" borderId="217" applyNumberFormat="0" applyProtection="0">
      <alignment horizontal="left" vertical="center" indent="1"/>
    </xf>
    <xf numFmtId="186" fontId="56" fillId="21" borderId="222" applyNumberFormat="0" applyProtection="0">
      <alignment horizontal="left" vertical="top" indent="1"/>
    </xf>
    <xf numFmtId="186" fontId="57" fillId="44" borderId="215" applyNumberFormat="0" applyAlignment="0" applyProtection="0"/>
    <xf numFmtId="191" fontId="28" fillId="50" borderId="230">
      <alignment vertical="center"/>
    </xf>
    <xf numFmtId="186" fontId="56" fillId="40" borderId="214" applyNumberFormat="0" applyFont="0" applyAlignment="0" applyProtection="0"/>
    <xf numFmtId="186" fontId="56" fillId="40" borderId="214" applyNumberFormat="0" applyFont="0" applyAlignment="0" applyProtection="0"/>
    <xf numFmtId="186" fontId="61" fillId="21" borderId="226" applyBorder="0"/>
    <xf numFmtId="4" fontId="56" fillId="57" borderId="228" applyNumberFormat="0" applyProtection="0">
      <alignment horizontal="right" vertical="center"/>
    </xf>
    <xf numFmtId="186" fontId="56" fillId="40" borderId="234" applyNumberFormat="0" applyFont="0" applyAlignment="0" applyProtection="0"/>
    <xf numFmtId="186" fontId="27" fillId="21" borderId="232" applyNumberFormat="0" applyProtection="0">
      <alignment horizontal="left" vertical="center" indent="1"/>
    </xf>
    <xf numFmtId="186" fontId="56" fillId="40" borderId="234" applyNumberFormat="0" applyFont="0" applyAlignment="0" applyProtection="0"/>
    <xf numFmtId="37" fontId="33" fillId="0" borderId="227" applyNumberFormat="0"/>
    <xf numFmtId="186" fontId="28" fillId="49" borderId="220">
      <alignment vertical="center"/>
    </xf>
    <xf numFmtId="188" fontId="28" fillId="50" borderId="220">
      <alignment vertical="center"/>
    </xf>
    <xf numFmtId="186" fontId="56" fillId="15" borderId="216" applyNumberFormat="0" applyProtection="0">
      <alignment horizontal="left" vertical="top" indent="1"/>
    </xf>
    <xf numFmtId="186" fontId="27" fillId="14" borderId="216" applyNumberFormat="0" applyProtection="0">
      <alignment horizontal="left" vertical="center" indent="1"/>
    </xf>
    <xf numFmtId="191" fontId="28" fillId="51" borderId="220">
      <alignment horizontal="right" vertical="center"/>
      <protection locked="0"/>
    </xf>
    <xf numFmtId="4" fontId="56" fillId="19" borderId="214" applyNumberFormat="0" applyProtection="0">
      <alignment horizontal="right" vertical="center"/>
    </xf>
    <xf numFmtId="4" fontId="56" fillId="58" borderId="214" applyNumberFormat="0" applyProtection="0">
      <alignment horizontal="right" vertical="center"/>
    </xf>
    <xf numFmtId="4" fontId="56" fillId="61" borderId="217" applyNumberFormat="0" applyProtection="0">
      <alignment horizontal="left" vertical="center" indent="1"/>
    </xf>
    <xf numFmtId="186" fontId="56" fillId="21" borderId="216" applyNumberFormat="0" applyProtection="0">
      <alignment horizontal="left" vertical="top" indent="1"/>
    </xf>
    <xf numFmtId="186" fontId="56" fillId="14"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14"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8" fillId="12"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1" borderId="216" applyNumberFormat="0" applyProtection="0">
      <alignment horizontal="left" vertical="center" indent="1"/>
    </xf>
    <xf numFmtId="186" fontId="50" fillId="41" borderId="224" applyNumberFormat="0" applyAlignment="0" applyProtection="0"/>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42" fillId="44" borderId="214" applyNumberFormat="0" applyAlignment="0" applyProtection="0"/>
    <xf numFmtId="4" fontId="56" fillId="57" borderId="217" applyNumberFormat="0" applyProtection="0">
      <alignment horizontal="right" vertical="center"/>
    </xf>
    <xf numFmtId="186" fontId="60" fillId="52"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56" fillId="14" borderId="216"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16"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4" fontId="72" fillId="86" borderId="222" applyNumberFormat="0" applyProtection="0">
      <alignment horizontal="right" vertical="center"/>
    </xf>
    <xf numFmtId="186" fontId="62" fillId="15" borderId="216" applyNumberFormat="0" applyProtection="0">
      <alignment horizontal="left" vertical="top" indent="1"/>
    </xf>
    <xf numFmtId="37" fontId="33" fillId="0" borderId="210"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2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40" applyNumberFormat="0" applyProtection="0">
      <alignment vertical="center"/>
    </xf>
    <xf numFmtId="188" fontId="28" fillId="50" borderId="220">
      <alignment vertical="center"/>
    </xf>
    <xf numFmtId="4" fontId="56" fillId="56" borderId="21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16" applyNumberFormat="0" applyProtection="0">
      <alignment horizontal="left" vertical="top" indent="1"/>
    </xf>
    <xf numFmtId="4" fontId="56" fillId="16" borderId="214" applyNumberFormat="0" applyProtection="0">
      <alignment horizontal="right" vertical="center"/>
    </xf>
    <xf numFmtId="186" fontId="27" fillId="63" borderId="216" applyNumberFormat="0" applyProtection="0">
      <alignment horizontal="left" vertical="center" indent="1"/>
    </xf>
    <xf numFmtId="4" fontId="56" fillId="54" borderId="21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14" applyNumberFormat="0" applyProtection="0">
      <alignmen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56" fillId="60" borderId="224" applyNumberFormat="0" applyProtection="0">
      <alignment horizontal="right" vertical="center"/>
    </xf>
    <xf numFmtId="4" fontId="56" fillId="60" borderId="214" applyNumberFormat="0" applyProtection="0">
      <alignment horizontal="right" vertical="center"/>
    </xf>
    <xf numFmtId="196" fontId="5" fillId="69" borderId="197">
      <alignment vertical="center"/>
    </xf>
    <xf numFmtId="186" fontId="56" fillId="21" borderId="216" applyNumberFormat="0" applyProtection="0">
      <alignment horizontal="left" vertical="top" indent="1"/>
    </xf>
    <xf numFmtId="186" fontId="57" fillId="44" borderId="215" applyNumberFormat="0" applyAlignment="0" applyProtection="0"/>
    <xf numFmtId="193" fontId="28" fillId="50" borderId="220">
      <alignment vertical="center"/>
    </xf>
    <xf numFmtId="4" fontId="56" fillId="23" borderId="214" applyNumberFormat="0" applyProtection="0">
      <alignment horizontal="right" vertical="center"/>
    </xf>
    <xf numFmtId="4" fontId="56" fillId="14" borderId="217" applyNumberFormat="0" applyProtection="0">
      <alignment horizontal="left" vertical="center" indent="1"/>
    </xf>
    <xf numFmtId="4" fontId="56" fillId="55" borderId="214" applyNumberFormat="0" applyProtection="0">
      <alignment horizontal="right" vertical="center"/>
    </xf>
    <xf numFmtId="186" fontId="42" fillId="44" borderId="214" applyNumberFormat="0" applyAlignment="0" applyProtection="0"/>
    <xf numFmtId="186" fontId="27" fillId="63" borderId="216" applyNumberFormat="0" applyProtection="0">
      <alignment horizontal="left" vertical="center" indent="1"/>
    </xf>
    <xf numFmtId="186" fontId="56" fillId="21" borderId="216" applyNumberFormat="0" applyProtection="0">
      <alignment horizontal="left" vertical="top" indent="1"/>
    </xf>
    <xf numFmtId="186" fontId="27" fillId="14" borderId="232" applyNumberFormat="0" applyProtection="0">
      <alignment horizontal="left" vertical="top" indent="1"/>
    </xf>
    <xf numFmtId="190" fontId="28" fillId="50" borderId="177">
      <alignment vertical="center"/>
    </xf>
    <xf numFmtId="4" fontId="62" fillId="11" borderId="216" applyNumberFormat="0" applyProtection="0">
      <alignment horizontal="left" vertical="center"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4" fontId="56" fillId="15" borderId="217" applyNumberFormat="0" applyProtection="0">
      <alignment horizontal="left" vertical="center" indent="1"/>
    </xf>
    <xf numFmtId="4" fontId="56" fillId="57" borderId="217" applyNumberFormat="0" applyProtection="0">
      <alignment horizontal="right" vertical="center"/>
    </xf>
    <xf numFmtId="186" fontId="50" fillId="41" borderId="214" applyNumberFormat="0" applyAlignment="0" applyProtection="0"/>
    <xf numFmtId="186" fontId="56" fillId="14" borderId="222" applyNumberFormat="0" applyProtection="0">
      <alignment horizontal="left" vertical="top" indent="1"/>
    </xf>
    <xf numFmtId="188" fontId="5" fillId="13" borderId="24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32" applyNumberFormat="0" applyProtection="0">
      <alignment horizontal="left" vertical="top" indent="1"/>
    </xf>
    <xf numFmtId="4" fontId="56" fillId="52" borderId="234" applyNumberFormat="0" applyProtection="0">
      <alignment vertical="center"/>
    </xf>
    <xf numFmtId="4" fontId="27" fillId="21" borderId="228" applyNumberFormat="0" applyProtection="0">
      <alignment horizontal="left" vertical="center" indent="1"/>
    </xf>
    <xf numFmtId="186" fontId="57" fillId="44" borderId="225" applyNumberFormat="0" applyAlignment="0" applyProtection="0"/>
    <xf numFmtId="186" fontId="56" fillId="21" borderId="222" applyNumberFormat="0" applyProtection="0">
      <alignment horizontal="left" vertical="top" indent="1"/>
    </xf>
    <xf numFmtId="186" fontId="42" fillId="44" borderId="214" applyNumberFormat="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93" fontId="28" fillId="50"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14" applyNumberFormat="0" applyProtection="0">
      <alignment horizontal="right" vertical="center"/>
    </xf>
    <xf numFmtId="186" fontId="62"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2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20" applyNumberFormat="0">
      <protection locked="0"/>
    </xf>
    <xf numFmtId="4" fontId="56" fillId="53" borderId="214" applyNumberFormat="0" applyProtection="0">
      <alignment horizontal="left" vertical="center" indent="1"/>
    </xf>
    <xf numFmtId="4" fontId="56" fillId="56" borderId="214" applyNumberFormat="0" applyProtection="0">
      <alignment horizontal="right" vertical="center"/>
    </xf>
    <xf numFmtId="4" fontId="56" fillId="60" borderId="214" applyNumberFormat="0" applyProtection="0">
      <alignment horizontal="right" vertical="center"/>
    </xf>
    <xf numFmtId="4" fontId="56" fillId="15" borderId="217"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61" fillId="21" borderId="226" applyBorder="0"/>
    <xf numFmtId="186" fontId="56" fillId="67" borderId="220"/>
    <xf numFmtId="37" fontId="33" fillId="0" borderId="227" applyNumberFormat="0"/>
    <xf numFmtId="194" fontId="33" fillId="0" borderId="221" applyFill="0"/>
    <xf numFmtId="186" fontId="56" fillId="15" borderId="216" applyNumberFormat="0" applyProtection="0">
      <alignment horizontal="left" vertical="top" indent="1"/>
    </xf>
    <xf numFmtId="4" fontId="56" fillId="57" borderId="217" applyNumberFormat="0" applyProtection="0">
      <alignment horizontal="right" vertical="center"/>
    </xf>
    <xf numFmtId="186" fontId="56" fillId="21" borderId="222" applyNumberFormat="0" applyProtection="0">
      <alignment horizontal="left" vertical="top" indent="1"/>
    </xf>
    <xf numFmtId="4" fontId="56" fillId="61" borderId="217" applyNumberFormat="0" applyProtection="0">
      <alignment horizontal="left" vertical="center" indent="1"/>
    </xf>
    <xf numFmtId="190" fontId="28" fillId="49" borderId="220">
      <alignment vertical="center"/>
    </xf>
    <xf numFmtId="4" fontId="56" fillId="56" borderId="214" applyNumberFormat="0" applyProtection="0">
      <alignment horizontal="right" vertical="center"/>
    </xf>
    <xf numFmtId="4" fontId="56" fillId="61" borderId="238" applyNumberFormat="0" applyProtection="0">
      <alignment horizontal="left" vertical="center" indent="1"/>
    </xf>
    <xf numFmtId="188" fontId="28" fillId="51" borderId="240">
      <alignment horizontal="right" vertical="center"/>
      <protection locked="0"/>
    </xf>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0" fillId="41" borderId="214" applyNumberFormat="0" applyAlignment="0" applyProtection="0"/>
    <xf numFmtId="186" fontId="42" fillId="44" borderId="214" applyNumberFormat="0" applyAlignment="0" applyProtection="0"/>
    <xf numFmtId="4" fontId="56" fillId="58" borderId="234" applyNumberFormat="0" applyProtection="0">
      <alignment horizontal="right" vertical="center"/>
    </xf>
    <xf numFmtId="186" fontId="27" fillId="14" borderId="216" applyNumberFormat="0" applyProtection="0">
      <alignment horizontal="left" vertical="top" indent="1"/>
    </xf>
    <xf numFmtId="186" fontId="56" fillId="40" borderId="214" applyNumberFormat="0" applyFont="0" applyAlignment="0" applyProtection="0"/>
    <xf numFmtId="186" fontId="28" fillId="50" borderId="240">
      <alignment vertical="center"/>
    </xf>
    <xf numFmtId="4" fontId="56" fillId="23" borderId="214" applyNumberFormat="0" applyProtection="0">
      <alignment horizontal="right" vertical="center"/>
    </xf>
    <xf numFmtId="191" fontId="5" fillId="70" borderId="220">
      <alignment horizontal="right" vertical="center"/>
      <protection locked="0"/>
    </xf>
    <xf numFmtId="186" fontId="56" fillId="15" borderId="222" applyNumberFormat="0" applyProtection="0">
      <alignment horizontal="left" vertical="top" indent="1"/>
    </xf>
    <xf numFmtId="188" fontId="28" fillId="49" borderId="220">
      <alignment vertical="center"/>
    </xf>
    <xf numFmtId="4" fontId="62" fillId="11" borderId="216" applyNumberFormat="0" applyProtection="0">
      <alignment horizontal="left" vertical="center" indent="1"/>
    </xf>
    <xf numFmtId="186" fontId="56" fillId="15" borderId="216" applyNumberFormat="0" applyProtection="0">
      <alignment horizontal="left" vertical="top" indent="1"/>
    </xf>
    <xf numFmtId="4" fontId="56" fillId="19" borderId="214" applyNumberFormat="0" applyProtection="0">
      <alignment horizontal="right" vertical="center"/>
    </xf>
    <xf numFmtId="186" fontId="56" fillId="15" borderId="216" applyNumberFormat="0" applyProtection="0">
      <alignment horizontal="left" vertical="top" indent="1"/>
    </xf>
    <xf numFmtId="4" fontId="56" fillId="59" borderId="214" applyNumberFormat="0" applyProtection="0">
      <alignment horizontal="right" vertical="center"/>
    </xf>
    <xf numFmtId="186" fontId="56" fillId="14" borderId="216" applyNumberFormat="0" applyProtection="0">
      <alignment horizontal="left" vertical="top" indent="1"/>
    </xf>
    <xf numFmtId="186" fontId="56" fillId="40" borderId="214" applyNumberFormat="0" applyFont="0" applyAlignment="0" applyProtection="0"/>
    <xf numFmtId="4" fontId="27" fillId="21" borderId="238" applyNumberFormat="0" applyProtection="0">
      <alignment horizontal="left" vertical="center" indent="1"/>
    </xf>
    <xf numFmtId="186" fontId="56" fillId="14" borderId="216" applyNumberFormat="0" applyProtection="0">
      <alignment horizontal="left" vertical="top" indent="1"/>
    </xf>
    <xf numFmtId="186" fontId="56" fillId="40" borderId="214" applyNumberFormat="0" applyFont="0" applyAlignment="0" applyProtection="0"/>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63" borderId="234" applyNumberFormat="0" applyProtection="0">
      <alignment horizontal="left" vertical="center" indent="1"/>
    </xf>
    <xf numFmtId="193" fontId="28" fillId="12" borderId="220">
      <alignment vertical="center"/>
      <protection locked="0"/>
    </xf>
    <xf numFmtId="4" fontId="56" fillId="60" borderId="234" applyNumberFormat="0" applyProtection="0">
      <alignment horizontal="right" vertical="center"/>
    </xf>
    <xf numFmtId="186" fontId="56" fillId="15" borderId="216" applyNumberFormat="0" applyProtection="0">
      <alignment horizontal="left" vertical="top" indent="1"/>
    </xf>
    <xf numFmtId="186" fontId="50" fillId="41" borderId="214" applyNumberFormat="0" applyAlignment="0" applyProtection="0"/>
    <xf numFmtId="4" fontId="56" fillId="23" borderId="234" applyNumberFormat="0" applyProtection="0">
      <alignment horizontal="right" vertical="center"/>
    </xf>
    <xf numFmtId="164" fontId="35" fillId="0" borderId="0" applyFont="0" applyFill="0" applyBorder="0" applyAlignment="0" applyProtection="0"/>
    <xf numFmtId="4" fontId="62" fillId="48" borderId="216" applyNumberFormat="0" applyProtection="0">
      <alignment vertical="center"/>
    </xf>
    <xf numFmtId="186" fontId="56" fillId="63" borderId="222" applyNumberFormat="0" applyProtection="0">
      <alignment horizontal="left" vertical="top" indent="1"/>
    </xf>
    <xf numFmtId="190" fontId="28" fillId="49" borderId="220">
      <alignment vertical="center"/>
    </xf>
    <xf numFmtId="191" fontId="28" fillId="51" borderId="220">
      <alignment horizontal="right" vertical="center"/>
      <protection locked="0"/>
    </xf>
    <xf numFmtId="186" fontId="27" fillId="21" borderId="216" applyNumberFormat="0" applyProtection="0">
      <alignment horizontal="left" vertical="top" indent="1"/>
    </xf>
    <xf numFmtId="186" fontId="56" fillId="63" borderId="214" applyNumberFormat="0" applyProtection="0">
      <alignment horizontal="left" vertical="center" indent="1"/>
    </xf>
    <xf numFmtId="186" fontId="56" fillId="67" borderId="220"/>
    <xf numFmtId="186" fontId="42" fillId="44" borderId="214" applyNumberFormat="0" applyAlignment="0" applyProtection="0"/>
    <xf numFmtId="4" fontId="56" fillId="52" borderId="21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16" applyNumberFormat="0" applyProtection="0">
      <alignment horizontal="left" vertical="top" indent="1"/>
    </xf>
    <xf numFmtId="191" fontId="28" fillId="12" borderId="177">
      <alignment vertical="center"/>
      <protection locked="0"/>
    </xf>
    <xf numFmtId="186" fontId="56" fillId="64" borderId="211" applyNumberFormat="0">
      <protection locked="0"/>
    </xf>
    <xf numFmtId="4" fontId="56" fillId="54" borderId="214" applyNumberFormat="0" applyProtection="0">
      <alignment horizontal="left" vertical="center" indent="1"/>
    </xf>
    <xf numFmtId="4" fontId="64" fillId="64" borderId="214" applyNumberFormat="0" applyProtection="0">
      <alignment horizontal="right" vertical="center"/>
    </xf>
    <xf numFmtId="4" fontId="59" fillId="12" borderId="220"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4" fontId="56" fillId="15" borderId="217" applyNumberFormat="0" applyProtection="0">
      <alignment horizontal="left" vertical="center"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21" borderId="216" applyNumberFormat="0" applyProtection="0">
      <alignment horizontal="left" vertical="center" indent="1"/>
    </xf>
    <xf numFmtId="4" fontId="56" fillId="60" borderId="214" applyNumberFormat="0" applyProtection="0">
      <alignment horizontal="right" vertical="center"/>
    </xf>
    <xf numFmtId="4" fontId="56" fillId="23"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16" applyNumberFormat="0" applyProtection="0">
      <alignment horizontal="left" vertical="top" indent="1"/>
    </xf>
    <xf numFmtId="4" fontId="56" fillId="54" borderId="214" applyNumberFormat="0" applyProtection="0">
      <alignment horizontal="left" vertical="center" indent="1"/>
    </xf>
    <xf numFmtId="186" fontId="27" fillId="15" borderId="216" applyNumberFormat="0" applyProtection="0">
      <alignment horizontal="left" vertical="center" indent="1"/>
    </xf>
    <xf numFmtId="186" fontId="27" fillId="21" borderId="216" applyNumberFormat="0" applyProtection="0">
      <alignment horizontal="left" vertical="top" indent="1"/>
    </xf>
    <xf numFmtId="4" fontId="56" fillId="14" borderId="217" applyNumberFormat="0" applyProtection="0">
      <alignment horizontal="left" vertical="center" indent="1"/>
    </xf>
    <xf numFmtId="4" fontId="56" fillId="54" borderId="214" applyNumberFormat="0" applyProtection="0">
      <alignment horizontal="left" vertical="center" indent="1"/>
    </xf>
    <xf numFmtId="186" fontId="57" fillId="44" borderId="215"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0" fontId="5" fillId="69" borderId="220">
      <alignment vertical="center"/>
    </xf>
    <xf numFmtId="190" fontId="5" fillId="13" borderId="220">
      <alignment vertical="center"/>
    </xf>
    <xf numFmtId="188" fontId="5" fillId="70" borderId="220">
      <alignment horizontal="right" vertical="center"/>
      <protection locked="0"/>
    </xf>
    <xf numFmtId="186" fontId="62" fillId="15" borderId="216" applyNumberFormat="0" applyProtection="0">
      <alignment horizontal="left" vertical="top" indent="1"/>
    </xf>
    <xf numFmtId="4" fontId="62" fillId="11" borderId="216" applyNumberFormat="0" applyProtection="0">
      <alignment horizontal="left" vertical="center" indent="1"/>
    </xf>
    <xf numFmtId="4" fontId="56" fillId="54" borderId="22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56" fillId="57" borderId="217" applyNumberFormat="0" applyProtection="0">
      <alignment horizontal="right" vertical="center"/>
    </xf>
    <xf numFmtId="190" fontId="28" fillId="51" borderId="220">
      <alignment horizontal="right" vertical="center"/>
      <protection locked="0"/>
    </xf>
    <xf numFmtId="191" fontId="28" fillId="51" borderId="220">
      <alignment horizontal="right" vertical="center"/>
      <protection locked="0"/>
    </xf>
    <xf numFmtId="186" fontId="28" fillId="50" borderId="220">
      <alignment vertical="center"/>
    </xf>
    <xf numFmtId="188" fontId="28" fillId="50" borderId="220">
      <alignment vertical="center"/>
    </xf>
    <xf numFmtId="191" fontId="28" fillId="50" borderId="220">
      <alignment vertical="center"/>
    </xf>
    <xf numFmtId="172" fontId="28" fillId="12" borderId="220">
      <alignment vertical="center"/>
      <protection locked="0"/>
    </xf>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27" fillId="14" borderId="216" applyNumberFormat="0" applyProtection="0">
      <alignment horizontal="left" vertical="top" indent="1"/>
    </xf>
    <xf numFmtId="186" fontId="56" fillId="40" borderId="224" applyNumberFormat="0" applyFont="0" applyAlignment="0" applyProtection="0"/>
    <xf numFmtId="186" fontId="56" fillId="14" borderId="214" applyNumberFormat="0" applyProtection="0">
      <alignment horizontal="left" vertical="center" indent="1"/>
    </xf>
    <xf numFmtId="4" fontId="56" fillId="0" borderId="214" applyNumberFormat="0" applyProtection="0">
      <alignment horizontal="right" vertical="center"/>
    </xf>
    <xf numFmtId="186" fontId="56" fillId="63" borderId="23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20">
      <alignment vertical="center"/>
    </xf>
    <xf numFmtId="186" fontId="28" fillId="51" borderId="220">
      <alignment horizontal="right" vertical="center"/>
      <protection locked="0"/>
    </xf>
    <xf numFmtId="4" fontId="56" fillId="14" borderId="217" applyNumberFormat="0" applyProtection="0">
      <alignment horizontal="left" vertical="center" indent="1"/>
    </xf>
    <xf numFmtId="4" fontId="56" fillId="0" borderId="214" applyNumberFormat="0" applyProtection="0">
      <alignment horizontal="right" vertical="center"/>
    </xf>
    <xf numFmtId="4" fontId="59" fillId="53" borderId="214" applyNumberFormat="0" applyProtection="0">
      <alignment vertical="center"/>
    </xf>
    <xf numFmtId="4" fontId="56" fillId="55" borderId="214" applyNumberFormat="0" applyProtection="0">
      <alignment horizontal="right" vertical="center"/>
    </xf>
    <xf numFmtId="191" fontId="28" fillId="50" borderId="220">
      <alignment vertical="center"/>
    </xf>
    <xf numFmtId="186" fontId="42" fillId="44" borderId="224" applyNumberFormat="0" applyAlignment="0" applyProtection="0"/>
    <xf numFmtId="186" fontId="56" fillId="14" borderId="222" applyNumberFormat="0" applyProtection="0">
      <alignment horizontal="left" vertical="top" indent="1"/>
    </xf>
    <xf numFmtId="172" fontId="28" fillId="12" borderId="197">
      <alignment vertical="center"/>
      <protection locked="0"/>
    </xf>
    <xf numFmtId="186" fontId="56" fillId="14" borderId="216" applyNumberFormat="0" applyProtection="0">
      <alignment horizontal="left" vertical="top" indent="1"/>
    </xf>
    <xf numFmtId="191" fontId="5" fillId="70" borderId="197">
      <alignment horizontal="right" vertical="center"/>
      <protection locked="0"/>
    </xf>
    <xf numFmtId="186" fontId="62" fillId="15" borderId="216" applyNumberFormat="0" applyProtection="0">
      <alignment horizontal="left" vertical="top" indent="1"/>
    </xf>
    <xf numFmtId="186" fontId="56" fillId="14" borderId="222" applyNumberFormat="0" applyProtection="0">
      <alignment horizontal="left" vertical="top" indent="1"/>
    </xf>
    <xf numFmtId="4" fontId="62" fillId="11" borderId="216"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27" fillId="21" borderId="216" applyNumberFormat="0" applyProtection="0">
      <alignment horizontal="left" vertical="top" indent="1"/>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15" borderId="216" applyNumberFormat="0" applyProtection="0">
      <alignment horizontal="left" vertical="top" indent="1"/>
    </xf>
    <xf numFmtId="4" fontId="56" fillId="59" borderId="234" applyNumberFormat="0" applyProtection="0">
      <alignment horizontal="right" vertical="center"/>
    </xf>
    <xf numFmtId="186" fontId="28" fillId="12" borderId="197">
      <alignment vertical="center"/>
      <protection locked="0"/>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58" borderId="214" applyNumberFormat="0" applyProtection="0">
      <alignment horizontal="right" vertical="center"/>
    </xf>
    <xf numFmtId="4" fontId="56" fillId="57" borderId="217" applyNumberFormat="0" applyProtection="0">
      <alignment horizontal="right" vertical="center"/>
    </xf>
    <xf numFmtId="4" fontId="56" fillId="55" borderId="214" applyNumberFormat="0" applyProtection="0">
      <alignment horizontal="right" vertical="center"/>
    </xf>
    <xf numFmtId="4" fontId="59" fillId="53" borderId="214" applyNumberFormat="0" applyProtection="0">
      <alignment vertical="center"/>
    </xf>
    <xf numFmtId="4" fontId="59" fillId="65" borderId="224" applyNumberFormat="0" applyProtection="0">
      <alignment horizontal="right" vertical="center"/>
    </xf>
    <xf numFmtId="4" fontId="56" fillId="60" borderId="214" applyNumberFormat="0" applyProtection="0">
      <alignment horizontal="right" vertical="center"/>
    </xf>
    <xf numFmtId="186" fontId="27" fillId="21"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93" fontId="28" fillId="12" borderId="230">
      <alignment vertical="center"/>
      <protection locked="0"/>
    </xf>
    <xf numFmtId="186" fontId="56" fillId="21"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5" borderId="216" applyNumberFormat="0" applyProtection="0">
      <alignment horizontal="left" vertical="top" indent="1"/>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27" fillId="14" borderId="216" applyNumberFormat="0" applyProtection="0">
      <alignment horizontal="left" vertical="center"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27" fillId="21" borderId="217" applyNumberFormat="0" applyProtection="0">
      <alignment horizontal="left" vertical="center" indent="1"/>
    </xf>
    <xf numFmtId="4" fontId="56" fillId="61" borderId="217" applyNumberFormat="0" applyProtection="0">
      <alignment horizontal="left" vertical="center" indent="1"/>
    </xf>
    <xf numFmtId="4" fontId="56" fillId="19" borderId="214" applyNumberFormat="0" applyProtection="0">
      <alignment horizontal="right" vertical="center"/>
    </xf>
    <xf numFmtId="4" fontId="56" fillId="59" borderId="214" applyNumberFormat="0" applyProtection="0">
      <alignment horizontal="right" vertical="center"/>
    </xf>
    <xf numFmtId="186" fontId="44" fillId="0" borderId="219" applyNumberFormat="0" applyFill="0" applyAlignment="0" applyProtection="0"/>
    <xf numFmtId="186" fontId="56" fillId="64" borderId="211" applyNumberFormat="0">
      <protection locked="0"/>
    </xf>
    <xf numFmtId="4" fontId="59" fillId="65" borderId="214" applyNumberFormat="0" applyProtection="0">
      <alignment horizontal="right" vertical="center"/>
    </xf>
    <xf numFmtId="186" fontId="56" fillId="14" borderId="222"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90" fontId="28" fillId="50" borderId="220">
      <alignment vertical="center"/>
    </xf>
    <xf numFmtId="193" fontId="28" fillId="50" borderId="220">
      <alignment vertical="center"/>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1" fontId="28" fillId="12" borderId="220">
      <alignment vertical="center"/>
      <protection locked="0"/>
    </xf>
    <xf numFmtId="191" fontId="28" fillId="50" borderId="197">
      <alignment vertical="center"/>
    </xf>
    <xf numFmtId="191" fontId="28" fillId="12" borderId="197">
      <alignmen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63" borderId="222" applyNumberFormat="0" applyProtection="0">
      <alignment horizontal="left" vertical="top" indent="1"/>
    </xf>
    <xf numFmtId="186" fontId="56" fillId="40" borderId="214" applyNumberFormat="0" applyFont="0" applyAlignment="0" applyProtection="0"/>
    <xf numFmtId="186" fontId="56" fillId="64" borderId="211" applyNumberFormat="0">
      <protection locked="0"/>
    </xf>
    <xf numFmtId="186" fontId="56" fillId="21" borderId="232" applyNumberFormat="0" applyProtection="0">
      <alignment horizontal="left" vertical="top" indent="1"/>
    </xf>
    <xf numFmtId="4" fontId="56" fillId="23" borderId="234" applyNumberFormat="0" applyProtection="0">
      <alignment horizontal="right" vertical="center"/>
    </xf>
    <xf numFmtId="186" fontId="56" fillId="21" borderId="216" applyNumberFormat="0" applyProtection="0">
      <alignment horizontal="left" vertical="top" indent="1"/>
    </xf>
    <xf numFmtId="186" fontId="56" fillId="14" borderId="216" applyNumberFormat="0" applyProtection="0">
      <alignment horizontal="left" vertical="top" indent="1"/>
    </xf>
    <xf numFmtId="4" fontId="64" fillId="64" borderId="214" applyNumberFormat="0" applyProtection="0">
      <alignment horizontal="right" vertical="center"/>
    </xf>
    <xf numFmtId="186" fontId="61" fillId="21" borderId="218" applyBorder="0"/>
    <xf numFmtId="4" fontId="59" fillId="65" borderId="214" applyNumberFormat="0" applyProtection="0">
      <alignment horizontal="right" vertical="center"/>
    </xf>
    <xf numFmtId="186" fontId="56" fillId="11" borderId="234" applyNumberFormat="0" applyProtection="0">
      <alignment horizontal="left" vertical="center" indent="1"/>
    </xf>
    <xf numFmtId="186" fontId="42" fillId="44" borderId="214" applyNumberFormat="0" applyAlignment="0" applyProtection="0"/>
    <xf numFmtId="193" fontId="28" fillId="50" borderId="220">
      <alignment vertical="center"/>
    </xf>
    <xf numFmtId="186" fontId="28" fillId="50" borderId="220">
      <alignment vertical="center"/>
    </xf>
    <xf numFmtId="186" fontId="28" fillId="50" borderId="220">
      <alignment vertical="center"/>
    </xf>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56" fillId="40" borderId="214" applyNumberFormat="0" applyFont="0" applyAlignment="0" applyProtection="0"/>
    <xf numFmtId="4" fontId="56" fillId="58" borderId="214" applyNumberFormat="0" applyProtection="0">
      <alignment horizontal="right" vertical="center"/>
    </xf>
    <xf numFmtId="4" fontId="56" fillId="23"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28" fillId="50" borderId="197">
      <alignment vertical="center"/>
    </xf>
    <xf numFmtId="4" fontId="70" fillId="53" borderId="216" applyNumberFormat="0" applyProtection="0">
      <alignment vertical="center"/>
    </xf>
    <xf numFmtId="4" fontId="71" fillId="53" borderId="216" applyNumberFormat="0" applyProtection="0">
      <alignment vertical="center"/>
    </xf>
    <xf numFmtId="4" fontId="72" fillId="53" borderId="216" applyNumberFormat="0" applyProtection="0">
      <alignment horizontal="left" vertical="center" indent="1"/>
    </xf>
    <xf numFmtId="0" fontId="73" fillId="52" borderId="216" applyNumberFormat="0" applyProtection="0">
      <alignment horizontal="left" vertical="top" indent="1"/>
    </xf>
    <xf numFmtId="186" fontId="50" fillId="41" borderId="224" applyNumberFormat="0" applyAlignment="0" applyProtection="0"/>
    <xf numFmtId="4" fontId="72" fillId="78" borderId="216" applyNumberFormat="0" applyProtection="0">
      <alignment horizontal="right" vertical="center"/>
    </xf>
    <xf numFmtId="4" fontId="72" fillId="79" borderId="216" applyNumberFormat="0" applyProtection="0">
      <alignment horizontal="right" vertical="center"/>
    </xf>
    <xf numFmtId="4" fontId="72" fillId="80" borderId="216" applyNumberFormat="0" applyProtection="0">
      <alignment horizontal="right" vertical="center"/>
    </xf>
    <xf numFmtId="4" fontId="72" fillId="50" borderId="216" applyNumberFormat="0" applyProtection="0">
      <alignment horizontal="right" vertical="center"/>
    </xf>
    <xf numFmtId="4" fontId="72" fillId="49" borderId="216" applyNumberFormat="0" applyProtection="0">
      <alignment horizontal="right" vertical="center"/>
    </xf>
    <xf numFmtId="4" fontId="72" fillId="81"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0" fillId="85" borderId="21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72" fillId="86" borderId="216" applyNumberFormat="0" applyProtection="0">
      <alignment horizontal="right" vertical="center"/>
    </xf>
    <xf numFmtId="4" fontId="63" fillId="66" borderId="238" applyNumberFormat="0" applyProtection="0">
      <alignment horizontal="left" vertical="center" indent="1"/>
    </xf>
    <xf numFmtId="0" fontId="27" fillId="21" borderId="216" applyNumberFormat="0" applyProtection="0">
      <alignment horizontal="left" vertical="center" indent="1"/>
    </xf>
    <xf numFmtId="0" fontId="27" fillId="21"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3" borderId="216" applyNumberFormat="0" applyProtection="0">
      <alignment horizontal="left" vertical="center" indent="1"/>
    </xf>
    <xf numFmtId="0" fontId="27" fillId="63" borderId="216" applyNumberFormat="0" applyProtection="0">
      <alignment horizontal="left" vertical="top" indent="1"/>
    </xf>
    <xf numFmtId="0" fontId="27" fillId="14" borderId="216" applyNumberFormat="0" applyProtection="0">
      <alignment horizontal="left" vertical="center" indent="1"/>
    </xf>
    <xf numFmtId="0" fontId="27" fillId="14" borderId="216" applyNumberFormat="0" applyProtection="0">
      <alignment horizontal="left" vertical="top" indent="1"/>
    </xf>
    <xf numFmtId="0" fontId="27" fillId="64" borderId="220" applyNumberFormat="0">
      <protection locked="0"/>
    </xf>
    <xf numFmtId="4" fontId="72" fillId="87" borderId="216" applyNumberFormat="0" applyProtection="0">
      <alignment vertical="center"/>
    </xf>
    <xf numFmtId="4" fontId="74" fillId="87" borderId="216" applyNumberFormat="0" applyProtection="0">
      <alignment vertical="center"/>
    </xf>
    <xf numFmtId="4" fontId="70" fillId="86" borderId="213" applyNumberFormat="0" applyProtection="0">
      <alignment horizontal="left" vertical="center" indent="1"/>
    </xf>
    <xf numFmtId="0" fontId="37" fillId="48" borderId="216" applyNumberFormat="0" applyProtection="0">
      <alignment horizontal="left" vertical="top" indent="1"/>
    </xf>
    <xf numFmtId="4" fontId="72" fillId="87" borderId="216" applyNumberFormat="0" applyProtection="0">
      <alignment horizontal="right" vertical="center"/>
    </xf>
    <xf numFmtId="4" fontId="74" fillId="87" borderId="216" applyNumberFormat="0" applyProtection="0">
      <alignment horizontal="right" vertical="center"/>
    </xf>
    <xf numFmtId="4" fontId="70" fillId="86" borderId="216" applyNumberFormat="0" applyProtection="0">
      <alignment horizontal="left" vertical="center" indent="1"/>
    </xf>
    <xf numFmtId="0" fontId="37" fillId="15" borderId="216" applyNumberFormat="0" applyProtection="0">
      <alignment horizontal="left" vertical="top" indent="1"/>
    </xf>
    <xf numFmtId="4" fontId="75" fillId="88" borderId="213" applyNumberFormat="0" applyProtection="0">
      <alignment horizontal="left" vertical="center" indent="1"/>
    </xf>
    <xf numFmtId="4" fontId="76" fillId="87" borderId="216" applyNumberFormat="0" applyProtection="0">
      <alignment horizontal="right" vertical="center"/>
    </xf>
    <xf numFmtId="4" fontId="56" fillId="55" borderId="214" applyNumberFormat="0" applyProtection="0">
      <alignment horizontal="right" vertical="center"/>
    </xf>
    <xf numFmtId="186" fontId="28" fillId="50" borderId="197">
      <alignment vertical="center"/>
    </xf>
    <xf numFmtId="4" fontId="56" fillId="58" borderId="214" applyNumberFormat="0" applyProtection="0">
      <alignment horizontal="right" vertical="center"/>
    </xf>
    <xf numFmtId="186" fontId="42" fillId="44" borderId="214" applyNumberFormat="0" applyAlignment="0" applyProtection="0"/>
    <xf numFmtId="186" fontId="42" fillId="44" borderId="214" applyNumberFormat="0" applyAlignment="0" applyProtection="0"/>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6" fontId="5" fillId="69" borderId="220">
      <alignment vertical="center"/>
    </xf>
    <xf numFmtId="191" fontId="5" fillId="13" borderId="220">
      <alignment vertical="center"/>
    </xf>
    <xf numFmtId="186" fontId="44" fillId="0" borderId="219" applyNumberFormat="0" applyFill="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4" fontId="62" fillId="48" borderId="216" applyNumberFormat="0" applyProtection="0">
      <alignment vertical="center"/>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3" fontId="28" fillId="12" borderId="220">
      <alignment vertical="center"/>
      <protection locked="0"/>
    </xf>
    <xf numFmtId="4" fontId="56" fillId="54" borderId="214" applyNumberFormat="0" applyProtection="0">
      <alignment horizontal="left" vertical="center" indent="1"/>
    </xf>
    <xf numFmtId="191" fontId="28" fillId="50" borderId="220">
      <alignment vertical="center"/>
    </xf>
    <xf numFmtId="186" fontId="28" fillId="50" borderId="220">
      <alignment vertical="center"/>
    </xf>
    <xf numFmtId="193" fontId="28" fillId="50" borderId="220">
      <alignment vertical="center"/>
    </xf>
    <xf numFmtId="191" fontId="28" fillId="12" borderId="220">
      <alignment vertical="center"/>
      <protection locked="0"/>
    </xf>
    <xf numFmtId="191" fontId="28" fillId="12" borderId="220">
      <alignment vertical="center"/>
      <protection locked="0"/>
    </xf>
    <xf numFmtId="191" fontId="28" fillId="12" borderId="220">
      <alignment vertical="center"/>
      <protection locked="0"/>
    </xf>
    <xf numFmtId="186" fontId="28" fillId="49" borderId="220">
      <alignment vertical="center"/>
    </xf>
    <xf numFmtId="190"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0" fillId="41" borderId="214" applyNumberFormat="0" applyAlignment="0" applyProtection="0"/>
    <xf numFmtId="4" fontId="56" fillId="59" borderId="214" applyNumberFormat="0" applyProtection="0">
      <alignment horizontal="right" vertical="center"/>
    </xf>
    <xf numFmtId="4" fontId="56" fillId="56" borderId="214" applyNumberFormat="0" applyProtection="0">
      <alignment horizontal="righ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37" fontId="33" fillId="0" borderId="210"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14" applyNumberFormat="0" applyAlignment="0" applyProtection="0"/>
    <xf numFmtId="193" fontId="28" fillId="12" borderId="220">
      <alignment vertical="center"/>
      <protection locked="0"/>
    </xf>
    <xf numFmtId="186" fontId="60" fillId="52" borderId="216" applyNumberFormat="0" applyProtection="0">
      <alignment horizontal="left" vertical="top" indent="1"/>
    </xf>
    <xf numFmtId="186" fontId="56" fillId="21" borderId="216" applyNumberFormat="0" applyProtection="0">
      <alignment horizontal="left" vertical="top" indent="1"/>
    </xf>
    <xf numFmtId="186" fontId="56" fillId="63" borderId="216" applyNumberFormat="0" applyProtection="0">
      <alignment horizontal="left" vertical="top" indent="1"/>
    </xf>
    <xf numFmtId="186" fontId="44" fillId="0" borderId="219" applyNumberFormat="0" applyFill="0" applyAlignment="0" applyProtection="0"/>
    <xf numFmtId="186" fontId="42" fillId="44" borderId="21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14" borderId="222" applyNumberFormat="0" applyProtection="0">
      <alignment horizontal="left" vertical="top" indent="1"/>
    </xf>
    <xf numFmtId="4" fontId="56" fillId="53" borderId="214" applyNumberFormat="0" applyProtection="0">
      <alignment horizontal="left" vertical="center" indent="1"/>
    </xf>
    <xf numFmtId="191" fontId="28" fillId="51" borderId="177">
      <alignment horizontal="right" vertical="center"/>
      <protection locked="0"/>
    </xf>
    <xf numFmtId="186" fontId="60" fillId="52" borderId="232" applyNumberFormat="0" applyProtection="0">
      <alignment horizontal="left" vertical="top" indent="1"/>
    </xf>
    <xf numFmtId="186" fontId="56" fillId="15" borderId="222" applyNumberFormat="0" applyProtection="0">
      <alignment horizontal="left" vertical="top" indent="1"/>
    </xf>
    <xf numFmtId="4" fontId="62" fillId="48" borderId="216"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91" fontId="28" fillId="51" borderId="220">
      <alignment horizontal="right" vertical="center"/>
      <protection locked="0"/>
    </xf>
    <xf numFmtId="186" fontId="28" fillId="50" borderId="220">
      <alignment vertical="center"/>
    </xf>
    <xf numFmtId="186" fontId="50" fillId="41" borderId="214" applyNumberFormat="0" applyAlignment="0" applyProtection="0"/>
    <xf numFmtId="186" fontId="50" fillId="41" borderId="214" applyNumberFormat="0" applyAlignment="0" applyProtection="0"/>
    <xf numFmtId="186" fontId="42" fillId="44" borderId="224" applyNumberFormat="0" applyAlignment="0" applyProtection="0"/>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1" fontId="28" fillId="50" borderId="220">
      <alignment vertical="center"/>
    </xf>
    <xf numFmtId="186" fontId="27" fillId="21" borderId="216"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186" fontId="56" fillId="67" borderId="220"/>
    <xf numFmtId="37" fontId="33" fillId="0" borderId="210" applyNumberFormat="0"/>
    <xf numFmtId="194" fontId="33" fillId="0" borderId="221" applyFill="0"/>
    <xf numFmtId="186" fontId="27" fillId="21" borderId="222" applyNumberFormat="0" applyProtection="0">
      <alignment horizontal="left" vertical="center" indent="1"/>
    </xf>
    <xf numFmtId="186" fontId="50" fillId="41" borderId="214" applyNumberFormat="0" applyAlignment="0" applyProtection="0"/>
    <xf numFmtId="186" fontId="44" fillId="0" borderId="219" applyNumberFormat="0" applyFill="0" applyAlignment="0" applyProtection="0"/>
    <xf numFmtId="186" fontId="50" fillId="41" borderId="224" applyNumberFormat="0" applyAlignment="0" applyProtection="0"/>
    <xf numFmtId="191" fontId="28" fillId="50" borderId="220">
      <alignment vertical="center"/>
    </xf>
    <xf numFmtId="186" fontId="42" fillId="44" borderId="214" applyNumberFormat="0" applyAlignment="0" applyProtection="0"/>
    <xf numFmtId="4" fontId="56" fillId="58" borderId="214" applyNumberFormat="0" applyProtection="0">
      <alignment horizontal="right" vertical="center"/>
    </xf>
    <xf numFmtId="4" fontId="56" fillId="58" borderId="224" applyNumberFormat="0" applyProtection="0">
      <alignment horizontal="right" vertical="center"/>
    </xf>
    <xf numFmtId="193" fontId="28" fillId="12" borderId="220">
      <alignment vertical="center"/>
      <protection locked="0"/>
    </xf>
    <xf numFmtId="172" fontId="28" fillId="12" borderId="220">
      <alignment vertical="center"/>
      <protection locked="0"/>
    </xf>
    <xf numFmtId="4" fontId="56" fillId="16" borderId="214" applyNumberFormat="0" applyProtection="0">
      <alignment horizontal="right" vertical="center"/>
    </xf>
    <xf numFmtId="191" fontId="28" fillId="12" borderId="220">
      <alignment vertical="center"/>
      <protection locked="0"/>
    </xf>
    <xf numFmtId="186" fontId="56" fillId="62" borderId="214" applyNumberFormat="0" applyProtection="0">
      <alignment horizontal="left" vertical="center" indent="1"/>
    </xf>
    <xf numFmtId="172" fontId="28" fillId="12" borderId="220">
      <alignment vertical="center"/>
      <protection locked="0"/>
    </xf>
    <xf numFmtId="186" fontId="27" fillId="14" borderId="216" applyNumberFormat="0" applyProtection="0">
      <alignment horizontal="left" vertical="center" indent="1"/>
    </xf>
    <xf numFmtId="191" fontId="28" fillId="12" borderId="220">
      <alignment vertical="center"/>
      <protection locked="0"/>
    </xf>
    <xf numFmtId="4" fontId="56" fillId="19" borderId="224" applyNumberFormat="0" applyProtection="0">
      <alignment horizontal="right" vertical="center"/>
    </xf>
    <xf numFmtId="186" fontId="27" fillId="63" borderId="216" applyNumberFormat="0" applyProtection="0">
      <alignment horizontal="left" vertical="center" indent="1"/>
    </xf>
    <xf numFmtId="4" fontId="59" fillId="12" borderId="177" applyNumberFormat="0" applyProtection="0">
      <alignment vertical="center"/>
    </xf>
    <xf numFmtId="186" fontId="50" fillId="41" borderId="224" applyNumberFormat="0" applyAlignment="0" applyProtection="0"/>
    <xf numFmtId="4" fontId="56" fillId="19" borderId="214" applyNumberFormat="0" applyProtection="0">
      <alignment horizontal="right" vertical="center"/>
    </xf>
    <xf numFmtId="4" fontId="56" fillId="53" borderId="214" applyNumberFormat="0" applyProtection="0">
      <alignment horizontal="left" vertical="center" indent="1"/>
    </xf>
    <xf numFmtId="186" fontId="56" fillId="14" borderId="222" applyNumberFormat="0" applyProtection="0">
      <alignment horizontal="left" vertical="top" indent="1"/>
    </xf>
    <xf numFmtId="190" fontId="5" fillId="69" borderId="230">
      <alignment vertical="center"/>
    </xf>
    <xf numFmtId="191" fontId="28" fillId="12" borderId="220">
      <alignment vertical="center"/>
      <protection locked="0"/>
    </xf>
    <xf numFmtId="4" fontId="56" fillId="23" borderId="214" applyNumberFormat="0" applyProtection="0">
      <alignment horizontal="right" vertical="center"/>
    </xf>
    <xf numFmtId="4" fontId="56" fillId="14" borderId="217" applyNumberFormat="0" applyProtection="0">
      <alignment horizontal="left" vertical="center" indent="1"/>
    </xf>
    <xf numFmtId="172" fontId="28" fillId="12" borderId="220">
      <alignment vertical="center"/>
      <protection locked="0"/>
    </xf>
    <xf numFmtId="186" fontId="56" fillId="63" borderId="214" applyNumberFormat="0" applyProtection="0">
      <alignment horizontal="left" vertical="center" indent="1"/>
    </xf>
    <xf numFmtId="186" fontId="56" fillId="40" borderId="224" applyNumberFormat="0" applyFont="0" applyAlignment="0" applyProtection="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40"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7" fillId="44" borderId="215" applyNumberFormat="0" applyAlignment="0" applyProtection="0"/>
    <xf numFmtId="186" fontId="56" fillId="14" borderId="222" applyNumberFormat="0" applyProtection="0">
      <alignment horizontal="left" vertical="top" indent="1"/>
    </xf>
    <xf numFmtId="4" fontId="56" fillId="54"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94" fontId="33" fillId="0" borderId="221" applyFill="0"/>
    <xf numFmtId="4" fontId="63" fillId="66" borderId="217" applyNumberFormat="0" applyProtection="0">
      <alignment horizontal="left" vertical="center" indent="1"/>
    </xf>
    <xf numFmtId="186" fontId="62" fillId="48" borderId="216" applyNumberFormat="0" applyProtection="0">
      <alignment horizontal="left" vertical="top" indent="1"/>
    </xf>
    <xf numFmtId="186" fontId="27" fillId="64" borderId="220"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40" borderId="234" applyNumberFormat="0" applyFont="0" applyAlignment="0" applyProtection="0"/>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4" applyNumberFormat="0" applyProtection="0">
      <alignment horizontal="right" vertical="center"/>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86" fontId="28" fillId="51" borderId="220">
      <alignment horizontal="right" vertical="center"/>
      <protection locked="0"/>
    </xf>
    <xf numFmtId="193" fontId="28" fillId="50" borderId="220">
      <alignment vertical="center"/>
    </xf>
    <xf numFmtId="193" fontId="28" fillId="12" borderId="220">
      <alignment vertical="center"/>
      <protection locked="0"/>
    </xf>
    <xf numFmtId="186" fontId="28" fillId="12" borderId="220">
      <alignment vertical="center"/>
      <protection locked="0"/>
    </xf>
    <xf numFmtId="188" fontId="28" fillId="49" borderId="220">
      <alignment vertical="center"/>
    </xf>
    <xf numFmtId="186" fontId="28" fillId="49" borderId="220">
      <alignment vertical="center"/>
    </xf>
    <xf numFmtId="186" fontId="57" fillId="44" borderId="215" applyNumberFormat="0" applyAlignment="0" applyProtection="0"/>
    <xf numFmtId="186" fontId="56" fillId="40" borderId="214" applyNumberFormat="0" applyFont="0" applyAlignment="0" applyProtection="0"/>
    <xf numFmtId="186" fontId="50" fillId="41" borderId="214" applyNumberFormat="0" applyAlignment="0" applyProtection="0"/>
    <xf numFmtId="4" fontId="63" fillId="66" borderId="23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40" borderId="224" applyNumberFormat="0" applyFont="0" applyAlignment="0" applyProtection="0"/>
    <xf numFmtId="4" fontId="56" fillId="0" borderId="234" applyNumberFormat="0" applyProtection="0">
      <alignment horizontal="right" vertical="center"/>
    </xf>
    <xf numFmtId="190" fontId="28" fillId="50" borderId="230">
      <alignment vertical="center"/>
    </xf>
    <xf numFmtId="193" fontId="28" fillId="50" borderId="177">
      <alignment vertical="center"/>
    </xf>
    <xf numFmtId="4" fontId="59" fillId="53" borderId="224" applyNumberFormat="0" applyProtection="0">
      <alignment vertical="center"/>
    </xf>
    <xf numFmtId="186" fontId="56" fillId="40" borderId="224" applyNumberFormat="0" applyFont="0" applyAlignment="0" applyProtection="0"/>
    <xf numFmtId="186" fontId="28" fillId="50" borderId="197">
      <alignmen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4" fontId="59" fillId="12" borderId="197" applyNumberFormat="0" applyProtection="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22" applyNumberFormat="0" applyProtection="0">
      <alignment horizontal="left" vertical="top" indent="1"/>
    </xf>
    <xf numFmtId="193" fontId="28" fillId="12" borderId="24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186" fontId="56" fillId="14" borderId="222" applyNumberFormat="0" applyProtection="0">
      <alignment horizontal="left" vertical="top" indent="1"/>
    </xf>
    <xf numFmtId="191" fontId="28" fillId="49" borderId="240">
      <alignment vertical="center"/>
    </xf>
    <xf numFmtId="186" fontId="57" fillId="44" borderId="225" applyNumberFormat="0" applyAlignment="0" applyProtection="0"/>
    <xf numFmtId="4" fontId="63" fillId="66" borderId="217" applyNumberFormat="0" applyProtection="0">
      <alignment horizontal="left" vertical="center" indent="1"/>
    </xf>
    <xf numFmtId="186" fontId="62" fillId="48" borderId="216" applyNumberFormat="0" applyProtection="0">
      <alignment horizontal="left" vertical="top" indent="1"/>
    </xf>
    <xf numFmtId="4" fontId="27" fillId="21" borderId="228" applyNumberFormat="0" applyProtection="0">
      <alignment horizontal="left" vertical="center"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5" borderId="214" applyNumberFormat="0" applyProtection="0">
      <alignment horizontal="right" vertical="center"/>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0" borderId="240">
      <alignment vertical="center"/>
    </xf>
    <xf numFmtId="186" fontId="62" fillId="48"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93" fontId="28" fillId="12" borderId="220">
      <alignment vertical="center"/>
      <protection locked="0"/>
    </xf>
    <xf numFmtId="4" fontId="56" fillId="60" borderId="224" applyNumberFormat="0" applyProtection="0">
      <alignment horizontal="righ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93" fontId="28" fillId="50" borderId="230">
      <alignment vertical="center"/>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32" applyNumberFormat="0" applyProtection="0">
      <alignment horizontal="left" vertical="top" indent="1"/>
    </xf>
    <xf numFmtId="191" fontId="28" fillId="12" borderId="197">
      <alignment vertical="center"/>
      <protection locked="0"/>
    </xf>
    <xf numFmtId="4" fontId="56" fillId="59" borderId="214" applyNumberFormat="0" applyProtection="0">
      <alignment horizontal="right" vertical="center"/>
    </xf>
    <xf numFmtId="186" fontId="61" fillId="21" borderId="218" applyBorder="0"/>
    <xf numFmtId="4" fontId="59" fillId="53" borderId="214" applyNumberFormat="0" applyProtection="0">
      <alignment vertical="center"/>
    </xf>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91" fontId="28" fillId="50" borderId="240">
      <alignment vertical="center"/>
    </xf>
    <xf numFmtId="4" fontId="56" fillId="14" borderId="23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16" applyNumberFormat="0" applyProtection="0">
      <alignment horizontal="left" vertical="center" indent="1"/>
    </xf>
    <xf numFmtId="186" fontId="61" fillId="21" borderId="218" applyBorder="0"/>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1" fontId="5" fillId="69" borderId="220">
      <alignment vertical="center"/>
    </xf>
    <xf numFmtId="196" fontId="5" fillId="69" borderId="220">
      <alignment vertical="center"/>
    </xf>
    <xf numFmtId="188" fontId="5" fillId="7"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1" fontId="28" fillId="51" borderId="220">
      <alignment horizontal="right" vertical="center"/>
      <protection locked="0"/>
    </xf>
    <xf numFmtId="186" fontId="60" fillId="52" borderId="216" applyNumberFormat="0" applyProtection="0">
      <alignment horizontal="left" vertical="top" indent="1"/>
    </xf>
    <xf numFmtId="4" fontId="56" fillId="16" borderId="21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4" fontId="59" fillId="12" borderId="230" applyNumberFormat="0" applyProtection="0">
      <alignment vertical="center"/>
    </xf>
    <xf numFmtId="193" fontId="28" fillId="50" borderId="230">
      <alignment vertical="center"/>
    </xf>
    <xf numFmtId="190" fontId="28" fillId="49" borderId="230">
      <alignment vertical="center"/>
    </xf>
    <xf numFmtId="186" fontId="42" fillId="44" borderId="224" applyNumberFormat="0" applyAlignment="0" applyProtection="0"/>
    <xf numFmtId="186" fontId="50" fillId="41" borderId="224" applyNumberFormat="0" applyAlignment="0" applyProtection="0"/>
    <xf numFmtId="186" fontId="28" fillId="51" borderId="240">
      <alignment horizontal="right" vertical="center"/>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193" fontId="28" fillId="12" borderId="177">
      <alignment vertical="center"/>
      <protection locked="0"/>
    </xf>
    <xf numFmtId="186" fontId="56" fillId="63" borderId="232" applyNumberFormat="0" applyProtection="0">
      <alignment horizontal="left" vertical="top" indent="1"/>
    </xf>
    <xf numFmtId="4" fontId="56" fillId="54" borderId="224" applyNumberFormat="0" applyProtection="0">
      <alignment horizontal="left" vertical="center" indent="1"/>
    </xf>
    <xf numFmtId="186" fontId="56" fillId="14" borderId="232" applyNumberFormat="0" applyProtection="0">
      <alignment horizontal="left" vertical="top" indent="1"/>
    </xf>
    <xf numFmtId="4" fontId="62" fillId="11" borderId="222" applyNumberFormat="0" applyProtection="0">
      <alignment horizontal="left" vertical="center" indent="1"/>
    </xf>
    <xf numFmtId="186" fontId="42" fillId="44" borderId="224" applyNumberFormat="0" applyAlignment="0" applyProtection="0"/>
    <xf numFmtId="186" fontId="27" fillId="21" borderId="222" applyNumberFormat="0" applyProtection="0">
      <alignment horizontal="left" vertical="top" indent="1"/>
    </xf>
    <xf numFmtId="4" fontId="56" fillId="54" borderId="224" applyNumberFormat="0" applyProtection="0">
      <alignment horizontal="left" vertical="center" indent="1"/>
    </xf>
    <xf numFmtId="186" fontId="50" fillId="41" borderId="234" applyNumberFormat="0" applyAlignment="0" applyProtection="0"/>
    <xf numFmtId="186" fontId="56" fillId="14" borderId="232" applyNumberFormat="0" applyProtection="0">
      <alignment horizontal="left" vertical="top" indent="1"/>
    </xf>
    <xf numFmtId="191" fontId="28" fillId="12" borderId="197">
      <alignment vertical="center"/>
      <protection locked="0"/>
    </xf>
    <xf numFmtId="4" fontId="59" fillId="53" borderId="224" applyNumberFormat="0" applyProtection="0">
      <alignment vertical="center"/>
    </xf>
    <xf numFmtId="186" fontId="62" fillId="15" borderId="222" applyNumberFormat="0" applyProtection="0">
      <alignment horizontal="left" vertical="top" indent="1"/>
    </xf>
    <xf numFmtId="188" fontId="5" fillId="69" borderId="197">
      <alignmen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1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1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27" fillId="21"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7" fillId="44" borderId="23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21" borderId="232" applyNumberFormat="0" applyProtection="0">
      <alignment horizontal="left" vertical="top" indent="1"/>
    </xf>
    <xf numFmtId="190" fontId="28" fillId="51" borderId="230">
      <alignment horizontal="right" vertical="center"/>
      <protection locked="0"/>
    </xf>
    <xf numFmtId="4" fontId="59" fillId="53" borderId="224" applyNumberFormat="0" applyProtection="0">
      <alignment vertical="center"/>
    </xf>
    <xf numFmtId="191" fontId="28" fillId="51" borderId="230">
      <alignment horizontal="right" vertical="center"/>
      <protection locked="0"/>
    </xf>
    <xf numFmtId="191" fontId="28" fillId="49" borderId="230">
      <alignment vertical="center"/>
    </xf>
    <xf numFmtId="193" fontId="28" fillId="50" borderId="230">
      <alignment vertical="center"/>
    </xf>
    <xf numFmtId="186" fontId="28" fillId="50" borderId="230">
      <alignment vertical="center"/>
    </xf>
    <xf numFmtId="191" fontId="28" fillId="50" borderId="230">
      <alignment vertical="center"/>
    </xf>
    <xf numFmtId="193" fontId="28" fillId="12" borderId="230">
      <alignment vertical="center"/>
      <protection locked="0"/>
    </xf>
    <xf numFmtId="186" fontId="28" fillId="12" borderId="230">
      <alignment vertical="center"/>
      <protection locked="0"/>
    </xf>
    <xf numFmtId="186" fontId="28" fillId="49" borderId="230">
      <alignmen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6" fillId="21" borderId="23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70" fillId="85" borderId="21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4" fontId="56" fillId="60" borderId="224" applyNumberFormat="0" applyProtection="0">
      <alignment horizontal="right" vertical="center"/>
    </xf>
    <xf numFmtId="191" fontId="28" fillId="51" borderId="177">
      <alignment horizontal="right" vertical="center"/>
      <protection locked="0"/>
    </xf>
    <xf numFmtId="186" fontId="56" fillId="15" borderId="23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16" applyNumberFormat="0" applyProtection="0">
      <alignment horizontal="left" vertical="center" indent="1"/>
    </xf>
    <xf numFmtId="186" fontId="56" fillId="11" borderId="214" applyNumberFormat="0" applyProtection="0">
      <alignment horizontal="left" vertical="center" indent="1"/>
    </xf>
    <xf numFmtId="37" fontId="33" fillId="0" borderId="210" applyNumberFormat="0"/>
    <xf numFmtId="4" fontId="56" fillId="54" borderId="214" applyNumberFormat="0" applyProtection="0">
      <alignment horizontal="left" vertical="center" indent="1"/>
    </xf>
    <xf numFmtId="4" fontId="59" fillId="12" borderId="220" applyNumberFormat="0" applyProtection="0">
      <alignment vertical="center"/>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1" borderId="214" applyNumberFormat="0" applyProtection="0">
      <alignment horizontal="left" vertical="center" indent="1"/>
    </xf>
    <xf numFmtId="4" fontId="27" fillId="21" borderId="217" applyNumberFormat="0" applyProtection="0">
      <alignment horizontal="left" vertical="center" indent="1"/>
    </xf>
    <xf numFmtId="4" fontId="56" fillId="59" borderId="214" applyNumberFormat="0" applyProtection="0">
      <alignment horizontal="right" vertical="center"/>
    </xf>
    <xf numFmtId="4" fontId="56" fillId="55" borderId="214" applyNumberFormat="0" applyProtection="0">
      <alignment horizontal="right" vertical="center"/>
    </xf>
    <xf numFmtId="4" fontId="56" fillId="52" borderId="214" applyNumberFormat="0" applyProtection="0">
      <alignment vertical="center"/>
    </xf>
    <xf numFmtId="188" fontId="28" fillId="51" borderId="220">
      <alignment horizontal="right" vertical="center"/>
      <protection locked="0"/>
    </xf>
    <xf numFmtId="191" fontId="28" fillId="50" borderId="220">
      <alignment vertical="center"/>
    </xf>
    <xf numFmtId="186" fontId="56" fillId="40" borderId="214" applyNumberFormat="0" applyFont="0" applyAlignment="0" applyProtection="0"/>
    <xf numFmtId="191" fontId="28" fillId="50" borderId="220">
      <alignment vertical="center"/>
    </xf>
    <xf numFmtId="193" fontId="28" fillId="12" borderId="220">
      <alignment vertical="center"/>
      <protection locked="0"/>
    </xf>
    <xf numFmtId="186"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6" fillId="14" borderId="222" applyNumberFormat="0" applyProtection="0">
      <alignment horizontal="left" vertical="top" indent="1"/>
    </xf>
    <xf numFmtId="188" fontId="5" fillId="7" borderId="24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34" applyNumberFormat="0" applyFont="0" applyAlignment="0" applyProtection="0"/>
    <xf numFmtId="186" fontId="28" fillId="49" borderId="197">
      <alignment vertical="center"/>
    </xf>
    <xf numFmtId="188" fontId="28" fillId="51" borderId="197">
      <alignment horizontal="right" vertical="center"/>
      <protection locked="0"/>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14" applyNumberFormat="0" applyAlignment="0" applyProtection="0"/>
    <xf numFmtId="194" fontId="33" fillId="0" borderId="231" applyFill="0"/>
    <xf numFmtId="188" fontId="5" fillId="70" borderId="230">
      <alignment horizontal="right" vertical="center"/>
      <protection locked="0"/>
    </xf>
    <xf numFmtId="4" fontId="62" fillId="48" borderId="23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19" applyNumberFormat="0" applyFill="0" applyAlignment="0" applyProtection="0"/>
    <xf numFmtId="186" fontId="56" fillId="40" borderId="224" applyNumberFormat="0" applyFont="0" applyAlignment="0" applyProtection="0"/>
    <xf numFmtId="4" fontId="56" fillId="54" borderId="214" applyNumberFormat="0" applyProtection="0">
      <alignment horizontal="left" vertical="center" indent="1"/>
    </xf>
    <xf numFmtId="186" fontId="56" fillId="40" borderId="224" applyNumberFormat="0" applyFont="0" applyAlignment="0" applyProtection="0"/>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7" borderId="217" applyNumberFormat="0" applyProtection="0">
      <alignment horizontal="right" vertical="center"/>
    </xf>
    <xf numFmtId="4" fontId="56" fillId="14" borderId="228" applyNumberFormat="0" applyProtection="0">
      <alignment horizontal="left" vertical="center" indent="1"/>
    </xf>
    <xf numFmtId="4" fontId="56" fillId="56" borderId="224" applyNumberFormat="0" applyProtection="0">
      <alignment horizontal="right" vertical="center"/>
    </xf>
    <xf numFmtId="191" fontId="28" fillId="50" borderId="177">
      <alignment vertical="center"/>
    </xf>
    <xf numFmtId="186" fontId="28" fillId="12" borderId="177">
      <alignment vertical="center"/>
      <protection locked="0"/>
    </xf>
    <xf numFmtId="4" fontId="59" fillId="65" borderId="224" applyNumberFormat="0" applyProtection="0">
      <alignment horizontal="right" vertical="center"/>
    </xf>
    <xf numFmtId="190" fontId="28" fillId="51" borderId="177">
      <alignment horizontal="right" vertical="center"/>
      <protection locked="0"/>
    </xf>
    <xf numFmtId="190" fontId="28" fillId="49" borderId="177">
      <alignment vertical="center"/>
    </xf>
    <xf numFmtId="193" fontId="28" fillId="12" borderId="177">
      <alignment vertical="center"/>
      <protection locked="0"/>
    </xf>
    <xf numFmtId="191" fontId="28" fillId="12" borderId="177">
      <alignment vertical="center"/>
      <protection locked="0"/>
    </xf>
    <xf numFmtId="190" fontId="28" fillId="49" borderId="17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197">
      <alignment vertical="center"/>
    </xf>
    <xf numFmtId="186" fontId="28" fillId="49" borderId="197">
      <alignment vertical="center"/>
    </xf>
    <xf numFmtId="186" fontId="27" fillId="21" borderId="222" applyNumberFormat="0" applyProtection="0">
      <alignment horizontal="left" vertical="center" indent="1"/>
    </xf>
    <xf numFmtId="4" fontId="56" fillId="54" borderId="224" applyNumberFormat="0" applyProtection="0">
      <alignment horizontal="left" vertical="center" indent="1"/>
    </xf>
    <xf numFmtId="190"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86" fontId="28" fillId="12" borderId="177">
      <alignment vertical="center"/>
      <protection locked="0"/>
    </xf>
    <xf numFmtId="186" fontId="56" fillId="15"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6" fillId="40" borderId="224" applyNumberFormat="0" applyFont="0" applyAlignment="0" applyProtection="0"/>
    <xf numFmtId="186" fontId="27" fillId="21" borderId="23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86" fontId="57" fillId="44" borderId="225" applyNumberFormat="0" applyAlignment="0" applyProtection="0"/>
    <xf numFmtId="194" fontId="33" fillId="0" borderId="221" applyFill="0"/>
    <xf numFmtId="191" fontId="28" fillId="51" borderId="197">
      <alignment horizontal="right" vertical="center"/>
      <protection locked="0"/>
    </xf>
    <xf numFmtId="193" fontId="28" fillId="12" borderId="197">
      <alignment vertical="center"/>
      <protection locked="0"/>
    </xf>
    <xf numFmtId="186" fontId="61" fillId="21" borderId="226" applyBorder="0"/>
    <xf numFmtId="4" fontId="56" fillId="56" borderId="224" applyNumberFormat="0" applyProtection="0">
      <alignment horizontal="right" vertical="center"/>
    </xf>
    <xf numFmtId="191" fontId="5" fillId="7" borderId="220">
      <alignment vertical="center"/>
      <protection locked="0"/>
    </xf>
    <xf numFmtId="186" fontId="56" fillId="14" borderId="23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8" fontId="5" fillId="69" borderId="220">
      <alignment vertical="center"/>
    </xf>
    <xf numFmtId="186" fontId="56" fillId="15" borderId="222" applyNumberFormat="0" applyProtection="0">
      <alignment horizontal="left" vertical="top" indent="1"/>
    </xf>
    <xf numFmtId="191" fontId="28" fillId="51" borderId="230">
      <alignment horizontal="right" vertical="center"/>
      <protection locked="0"/>
    </xf>
    <xf numFmtId="186" fontId="56" fillId="63" borderId="222" applyNumberFormat="0" applyProtection="0">
      <alignment horizontal="left" vertical="top" indent="1"/>
    </xf>
    <xf numFmtId="4" fontId="56" fillId="52" borderId="234" applyNumberFormat="0" applyProtection="0">
      <alignment vertical="center"/>
    </xf>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56" fillId="11"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16" applyNumberFormat="0" applyProtection="0">
      <alignment horizontal="left" vertical="center" indent="1"/>
    </xf>
    <xf numFmtId="188" fontId="28" fillId="49" borderId="197">
      <alignment vertical="center"/>
    </xf>
    <xf numFmtId="186" fontId="56" fillId="63" borderId="222" applyNumberFormat="0" applyProtection="0">
      <alignment horizontal="left" vertical="top" indent="1"/>
    </xf>
    <xf numFmtId="190" fontId="5" fillId="13" borderId="220">
      <alignment vertical="center"/>
    </xf>
    <xf numFmtId="186" fontId="56" fillId="21" borderId="222" applyNumberFormat="0" applyProtection="0">
      <alignment horizontal="left" vertical="top" indent="1"/>
    </xf>
    <xf numFmtId="186" fontId="56" fillId="40" borderId="224" applyNumberFormat="0" applyFont="0" applyAlignment="0" applyProtection="0"/>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7" fillId="44" borderId="225" applyNumberFormat="0" applyAlignment="0" applyProtection="0"/>
    <xf numFmtId="4" fontId="27" fillId="21" borderId="228" applyNumberFormat="0" applyProtection="0">
      <alignment horizontal="left" vertical="center"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8" fontId="5" fillId="70" borderId="197">
      <alignment horizontal="right" vertical="center"/>
      <protection locked="0"/>
    </xf>
    <xf numFmtId="194" fontId="33" fillId="0" borderId="241" applyFill="0"/>
    <xf numFmtId="186" fontId="56" fillId="40" borderId="224" applyNumberFormat="0" applyFont="0" applyAlignment="0" applyProtection="0"/>
    <xf numFmtId="188" fontId="5" fillId="7" borderId="197">
      <alignment vertical="center"/>
      <protection locked="0"/>
    </xf>
    <xf numFmtId="186" fontId="28" fillId="49" borderId="17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91" fontId="28" fillId="51" borderId="197">
      <alignment horizontal="right" vertical="center"/>
      <protection locked="0"/>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28" fillId="12" borderId="197">
      <alignment vertical="center"/>
      <protection locked="0"/>
    </xf>
    <xf numFmtId="186" fontId="28" fillId="49" borderId="197">
      <alignment vertical="center"/>
    </xf>
    <xf numFmtId="190" fontId="28" fillId="49" borderId="197">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8" fontId="28" fillId="50" borderId="177">
      <alignment vertical="center"/>
    </xf>
    <xf numFmtId="4" fontId="56" fillId="56" borderId="224" applyNumberFormat="0" applyProtection="0">
      <alignment horizontal="right" vertical="center"/>
    </xf>
    <xf numFmtId="186" fontId="27" fillId="15" borderId="222" applyNumberFormat="0" applyProtection="0">
      <alignment horizontal="left" vertical="center" indent="1"/>
    </xf>
    <xf numFmtId="186" fontId="56" fillId="63" borderId="222" applyNumberFormat="0" applyProtection="0">
      <alignment horizontal="left" vertical="top" indent="1"/>
    </xf>
    <xf numFmtId="186" fontId="50" fillId="41" borderId="224" applyNumberFormat="0" applyAlignment="0" applyProtection="0"/>
    <xf numFmtId="186" fontId="27" fillId="14" borderId="222" applyNumberFormat="0" applyProtection="0">
      <alignment horizontal="left" vertical="center" indent="1"/>
    </xf>
    <xf numFmtId="186" fontId="28" fillId="12" borderId="230">
      <alignment vertical="center"/>
      <protection locked="0"/>
    </xf>
    <xf numFmtId="191" fontId="28" fillId="50" borderId="230">
      <alignment vertical="center"/>
    </xf>
    <xf numFmtId="4" fontId="56" fillId="23" borderId="224" applyNumberFormat="0" applyProtection="0">
      <alignment horizontal="right" vertical="center"/>
    </xf>
    <xf numFmtId="186" fontId="27" fillId="15" borderId="222" applyNumberFormat="0" applyProtection="0">
      <alignment horizontal="left" vertical="center" indent="1"/>
    </xf>
    <xf numFmtId="188" fontId="5" fillId="13" borderId="197">
      <alignment vertical="center"/>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32" applyNumberFormat="0" applyProtection="0">
      <alignment horizontal="left" vertical="top" indent="1"/>
    </xf>
    <xf numFmtId="186" fontId="56" fillId="40" borderId="224" applyNumberFormat="0" applyFont="0" applyAlignment="0" applyProtection="0"/>
    <xf numFmtId="186" fontId="56" fillId="40" borderId="234" applyNumberFormat="0" applyFont="0" applyAlignment="0" applyProtection="0"/>
    <xf numFmtId="186" fontId="56" fillId="21" borderId="222" applyNumberFormat="0" applyProtection="0">
      <alignment horizontal="left" vertical="top" indent="1"/>
    </xf>
    <xf numFmtId="186" fontId="27" fillId="21"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3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38" applyNumberFormat="0" applyProtection="0">
      <alignment horizontal="left" vertical="center" indent="1"/>
    </xf>
    <xf numFmtId="4" fontId="56" fillId="53" borderId="224" applyNumberFormat="0" applyProtection="0">
      <alignment horizontal="left" vertical="center" indent="1"/>
    </xf>
    <xf numFmtId="190" fontId="5" fillId="13" borderId="240">
      <alignment vertical="center"/>
    </xf>
    <xf numFmtId="186" fontId="56" fillId="40" borderId="23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0" borderId="224" applyNumberFormat="0" applyFont="0" applyAlignment="0" applyProtection="0"/>
    <xf numFmtId="186" fontId="57" fillId="44" borderId="225" applyNumberFormat="0" applyAlignment="0" applyProtection="0"/>
    <xf numFmtId="4" fontId="56" fillId="54" borderId="234" applyNumberFormat="0" applyProtection="0">
      <alignment horizontal="left" vertical="center" indent="1"/>
    </xf>
    <xf numFmtId="4" fontId="56" fillId="61" borderId="238" applyNumberFormat="0" applyProtection="0">
      <alignment horizontal="left" vertical="center" indent="1"/>
    </xf>
    <xf numFmtId="186" fontId="60" fillId="52" borderId="23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90" fontId="5" fillId="69" borderId="197">
      <alignment vertical="center"/>
    </xf>
    <xf numFmtId="190" fontId="5" fillId="13" borderId="197">
      <alignment vertical="center"/>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3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40">
      <alignment vertical="center"/>
    </xf>
    <xf numFmtId="186" fontId="44" fillId="0" borderId="239" applyNumberFormat="0" applyFill="0" applyAlignment="0" applyProtection="0"/>
    <xf numFmtId="193" fontId="28" fillId="12" borderId="220">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42" fillId="44" borderId="224" applyNumberFormat="0" applyAlignment="0" applyProtection="0"/>
    <xf numFmtId="4" fontId="59" fillId="53" borderId="224" applyNumberFormat="0" applyProtection="0">
      <alignment vertical="center"/>
    </xf>
    <xf numFmtId="191" fontId="28" fillId="51" borderId="240">
      <alignment horizontal="right" vertical="center"/>
      <protection locked="0"/>
    </xf>
    <xf numFmtId="191" fontId="28" fillId="51" borderId="24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38" applyNumberFormat="0" applyProtection="0">
      <alignment horizontal="left" vertical="center" indent="1"/>
    </xf>
    <xf numFmtId="4" fontId="56" fillId="60" borderId="234" applyNumberFormat="0" applyProtection="0">
      <alignment horizontal="right" vertical="center"/>
    </xf>
    <xf numFmtId="186" fontId="42" fillId="44" borderId="234" applyNumberFormat="0" applyAlignment="0" applyProtection="0"/>
    <xf numFmtId="186" fontId="27" fillId="63" borderId="222" applyNumberFormat="0" applyProtection="0">
      <alignment horizontal="left" vertical="top" indent="1"/>
    </xf>
    <xf numFmtId="4" fontId="63" fillId="66" borderId="238" applyNumberFormat="0" applyProtection="0">
      <alignment horizontal="left" vertical="center" indent="1"/>
    </xf>
    <xf numFmtId="186" fontId="28" fillId="49" borderId="240">
      <alignment vertical="center"/>
    </xf>
    <xf numFmtId="186" fontId="56" fillId="64" borderId="211" applyNumberFormat="0">
      <protection locked="0"/>
    </xf>
    <xf numFmtId="193" fontId="28" fillId="12" borderId="230">
      <alignment vertical="center"/>
      <protection locked="0"/>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2" borderId="224" applyNumberFormat="0" applyProtection="0">
      <alignmen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56" fillId="0"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56" fillId="67" borderId="230"/>
    <xf numFmtId="194" fontId="33" fillId="0" borderId="221" applyFill="0"/>
    <xf numFmtId="4" fontId="27" fillId="21"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3" borderId="230">
      <alignment vertical="center"/>
    </xf>
    <xf numFmtId="191" fontId="5" fillId="7" borderId="230">
      <alignment vertical="center"/>
      <protection locked="0"/>
    </xf>
    <xf numFmtId="196" fontId="5" fillId="69" borderId="230">
      <alignment vertical="center"/>
    </xf>
    <xf numFmtId="186" fontId="56" fillId="40" borderId="224" applyNumberFormat="0" applyFont="0" applyAlignment="0" applyProtection="0"/>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3" borderId="224" applyNumberFormat="0" applyProtection="0">
      <alignment horizontal="left" vertical="center" indent="1"/>
    </xf>
    <xf numFmtId="4" fontId="56" fillId="55"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5" borderId="234" applyNumberFormat="0" applyProtection="0">
      <alignment horizontal="right" vertical="center"/>
    </xf>
    <xf numFmtId="186" fontId="27" fillId="14"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4" fontId="59" fillId="65" borderId="224" applyNumberFormat="0" applyProtection="0">
      <alignment horizontal="right" vertical="center"/>
    </xf>
    <xf numFmtId="4" fontId="56" fillId="0" borderId="224" applyNumberFormat="0" applyProtection="0">
      <alignment horizontal="right" vertical="center"/>
    </xf>
    <xf numFmtId="186" fontId="62"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2" borderId="240">
      <alignment vertical="center"/>
      <protection locked="0"/>
    </xf>
    <xf numFmtId="186" fontId="27" fillId="63" borderId="222" applyNumberFormat="0" applyProtection="0">
      <alignment horizontal="left" vertical="top" indent="1"/>
    </xf>
    <xf numFmtId="4" fontId="27" fillId="21" borderId="238" applyNumberFormat="0" applyProtection="0">
      <alignment horizontal="left" vertical="center" indent="1"/>
    </xf>
    <xf numFmtId="186" fontId="56" fillId="40" borderId="224" applyNumberFormat="0" applyFont="0" applyAlignment="0" applyProtection="0"/>
    <xf numFmtId="191" fontId="28" fillId="50" borderId="240">
      <alignment vertical="center"/>
    </xf>
    <xf numFmtId="186" fontId="42" fillId="44" borderId="224" applyNumberFormat="0" applyAlignment="0" applyProtection="0"/>
    <xf numFmtId="193" fontId="28" fillId="50" borderId="24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3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4" fontId="56" fillId="14" borderId="23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21"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4" borderId="197"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90" fontId="28" fillId="50" borderId="197">
      <alignment vertical="center"/>
    </xf>
    <xf numFmtId="193" fontId="28" fillId="50" borderId="197">
      <alignment vertical="center"/>
    </xf>
    <xf numFmtId="186" fontId="56" fillId="63" borderId="232" applyNumberFormat="0" applyProtection="0">
      <alignment horizontal="left" vertical="top" indent="1"/>
    </xf>
    <xf numFmtId="186" fontId="28" fillId="12" borderId="197">
      <alignment vertical="center"/>
      <protection locked="0"/>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7" fillId="44" borderId="225" applyNumberFormat="0" applyAlignment="0" applyProtection="0"/>
    <xf numFmtId="191" fontId="28" fillId="51" borderId="177">
      <alignment horizontal="right" vertical="center"/>
      <protection locked="0"/>
    </xf>
    <xf numFmtId="186" fontId="56" fillId="11" borderId="224"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6" fillId="21" borderId="232" applyNumberFormat="0" applyProtection="0">
      <alignment horizontal="left" vertical="top" indent="1"/>
    </xf>
    <xf numFmtId="186" fontId="57" fillId="44" borderId="225" applyNumberFormat="0" applyAlignment="0" applyProtection="0"/>
    <xf numFmtId="172" fontId="28" fillId="12" borderId="230">
      <alignment vertical="center"/>
      <protection locked="0"/>
    </xf>
    <xf numFmtId="186" fontId="28" fillId="51" borderId="230">
      <alignment horizontal="right" vertical="center"/>
      <protection locked="0"/>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32" applyNumberFormat="0" applyProtection="0">
      <alignment horizontal="left" vertical="top" indent="1"/>
    </xf>
    <xf numFmtId="4" fontId="56" fillId="55" borderId="224" applyNumberFormat="0" applyProtection="0">
      <alignment horizontal="right" vertical="center"/>
    </xf>
    <xf numFmtId="190" fontId="5" fillId="69" borderId="240">
      <alignment vertical="center"/>
    </xf>
    <xf numFmtId="4" fontId="27" fillId="21" borderId="238" applyNumberFormat="0" applyProtection="0">
      <alignment horizontal="left" vertical="center" indent="1"/>
    </xf>
    <xf numFmtId="191" fontId="28" fillId="12" borderId="177">
      <alignment vertical="center"/>
      <protection locked="0"/>
    </xf>
    <xf numFmtId="164" fontId="35" fillId="0" borderId="0" applyFont="0" applyFill="0" applyBorder="0" applyAlignment="0" applyProtection="0"/>
    <xf numFmtId="186" fontId="56" fillId="63" borderId="23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22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3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3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7" fillId="44" borderId="225" applyNumberFormat="0" applyAlignment="0" applyProtection="0"/>
    <xf numFmtId="4" fontId="56" fillId="15" borderId="228" applyNumberFormat="0" applyProtection="0">
      <alignment horizontal="left" vertical="center" indent="1"/>
    </xf>
    <xf numFmtId="186" fontId="61" fillId="21" borderId="226" applyBorder="0"/>
    <xf numFmtId="186" fontId="56" fillId="40" borderId="224" applyNumberFormat="0" applyFont="0" applyAlignment="0" applyProtection="0"/>
    <xf numFmtId="37" fontId="33" fillId="0" borderId="227" applyNumberFormat="0"/>
    <xf numFmtId="194" fontId="33" fillId="0" borderId="221" applyFill="0"/>
    <xf numFmtId="186" fontId="61" fillId="21" borderId="236" applyBorder="0"/>
    <xf numFmtId="186" fontId="56" fillId="64" borderId="211" applyNumberFormat="0">
      <protection locked="0"/>
    </xf>
    <xf numFmtId="186" fontId="28" fillId="49" borderId="230">
      <alignment vertical="center"/>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30">
      <alignment vertical="center"/>
      <protection locked="0"/>
    </xf>
    <xf numFmtId="4" fontId="64" fillId="64" borderId="224" applyNumberFormat="0" applyProtection="0">
      <alignment horizontal="right" vertical="center"/>
    </xf>
    <xf numFmtId="186" fontId="56" fillId="63" borderId="222" applyNumberFormat="0" applyProtection="0">
      <alignment horizontal="left" vertical="top" indent="1"/>
    </xf>
    <xf numFmtId="191" fontId="5" fillId="70" borderId="240">
      <alignment horizontal="right" vertical="center"/>
      <protection locked="0"/>
    </xf>
    <xf numFmtId="191" fontId="28" fillId="50" borderId="230">
      <alignment vertical="center"/>
    </xf>
    <xf numFmtId="4" fontId="56" fillId="14" borderId="238" applyNumberFormat="0" applyProtection="0">
      <alignment horizontal="left" vertical="center" indent="1"/>
    </xf>
    <xf numFmtId="191" fontId="28" fillId="50" borderId="240">
      <alignment vertical="center"/>
    </xf>
    <xf numFmtId="191" fontId="28" fillId="51" borderId="230">
      <alignment horizontal="right" vertical="center"/>
      <protection locked="0"/>
    </xf>
    <xf numFmtId="186" fontId="57" fillId="44" borderId="225" applyNumberForma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67" borderId="197"/>
    <xf numFmtId="190" fontId="5" fillId="70" borderId="24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40">
      <alignment vertical="center"/>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4" fontId="59" fillId="65" borderId="23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164" fontId="35" fillId="0" borderId="0" applyFont="0" applyFill="0" applyBorder="0" applyAlignment="0" applyProtection="0"/>
    <xf numFmtId="4" fontId="56" fillId="60" borderId="234" applyNumberFormat="0" applyProtection="0">
      <alignment horizontal="right" vertical="center"/>
    </xf>
    <xf numFmtId="4" fontId="62" fillId="11" borderId="232" applyNumberFormat="0" applyProtection="0">
      <alignment horizontal="left" vertical="center" indent="1"/>
    </xf>
    <xf numFmtId="4" fontId="56" fillId="15" borderId="234" applyNumberFormat="0" applyProtection="0">
      <alignment horizontal="right" vertical="center"/>
    </xf>
    <xf numFmtId="186" fontId="56" fillId="15"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1" borderId="222" applyNumberFormat="0" applyProtection="0">
      <alignment horizontal="left" vertical="center"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5" borderId="224" applyNumberFormat="0" applyProtection="0">
      <alignment horizontal="right" vertical="center"/>
    </xf>
    <xf numFmtId="4" fontId="56" fillId="52" borderId="224" applyNumberFormat="0" applyProtection="0">
      <alignment vertical="center"/>
    </xf>
    <xf numFmtId="188" fontId="28" fillId="51" borderId="177">
      <alignment horizontal="right" vertical="center"/>
      <protection locked="0"/>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93" fontId="28" fillId="12" borderId="177">
      <alignment vertical="center"/>
      <protection locked="0"/>
    </xf>
    <xf numFmtId="186" fontId="56" fillId="15" borderId="232" applyNumberFormat="0" applyProtection="0">
      <alignment horizontal="left" vertical="top" indent="1"/>
    </xf>
    <xf numFmtId="191" fontId="28" fillId="49" borderId="177">
      <alignmen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40" borderId="224" applyNumberFormat="0" applyFont="0" applyAlignment="0" applyProtection="0"/>
    <xf numFmtId="186" fontId="42" fillId="44" borderId="234" applyNumberFormat="0" applyAlignment="0" applyProtection="0"/>
    <xf numFmtId="186" fontId="56" fillId="40" borderId="224" applyNumberFormat="0" applyFont="0" applyAlignment="0" applyProtection="0"/>
    <xf numFmtId="186" fontId="56" fillId="21" borderId="232" applyNumberFormat="0" applyProtection="0">
      <alignment horizontal="left" vertical="top" indent="1"/>
    </xf>
    <xf numFmtId="186" fontId="27" fillId="63" borderId="23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186" fontId="28" fillId="12" borderId="240">
      <alignment vertical="center"/>
      <protection locked="0"/>
    </xf>
    <xf numFmtId="4" fontId="27" fillId="21" borderId="238" applyNumberFormat="0" applyProtection="0">
      <alignment horizontal="left" vertical="center" indent="1"/>
    </xf>
    <xf numFmtId="4" fontId="56" fillId="55" borderId="224" applyNumberFormat="0" applyProtection="0">
      <alignment horizontal="right" vertical="center"/>
    </xf>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186" fontId="50" fillId="41" borderId="224" applyNumberFormat="0" applyAlignment="0" applyProtection="0"/>
    <xf numFmtId="188" fontId="28" fillId="49" borderId="240">
      <alignment vertical="center"/>
    </xf>
    <xf numFmtId="186" fontId="56" fillId="40" borderId="224" applyNumberFormat="0" applyFon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186" fontId="60" fillId="52" borderId="222" applyNumberFormat="0" applyProtection="0">
      <alignment horizontal="left" vertical="top" indent="1"/>
    </xf>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88" fontId="5" fillId="69" borderId="230">
      <alignment vertical="center"/>
    </xf>
    <xf numFmtId="190" fontId="5" fillId="13" borderId="230">
      <alignment vertical="center"/>
    </xf>
    <xf numFmtId="191" fontId="5" fillId="13" borderId="23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23" borderId="224" applyNumberFormat="0" applyProtection="0">
      <alignment horizontal="right" vertical="center"/>
    </xf>
    <xf numFmtId="4" fontId="56" fillId="15" borderId="224" applyNumberFormat="0" applyProtection="0">
      <alignment horizontal="right" vertical="center"/>
    </xf>
    <xf numFmtId="4" fontId="56" fillId="15" borderId="228" applyNumberFormat="0" applyProtection="0">
      <alignment horizontal="left" vertical="center" indent="1"/>
    </xf>
    <xf numFmtId="191" fontId="28" fillId="50" borderId="177">
      <alignment vertical="center"/>
    </xf>
    <xf numFmtId="191" fontId="28" fillId="50" borderId="177">
      <alignment vertical="center"/>
    </xf>
    <xf numFmtId="172" fontId="28" fillId="12" borderId="177">
      <alignment vertical="center"/>
      <protection locked="0"/>
    </xf>
    <xf numFmtId="172" fontId="28" fillId="12" borderId="177">
      <alignment vertical="center"/>
      <protection locked="0"/>
    </xf>
    <xf numFmtId="186" fontId="56" fillId="14" borderId="232" applyNumberFormat="0" applyProtection="0">
      <alignment horizontal="left" vertical="top" indent="1"/>
    </xf>
    <xf numFmtId="186" fontId="28" fillId="49" borderId="177">
      <alignment vertical="center"/>
    </xf>
    <xf numFmtId="186" fontId="28" fillId="12" borderId="177">
      <alignment vertical="center"/>
      <protection locked="0"/>
    </xf>
    <xf numFmtId="186" fontId="61" fillId="21" borderId="236" applyBorder="0"/>
    <xf numFmtId="191" fontId="28" fillId="49" borderId="177">
      <alignmen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2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8" fillId="49" borderId="240">
      <alignment vertical="center"/>
    </xf>
    <xf numFmtId="186" fontId="56" fillId="40" borderId="224" applyNumberFormat="0" applyFont="0" applyAlignment="0" applyProtection="0"/>
    <xf numFmtId="190" fontId="28" fillId="49" borderId="24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77">
      <alignment vertical="center"/>
    </xf>
    <xf numFmtId="191" fontId="5" fillId="13" borderId="177">
      <alignment vertical="center"/>
    </xf>
    <xf numFmtId="191" fontId="5" fillId="13" borderId="177">
      <alignment vertical="center"/>
    </xf>
    <xf numFmtId="0" fontId="5" fillId="13" borderId="177">
      <alignment vertical="center"/>
    </xf>
    <xf numFmtId="0" fontId="5" fillId="13" borderId="177">
      <alignment vertical="center"/>
    </xf>
    <xf numFmtId="0" fontId="5" fillId="13" borderId="177">
      <alignment vertical="center"/>
    </xf>
    <xf numFmtId="0" fontId="5" fillId="13" borderId="177">
      <alignment vertical="center"/>
    </xf>
    <xf numFmtId="191" fontId="5" fillId="13" borderId="177">
      <alignment vertical="center"/>
    </xf>
    <xf numFmtId="188" fontId="5" fillId="13" borderId="177">
      <alignment vertical="center"/>
    </xf>
    <xf numFmtId="191" fontId="5" fillId="13" borderId="177">
      <alignment vertical="center"/>
    </xf>
    <xf numFmtId="196" fontId="5" fillId="13" borderId="177">
      <alignment vertical="center"/>
    </xf>
    <xf numFmtId="188" fontId="5" fillId="13" borderId="177">
      <alignment vertical="center"/>
    </xf>
    <xf numFmtId="188" fontId="5" fillId="13" borderId="177">
      <alignment vertical="center"/>
    </xf>
    <xf numFmtId="190" fontId="5" fillId="13" borderId="17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6" fontId="5" fillId="69" borderId="177">
      <alignment vertical="center"/>
    </xf>
    <xf numFmtId="188" fontId="5" fillId="69" borderId="177">
      <alignment vertical="center"/>
    </xf>
    <xf numFmtId="188" fontId="5" fillId="69" borderId="177">
      <alignment vertical="center"/>
    </xf>
    <xf numFmtId="19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191" fontId="5" fillId="69" borderId="177">
      <alignment vertical="center"/>
    </xf>
    <xf numFmtId="188" fontId="5" fillId="69" borderId="177">
      <alignment vertical="center"/>
    </xf>
    <xf numFmtId="191" fontId="5" fillId="69" borderId="177">
      <alignment vertical="center"/>
    </xf>
    <xf numFmtId="191" fontId="5" fillId="69" borderId="177">
      <alignment vertical="center"/>
    </xf>
    <xf numFmtId="191"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196" fontId="5" fillId="70" borderId="177">
      <alignment horizontal="right" vertical="center"/>
      <protection locked="0"/>
    </xf>
    <xf numFmtId="188" fontId="5" fillId="70" borderId="177">
      <alignment horizontal="right" vertical="center"/>
      <protection locked="0"/>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88"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0" fillId="85" borderId="21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7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27" fillId="15" borderId="232" applyNumberFormat="0" applyProtection="0">
      <alignment horizontal="left" vertical="center" indent="1"/>
    </xf>
    <xf numFmtId="4" fontId="56" fillId="57" borderId="23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3"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4" fontId="64" fillId="64" borderId="23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8" fontId="5" fillId="13" borderId="230">
      <alignment vertical="center"/>
    </xf>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2" fillId="15" borderId="222"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60" fillId="52" borderId="222" applyNumberFormat="0" applyProtection="0">
      <alignment horizontal="left" vertical="top" indent="1"/>
    </xf>
    <xf numFmtId="191" fontId="28" fillId="51" borderId="177">
      <alignment horizontal="right" vertical="center"/>
      <protection locked="0"/>
    </xf>
    <xf numFmtId="186"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5" borderId="23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34" applyNumberFormat="0" applyProtection="0">
      <alignment horizontal="left" vertical="center" indent="1"/>
    </xf>
    <xf numFmtId="186" fontId="27" fillId="63" borderId="23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7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7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77"/>
    <xf numFmtId="37" fontId="33" fillId="0" borderId="227" applyNumberFormat="0"/>
    <xf numFmtId="194" fontId="33" fillId="0" borderId="221" applyFill="0"/>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21" borderId="232" applyNumberFormat="0" applyProtection="0">
      <alignment horizontal="left" vertical="top" indent="1"/>
    </xf>
    <xf numFmtId="186" fontId="56" fillId="15" borderId="222" applyNumberFormat="0" applyProtection="0">
      <alignment horizontal="left" vertical="top" indent="1"/>
    </xf>
    <xf numFmtId="186" fontId="50" fillId="41" borderId="224" applyNumberFormat="0" applyAlignment="0" applyProtection="0"/>
    <xf numFmtId="186" fontId="42" fillId="44" borderId="23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72" fontId="28" fillId="12" borderId="177">
      <alignment vertical="center"/>
      <protection locked="0"/>
    </xf>
    <xf numFmtId="186" fontId="56" fillId="21" borderId="222" applyNumberFormat="0" applyProtection="0">
      <alignment horizontal="left" vertical="top" indent="1"/>
    </xf>
    <xf numFmtId="4" fontId="59" fillId="65" borderId="234" applyNumberFormat="0" applyProtection="0">
      <alignment horizontal="right" vertical="center"/>
    </xf>
    <xf numFmtId="191" fontId="28" fillId="12" borderId="177">
      <alignment vertical="center"/>
      <protection locked="0"/>
    </xf>
    <xf numFmtId="4" fontId="56" fillId="53" borderId="234" applyNumberFormat="0" applyProtection="0">
      <alignment horizontal="left" vertical="center" indent="1"/>
    </xf>
    <xf numFmtId="4" fontId="56" fillId="53" borderId="224" applyNumberFormat="0" applyProtection="0">
      <alignment horizontal="left" vertical="center" indent="1"/>
    </xf>
    <xf numFmtId="186" fontId="27" fillId="21" borderId="22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72" fontId="28" fillId="12" borderId="177">
      <alignment vertical="center"/>
      <protection locked="0"/>
    </xf>
    <xf numFmtId="186" fontId="42" fillId="44" borderId="224" applyNumberFormat="0" applyAlignment="0" applyProtection="0"/>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4" fontId="56" fillId="61"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28" fillId="50" borderId="240">
      <alignment vertical="center"/>
    </xf>
    <xf numFmtId="191" fontId="28" fillId="51" borderId="240">
      <alignment horizontal="right" vertical="center"/>
      <protection locked="0"/>
    </xf>
    <xf numFmtId="188" fontId="28" fillId="50" borderId="240">
      <alignment vertical="center"/>
    </xf>
    <xf numFmtId="191" fontId="28" fillId="50" borderId="240">
      <alignment vertical="center"/>
    </xf>
    <xf numFmtId="186" fontId="28" fillId="12" borderId="240">
      <alignment vertical="center"/>
      <protection locked="0"/>
    </xf>
    <xf numFmtId="188" fontId="28" fillId="49" borderId="240">
      <alignment vertical="center"/>
    </xf>
    <xf numFmtId="186" fontId="28" fillId="49" borderId="24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6" borderId="234" applyNumberFormat="0" applyProtection="0">
      <alignment horizontal="right" vertical="center"/>
    </xf>
    <xf numFmtId="37" fontId="33" fillId="0" borderId="237" applyNumberFormat="0"/>
    <xf numFmtId="186" fontId="56" fillId="64" borderId="211" applyNumberFormat="0">
      <protection locked="0"/>
    </xf>
    <xf numFmtId="186" fontId="44" fillId="0" borderId="23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38"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2" borderId="234" applyNumberFormat="0" applyProtection="0">
      <alignment vertical="center"/>
    </xf>
    <xf numFmtId="4" fontId="56" fillId="55"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42" fillId="44" borderId="23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40">
      <alignment vertical="center"/>
    </xf>
    <xf numFmtId="191" fontId="5" fillId="7" borderId="24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38" applyNumberFormat="0" applyProtection="0">
      <alignment horizontal="left" vertical="center" indent="1"/>
    </xf>
    <xf numFmtId="4" fontId="27" fillId="21" borderId="23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40">
      <alignment vertical="center"/>
    </xf>
    <xf numFmtId="186" fontId="28" fillId="50" borderId="240">
      <alignment vertical="center"/>
    </xf>
    <xf numFmtId="193" fontId="28" fillId="50" borderId="240">
      <alignment vertical="center"/>
    </xf>
    <xf numFmtId="191" fontId="28" fillId="12" borderId="240">
      <alignment vertical="center"/>
      <protection locked="0"/>
    </xf>
    <xf numFmtId="172" fontId="28" fillId="12" borderId="240">
      <alignment vertical="center"/>
      <protection locked="0"/>
    </xf>
    <xf numFmtId="191" fontId="28" fillId="12" borderId="240">
      <alignment vertical="center"/>
      <protection locked="0"/>
    </xf>
    <xf numFmtId="191" fontId="28" fillId="12" borderId="240">
      <alignment vertical="center"/>
      <protection locked="0"/>
    </xf>
    <xf numFmtId="186" fontId="56" fillId="40" borderId="234" applyNumberFormat="0" applyFont="0" applyAlignment="0" applyProtection="0"/>
    <xf numFmtId="186" fontId="27" fillId="21" borderId="232" applyNumberFormat="0" applyProtection="0">
      <alignment horizontal="left" vertical="top" indent="1"/>
    </xf>
    <xf numFmtId="186" fontId="57" fillId="44" borderId="235" applyNumberFormat="0" applyAlignment="0" applyProtection="0"/>
    <xf numFmtId="4" fontId="56" fillId="15" borderId="238" applyNumberFormat="0" applyProtection="0">
      <alignment horizontal="left" vertical="center" indent="1"/>
    </xf>
    <xf numFmtId="186" fontId="56" fillId="40" borderId="234" applyNumberFormat="0" applyFont="0" applyAlignment="0" applyProtection="0"/>
    <xf numFmtId="186" fontId="56" fillId="21" borderId="232" applyNumberFormat="0" applyProtection="0">
      <alignment horizontal="left" vertical="top" indent="1"/>
    </xf>
    <xf numFmtId="186" fontId="56" fillId="40" borderId="234" applyNumberFormat="0" applyFont="0" applyAlignment="0" applyProtection="0"/>
    <xf numFmtId="186" fontId="56" fillId="21" borderId="232" applyNumberFormat="0" applyProtection="0">
      <alignment horizontal="left" vertical="top" indent="1"/>
    </xf>
    <xf numFmtId="186" fontId="56" fillId="63" borderId="232" applyNumberFormat="0" applyProtection="0">
      <alignment horizontal="left" vertical="top" indent="1"/>
    </xf>
    <xf numFmtId="4" fontId="62" fillId="48" borderId="232"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7" borderId="238"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27" fillId="21" borderId="238" applyNumberFormat="0" applyProtection="0">
      <alignment horizontal="left" vertical="center" indent="1"/>
    </xf>
    <xf numFmtId="186" fontId="27" fillId="21" borderId="232"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186" fontId="56" fillId="64" borderId="211" applyNumberFormat="0">
      <protection locked="0"/>
    </xf>
    <xf numFmtId="4" fontId="62" fillId="48" borderId="232" applyNumberFormat="0" applyProtection="0">
      <alignment vertical="center"/>
    </xf>
    <xf numFmtId="4" fontId="56" fillId="54" borderId="234" applyNumberFormat="0" applyProtection="0">
      <alignment horizontal="left" vertical="center" indent="1"/>
    </xf>
    <xf numFmtId="186" fontId="62" fillId="48" borderId="232" applyNumberFormat="0" applyProtection="0">
      <alignment horizontal="left" vertical="top" indent="1"/>
    </xf>
    <xf numFmtId="4" fontId="59" fillId="65" borderId="234" applyNumberFormat="0" applyProtection="0">
      <alignment horizontal="right" vertical="center"/>
    </xf>
    <xf numFmtId="186" fontId="62" fillId="15" borderId="232" applyNumberFormat="0" applyProtection="0">
      <alignment horizontal="left" vertical="top" indent="1"/>
    </xf>
    <xf numFmtId="37" fontId="33" fillId="0" borderId="237" applyNumberFormat="0"/>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93" fontId="28" fillId="12" borderId="240">
      <alignment vertical="center"/>
      <protection locked="0"/>
    </xf>
    <xf numFmtId="186" fontId="28" fillId="49" borderId="240">
      <alignment vertical="center"/>
    </xf>
    <xf numFmtId="191" fontId="28" fillId="49" borderId="24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21" borderId="232" applyNumberFormat="0" applyProtection="0">
      <alignment horizontal="left" vertical="top" indent="1"/>
    </xf>
    <xf numFmtId="186" fontId="56" fillId="15" borderId="232" applyNumberFormat="0" applyProtection="0">
      <alignment horizontal="left" vertical="top" indent="1"/>
    </xf>
    <xf numFmtId="4" fontId="63" fillId="66" borderId="23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3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34" applyNumberFormat="0" applyAlignment="0" applyProtection="0"/>
    <xf numFmtId="186" fontId="50" fillId="41" borderId="234" applyNumberFormat="0" applyAlignment="0" applyProtection="0"/>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86" fontId="56" fillId="63" borderId="232" applyNumberFormat="0" applyProtection="0">
      <alignment horizontal="left" vertical="top" indent="1"/>
    </xf>
    <xf numFmtId="186" fontId="57" fillId="44" borderId="235" applyNumberFormat="0" applyAlignment="0" applyProtection="0"/>
    <xf numFmtId="186" fontId="56" fillId="63" borderId="232" applyNumberFormat="0" applyProtection="0">
      <alignment horizontal="left" vertical="top" indent="1"/>
    </xf>
    <xf numFmtId="193" fontId="28" fillId="12" borderId="240">
      <alignment vertical="center"/>
      <protection locked="0"/>
    </xf>
    <xf numFmtId="186" fontId="27" fillId="14" borderId="232" applyNumberFormat="0" applyProtection="0">
      <alignment horizontal="left" vertical="top" indent="1"/>
    </xf>
    <xf numFmtId="172" fontId="28" fillId="12" borderId="240">
      <alignment vertical="center"/>
      <protection locked="0"/>
    </xf>
    <xf numFmtId="186" fontId="56" fillId="14" borderId="232" applyNumberFormat="0" applyProtection="0">
      <alignment horizontal="left" vertical="top" indent="1"/>
    </xf>
    <xf numFmtId="186" fontId="57" fillId="44" borderId="235" applyNumberFormat="0" applyAlignment="0" applyProtection="0"/>
    <xf numFmtId="186" fontId="56" fillId="14" borderId="232" applyNumberFormat="0" applyProtection="0">
      <alignment horizontal="left" vertical="top" indent="1"/>
    </xf>
    <xf numFmtId="4" fontId="27" fillId="21" borderId="238" applyNumberFormat="0" applyProtection="0">
      <alignment horizontal="left" vertical="center" indent="1"/>
    </xf>
    <xf numFmtId="186" fontId="56" fillId="14"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28" fillId="12" borderId="240">
      <alignment vertical="center"/>
      <protection locked="0"/>
    </xf>
    <xf numFmtId="186" fontId="57" fillId="44" borderId="235" applyNumberForma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38"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34" applyNumberFormat="0" applyProtection="0">
      <alignment horizontal="right" vertical="center"/>
    </xf>
    <xf numFmtId="4" fontId="56" fillId="0"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4" fontId="56" fillId="19" borderId="234" applyNumberFormat="0" applyProtection="0">
      <alignment horizontal="righ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27" fillId="21" borderId="238" applyNumberFormat="0" applyProtection="0">
      <alignment horizontal="left" vertical="center" indent="1"/>
    </xf>
    <xf numFmtId="4" fontId="56" fillId="19" borderId="234" applyNumberFormat="0" applyProtection="0">
      <alignment horizontal="right" vertical="center"/>
    </xf>
    <xf numFmtId="4" fontId="56" fillId="56"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186" fontId="56" fillId="40" borderId="234" applyNumberFormat="0" applyFont="0" applyAlignment="0" applyProtection="0"/>
    <xf numFmtId="4" fontId="59" fillId="53"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42" fillId="44" borderId="23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6" borderId="238"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4" fontId="64" fillId="64" borderId="234" applyNumberFormat="0" applyProtection="0">
      <alignment horizontal="right" vertical="center"/>
    </xf>
    <xf numFmtId="4" fontId="56" fillId="16" borderId="234" applyNumberFormat="0" applyProtection="0">
      <alignment horizontal="right" vertical="center"/>
    </xf>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4" borderId="211" applyNumberFormat="0">
      <protection locked="0"/>
    </xf>
    <xf numFmtId="186" fontId="56" fillId="64" borderId="211" applyNumberFormat="0">
      <protection locked="0"/>
    </xf>
    <xf numFmtId="4" fontId="70" fillId="85" borderId="212" applyNumberFormat="0" applyProtection="0">
      <alignment horizontal="left" vertical="center" indent="1"/>
    </xf>
    <xf numFmtId="186" fontId="27" fillId="63" borderId="232" applyNumberFormat="0" applyProtection="0">
      <alignment horizontal="left" vertical="top" indent="1"/>
    </xf>
    <xf numFmtId="186" fontId="44" fillId="0" borderId="239" applyNumberFormat="0" applyFill="0" applyAlignment="0" applyProtection="0"/>
    <xf numFmtId="186" fontId="62" fillId="15"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61" borderId="238" applyNumberFormat="0" applyProtection="0">
      <alignment horizontal="left" vertical="center" indent="1"/>
    </xf>
    <xf numFmtId="4" fontId="56" fillId="58" borderId="234" applyNumberFormat="0" applyProtection="0">
      <alignment horizontal="right" vertical="center"/>
    </xf>
    <xf numFmtId="4" fontId="56" fillId="54" borderId="234"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64" fontId="69" fillId="0" borderId="0" applyFont="0" applyFill="0" applyBorder="0" applyAlignment="0" applyProtection="0"/>
    <xf numFmtId="0" fontId="3" fillId="0" borderId="0"/>
    <xf numFmtId="164" fontId="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194" fontId="33" fillId="0" borderId="23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1" applyFill="0"/>
    <xf numFmtId="164" fontId="5" fillId="0" borderId="0" applyFont="0" applyFill="0" applyBorder="0" applyAlignment="0" applyProtection="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3" fillId="0" borderId="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4" applyNumberFormat="0" applyProtection="0">
      <alignment horizontal="left" vertical="center" indent="1"/>
    </xf>
    <xf numFmtId="194" fontId="33" fillId="0" borderId="231" applyFill="0"/>
    <xf numFmtId="186" fontId="42" fillId="44" borderId="234" applyNumberFormat="0" applyAlignment="0" applyProtection="0"/>
    <xf numFmtId="186" fontId="42" fillId="44" borderId="234" applyNumberFormat="0" applyAlignment="0" applyProtection="0"/>
    <xf numFmtId="186" fontId="56" fillId="21" borderId="232" applyNumberFormat="0" applyProtection="0">
      <alignment horizontal="left" vertical="top" indent="1"/>
    </xf>
    <xf numFmtId="186" fontId="56" fillId="14" borderId="232" applyNumberFormat="0" applyProtection="0">
      <alignment horizontal="left" vertical="top" indent="1"/>
    </xf>
    <xf numFmtId="164" fontId="5" fillId="0" borderId="0" applyFont="0" applyFill="0" applyBorder="0" applyAlignment="0" applyProtection="0"/>
    <xf numFmtId="186" fontId="56" fillId="14" borderId="232" applyNumberFormat="0" applyProtection="0">
      <alignment horizontal="left" vertical="top" indent="1"/>
    </xf>
    <xf numFmtId="164" fontId="34" fillId="0" borderId="0" applyFont="0" applyFill="0" applyBorder="0" applyAlignment="0" applyProtection="0"/>
    <xf numFmtId="186" fontId="61" fillId="21" borderId="236" applyBorder="0"/>
    <xf numFmtId="4" fontId="56" fillId="58" borderId="234" applyNumberFormat="0" applyProtection="0">
      <alignment horizontal="right" vertical="center"/>
    </xf>
    <xf numFmtId="186" fontId="56" fillId="40" borderId="234" applyNumberFormat="0" applyFont="0" applyAlignment="0" applyProtection="0"/>
    <xf numFmtId="4" fontId="56" fillId="15" borderId="238" applyNumberFormat="0" applyProtection="0">
      <alignment horizontal="left" vertical="center" indent="1"/>
    </xf>
    <xf numFmtId="4" fontId="56" fillId="59" borderId="234" applyNumberFormat="0" applyProtection="0">
      <alignment horizontal="right" vertical="center"/>
    </xf>
    <xf numFmtId="186" fontId="56" fillId="11" borderId="234" applyNumberFormat="0" applyProtection="0">
      <alignment horizontal="left" vertical="center" indent="1"/>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48" borderId="232" applyNumberFormat="0" applyProtection="0">
      <alignment vertical="center"/>
    </xf>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94" fontId="33" fillId="0" borderId="231" applyFill="0"/>
    <xf numFmtId="186" fontId="56" fillId="62" borderId="234" applyNumberFormat="0" applyProtection="0">
      <alignment horizontal="left" vertical="center" indent="1"/>
    </xf>
    <xf numFmtId="4" fontId="56" fillId="23" borderId="234" applyNumberFormat="0" applyProtection="0">
      <alignment horizontal="right" vertical="center"/>
    </xf>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64" fontId="39"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23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4" fontId="56" fillId="19" borderId="234" applyNumberFormat="0" applyProtection="0">
      <alignment horizontal="right" vertical="center"/>
    </xf>
    <xf numFmtId="194" fontId="33" fillId="0" borderId="231" applyFill="0"/>
    <xf numFmtId="186" fontId="56" fillId="62" borderId="234" applyNumberFormat="0" applyProtection="0">
      <alignment horizontal="left" vertical="center" indent="1"/>
    </xf>
    <xf numFmtId="4" fontId="56" fillId="58" borderId="234" applyNumberFormat="0" applyProtection="0">
      <alignment horizontal="right" vertical="center"/>
    </xf>
    <xf numFmtId="4" fontId="56" fillId="23"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11" borderId="232" applyNumberFormat="0" applyProtection="0">
      <alignment horizontal="left" vertical="center" indent="1"/>
    </xf>
    <xf numFmtId="194" fontId="33" fillId="0" borderId="231" applyFill="0"/>
    <xf numFmtId="186" fontId="62" fillId="15" borderId="232" applyNumberFormat="0" applyProtection="0">
      <alignment horizontal="left" vertical="top"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64" fontId="35" fillId="0" borderId="0" applyFont="0" applyFill="0" applyBorder="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4" fontId="56" fillId="60" borderId="234" applyNumberFormat="0" applyProtection="0">
      <alignment horizontal="right" vertical="center"/>
    </xf>
    <xf numFmtId="186" fontId="56" fillId="14" borderId="232" applyNumberFormat="0" applyProtection="0">
      <alignment horizontal="left" vertical="top" indent="1"/>
    </xf>
    <xf numFmtId="37" fontId="33" fillId="0" borderId="237" applyNumberFormat="0"/>
    <xf numFmtId="186" fontId="60" fillId="52" borderId="232" applyNumberFormat="0" applyProtection="0">
      <alignment horizontal="left" vertical="top" indent="1"/>
    </xf>
    <xf numFmtId="186" fontId="56" fillId="40" borderId="234" applyNumberFormat="0" applyFont="0" applyAlignment="0" applyProtection="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4" fontId="56" fillId="59"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16" borderId="234" applyNumberFormat="0" applyProtection="0">
      <alignment horizontal="right" vertical="center"/>
    </xf>
    <xf numFmtId="4" fontId="56" fillId="59" borderId="234" applyNumberFormat="0" applyProtection="0">
      <alignment horizontal="right" vertical="center"/>
    </xf>
    <xf numFmtId="186" fontId="57" fillId="44" borderId="235" applyNumberFormat="0" applyAlignment="0" applyProtection="0"/>
    <xf numFmtId="186" fontId="56" fillId="11" borderId="234" applyNumberFormat="0" applyProtection="0">
      <alignment horizontal="left" vertical="center" indent="1"/>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52" borderId="234" applyNumberFormat="0" applyProtection="0">
      <alignment vertical="center"/>
    </xf>
    <xf numFmtId="4" fontId="56" fillId="58" borderId="234" applyNumberFormat="0" applyProtection="0">
      <alignment horizontal="right" vertical="center"/>
    </xf>
    <xf numFmtId="4" fontId="59" fillId="53" borderId="234" applyNumberFormat="0" applyProtection="0">
      <alignment vertical="center"/>
    </xf>
    <xf numFmtId="164" fontId="35" fillId="0" borderId="0" applyFont="0" applyFill="0" applyBorder="0" applyAlignment="0" applyProtection="0"/>
    <xf numFmtId="186" fontId="50" fillId="41" borderId="234" applyNumberFormat="0" applyAlignment="0" applyProtection="0"/>
    <xf numFmtId="186" fontId="56" fillId="11"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4" fontId="59" fillId="53" borderId="234" applyNumberFormat="0" applyProtection="0">
      <alignment vertical="center"/>
    </xf>
    <xf numFmtId="164" fontId="35" fillId="0" borderId="0" applyFont="0" applyFill="0" applyBorder="0" applyAlignment="0" applyProtection="0"/>
    <xf numFmtId="4" fontId="56" fillId="15" borderId="234" applyNumberFormat="0" applyProtection="0">
      <alignment horizontal="right" vertical="center"/>
    </xf>
    <xf numFmtId="4" fontId="56" fillId="52" borderId="234" applyNumberFormat="0" applyProtection="0">
      <alignment vertical="center"/>
    </xf>
    <xf numFmtId="4" fontId="56" fillId="52" borderId="234" applyNumberFormat="0" applyProtection="0">
      <alignment vertical="center"/>
    </xf>
    <xf numFmtId="4" fontId="56" fillId="15" borderId="234" applyNumberFormat="0" applyProtection="0">
      <alignment horizontal="right" vertical="center"/>
    </xf>
    <xf numFmtId="4" fontId="56" fillId="23"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186" fontId="56" fillId="63" borderId="234" applyNumberFormat="0" applyProtection="0">
      <alignment horizontal="left" vertical="center" indent="1"/>
    </xf>
    <xf numFmtId="186" fontId="56" fillId="40" borderId="234" applyNumberFormat="0" applyFont="0" applyAlignment="0" applyProtection="0"/>
    <xf numFmtId="186" fontId="61" fillId="21" borderId="236" applyBorder="0"/>
    <xf numFmtId="186" fontId="44" fillId="0" borderId="239" applyNumberFormat="0" applyFill="0" applyAlignment="0" applyProtection="0"/>
    <xf numFmtId="164" fontId="35" fillId="0" borderId="0" applyFont="0" applyFill="0" applyBorder="0" applyAlignment="0" applyProtection="0"/>
    <xf numFmtId="186" fontId="42" fillId="44" borderId="234" applyNumberFormat="0" applyAlignment="0" applyProtection="0"/>
    <xf numFmtId="4" fontId="56" fillId="58" borderId="234" applyNumberFormat="0" applyProtection="0">
      <alignment horizontal="right" vertical="center"/>
    </xf>
    <xf numFmtId="186" fontId="56" fillId="40" borderId="234" applyNumberFormat="0" applyFont="0" applyAlignment="0" applyProtection="0"/>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4" fontId="59" fillId="53" borderId="234" applyNumberFormat="0" applyProtection="0">
      <alignment vertical="center"/>
    </xf>
    <xf numFmtId="186" fontId="56" fillId="62" borderId="234" applyNumberFormat="0" applyProtection="0">
      <alignment horizontal="left" vertical="center" indent="1"/>
    </xf>
    <xf numFmtId="37" fontId="33" fillId="0" borderId="237" applyNumberFormat="0"/>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4" fontId="59" fillId="53" borderId="234" applyNumberFormat="0" applyProtection="0">
      <alignment vertical="center"/>
    </xf>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64" fontId="35" fillId="0" borderId="0" applyFont="0" applyFill="0" applyBorder="0" applyAlignment="0" applyProtection="0"/>
    <xf numFmtId="4" fontId="56" fillId="54" borderId="234" applyNumberFormat="0" applyProtection="0">
      <alignment horizontal="left" vertical="center" indent="1"/>
    </xf>
    <xf numFmtId="4" fontId="62" fillId="11" borderId="232" applyNumberFormat="0" applyProtection="0">
      <alignment horizontal="left" vertical="center" indent="1"/>
    </xf>
    <xf numFmtId="4" fontId="56" fillId="19" borderId="234" applyNumberFormat="0" applyProtection="0">
      <alignment horizontal="right" vertical="center"/>
    </xf>
    <xf numFmtId="4" fontId="56" fillId="58" borderId="234" applyNumberFormat="0" applyProtection="0">
      <alignment horizontal="right" vertical="center"/>
    </xf>
    <xf numFmtId="186" fontId="42" fillId="44" borderId="234"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232" applyNumberFormat="0" applyProtection="0">
      <alignment horizontal="left" vertical="top" indent="1"/>
    </xf>
    <xf numFmtId="4" fontId="59" fillId="53" borderId="234" applyNumberFormat="0" applyProtection="0">
      <alignment vertical="center"/>
    </xf>
    <xf numFmtId="4" fontId="56" fillId="55" borderId="234" applyNumberFormat="0" applyProtection="0">
      <alignment horizontal="right" vertical="center"/>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16" borderId="234" applyNumberFormat="0" applyProtection="0">
      <alignment horizontal="right" vertical="center"/>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7" fillId="44" borderId="235" applyNumberFormat="0" applyAlignment="0" applyProtection="0"/>
    <xf numFmtId="4" fontId="56" fillId="15" borderId="234" applyNumberFormat="0" applyProtection="0">
      <alignment horizontal="right" vertical="center"/>
    </xf>
    <xf numFmtId="164" fontId="5" fillId="0" borderId="0" applyFont="0" applyFill="0" applyBorder="0" applyAlignment="0" applyProtection="0"/>
    <xf numFmtId="4" fontId="56" fillId="23" borderId="234" applyNumberFormat="0" applyProtection="0">
      <alignment horizontal="right" vertical="center"/>
    </xf>
    <xf numFmtId="186" fontId="50" fillId="41" borderId="234" applyNumberFormat="0" applyAlignment="0" applyProtection="0"/>
    <xf numFmtId="186" fontId="44" fillId="0" borderId="239" applyNumberFormat="0" applyFill="0" applyAlignment="0" applyProtection="0"/>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3" borderId="234" applyNumberFormat="0" applyProtection="0">
      <alignment horizontal="left" vertical="center"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7" fillId="44" borderId="235" applyNumberFormat="0" applyAlignment="0" applyProtection="0"/>
    <xf numFmtId="4" fontId="62" fillId="48" borderId="232" applyNumberFormat="0" applyProtection="0">
      <alignment vertical="center"/>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4" fontId="63" fillId="66" borderId="238" applyNumberFormat="0" applyProtection="0">
      <alignment horizontal="left" vertical="center" indent="1"/>
    </xf>
    <xf numFmtId="186" fontId="50" fillId="41"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4" fontId="56" fillId="55"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0" borderId="234" applyNumberFormat="0" applyFont="0" applyAlignment="0" applyProtection="0"/>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8" borderId="234" applyNumberFormat="0" applyProtection="0">
      <alignment horizontal="right" vertical="center"/>
    </xf>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42" fillId="44" borderId="234" applyNumberFormat="0" applyAlignment="0" applyProtection="0"/>
    <xf numFmtId="4" fontId="62" fillId="11" borderId="232" applyNumberFormat="0" applyProtection="0">
      <alignment horizontal="left" vertical="center" indent="1"/>
    </xf>
    <xf numFmtId="186" fontId="44" fillId="0" borderId="239" applyNumberFormat="0" applyFill="0" applyAlignment="0" applyProtection="0"/>
    <xf numFmtId="186" fontId="56" fillId="40" borderId="234" applyNumberFormat="0" applyFont="0" applyAlignment="0" applyProtection="0"/>
    <xf numFmtId="186" fontId="56" fillId="21" borderId="232" applyNumberFormat="0" applyProtection="0">
      <alignment horizontal="left" vertical="top" indent="1"/>
    </xf>
    <xf numFmtId="4" fontId="56" fillId="54" borderId="234" applyNumberFormat="0" applyProtection="0">
      <alignment horizontal="left" vertical="center" indent="1"/>
    </xf>
    <xf numFmtId="186" fontId="42" fillId="44" borderId="234" applyNumberFormat="0" applyAlignment="0" applyProtection="0"/>
    <xf numFmtId="4" fontId="64" fillId="64" borderId="234" applyNumberFormat="0" applyProtection="0">
      <alignment horizontal="right" vertical="center"/>
    </xf>
    <xf numFmtId="186" fontId="61" fillId="21" borderId="236" applyBorder="0"/>
    <xf numFmtId="186" fontId="56" fillId="40" borderId="234" applyNumberFormat="0" applyFont="0" applyAlignment="0" applyProtection="0"/>
    <xf numFmtId="4" fontId="56" fillId="54" borderId="234"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4" fontId="56" fillId="55" borderId="234" applyNumberFormat="0" applyProtection="0">
      <alignment horizontal="right" vertical="center"/>
    </xf>
    <xf numFmtId="4" fontId="56" fillId="60" borderId="234" applyNumberFormat="0" applyProtection="0">
      <alignment horizontal="right" vertical="center"/>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9" borderId="234" applyNumberFormat="0" applyProtection="0">
      <alignment horizontal="right" vertical="center"/>
    </xf>
    <xf numFmtId="186" fontId="56" fillId="63" borderId="232" applyNumberFormat="0" applyProtection="0">
      <alignment horizontal="left" vertical="top" indent="1"/>
    </xf>
    <xf numFmtId="186" fontId="27" fillId="63" borderId="232" applyNumberFormat="0" applyProtection="0">
      <alignment horizontal="left" vertical="center" indent="1"/>
    </xf>
    <xf numFmtId="4" fontId="56" fillId="0" borderId="234" applyNumberFormat="0" applyProtection="0">
      <alignment horizontal="right" vertical="center"/>
    </xf>
    <xf numFmtId="186" fontId="42" fillId="44" borderId="234" applyNumberFormat="0" applyAlignment="0" applyProtection="0"/>
    <xf numFmtId="186" fontId="50" fillId="41" borderId="234" applyNumberFormat="0" applyAlignment="0" applyProtection="0"/>
    <xf numFmtId="4" fontId="56" fillId="53" borderId="234" applyNumberFormat="0" applyProtection="0">
      <alignment horizontal="left" vertical="center" indent="1"/>
    </xf>
    <xf numFmtId="4" fontId="62" fillId="11" borderId="232" applyNumberFormat="0" applyProtection="0">
      <alignment horizontal="left" vertical="center" indent="1"/>
    </xf>
    <xf numFmtId="4" fontId="56" fillId="60" borderId="234" applyNumberFormat="0" applyProtection="0">
      <alignment horizontal="right" vertical="center"/>
    </xf>
    <xf numFmtId="4" fontId="59" fillId="6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64" fillId="64"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64" fontId="35" fillId="0" borderId="0" applyFont="0" applyFill="0" applyBorder="0" applyAlignment="0" applyProtection="0"/>
    <xf numFmtId="186" fontId="56" fillId="40" borderId="234" applyNumberFormat="0" applyFont="0" applyAlignment="0" applyProtection="0"/>
    <xf numFmtId="186" fontId="42" fillId="44" borderId="234" applyNumberFormat="0" applyAlignment="0" applyProtection="0"/>
    <xf numFmtId="186" fontId="62" fillId="48" borderId="232" applyNumberFormat="0" applyProtection="0">
      <alignment horizontal="left" vertical="top" indent="1"/>
    </xf>
    <xf numFmtId="186" fontId="27" fillId="14" borderId="232"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2" borderId="234" applyNumberFormat="0" applyProtection="0">
      <alignment horizontal="left" vertical="center" indent="1"/>
    </xf>
    <xf numFmtId="4" fontId="56" fillId="55" borderId="234" applyNumberFormat="0" applyProtection="0">
      <alignment horizontal="right" vertical="center"/>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4" fontId="56" fillId="23" borderId="234" applyNumberFormat="0" applyProtection="0">
      <alignment horizontal="right" vertical="center"/>
    </xf>
    <xf numFmtId="186" fontId="56" fillId="63" borderId="234" applyNumberFormat="0" applyProtection="0">
      <alignment horizontal="left" vertical="center" indent="1"/>
    </xf>
    <xf numFmtId="186" fontId="56" fillId="14" borderId="232" applyNumberFormat="0" applyProtection="0">
      <alignment horizontal="left" vertical="top" indent="1"/>
    </xf>
    <xf numFmtId="4" fontId="56" fillId="15" borderId="234" applyNumberFormat="0" applyProtection="0">
      <alignment horizontal="right" vertical="center"/>
    </xf>
    <xf numFmtId="186" fontId="62" fillId="48"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42" fillId="44" borderId="234" applyNumberFormat="0" applyAlignment="0" applyProtection="0"/>
    <xf numFmtId="186" fontId="56" fillId="21" borderId="232" applyNumberFormat="0" applyProtection="0">
      <alignment horizontal="left" vertical="top" indent="1"/>
    </xf>
    <xf numFmtId="4" fontId="62" fillId="48" borderId="232" applyNumberFormat="0" applyProtection="0">
      <alignment vertical="center"/>
    </xf>
    <xf numFmtId="37" fontId="33" fillId="0" borderId="237" applyNumberFormat="0"/>
    <xf numFmtId="186" fontId="56" fillId="40" borderId="234" applyNumberFormat="0" applyFont="0" applyAlignment="0" applyProtection="0"/>
    <xf numFmtId="186" fontId="56" fillId="21" borderId="232" applyNumberFormat="0" applyProtection="0">
      <alignment horizontal="left" vertical="top" indent="1"/>
    </xf>
    <xf numFmtId="4" fontId="56" fillId="55" borderId="234" applyNumberFormat="0" applyProtection="0">
      <alignment horizontal="right" vertical="center"/>
    </xf>
    <xf numFmtId="186" fontId="50" fillId="41" borderId="234" applyNumberFormat="0" applyAlignment="0" applyProtection="0"/>
    <xf numFmtId="4" fontId="59" fillId="65" borderId="234" applyNumberFormat="0" applyProtection="0">
      <alignment horizontal="right" vertical="center"/>
    </xf>
    <xf numFmtId="4" fontId="63" fillId="66" borderId="238"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4" borderId="238" applyNumberFormat="0" applyProtection="0">
      <alignment horizontal="left" vertical="center" indent="1"/>
    </xf>
    <xf numFmtId="186" fontId="62" fillId="48" borderId="232" applyNumberFormat="0" applyProtection="0">
      <alignment horizontal="left" vertical="top" indent="1"/>
    </xf>
    <xf numFmtId="186" fontId="56" fillId="21" borderId="232" applyNumberFormat="0" applyProtection="0">
      <alignment horizontal="left" vertical="top" indent="1"/>
    </xf>
    <xf numFmtId="4" fontId="56" fillId="52" borderId="234" applyNumberFormat="0" applyProtection="0">
      <alignment vertical="center"/>
    </xf>
    <xf numFmtId="4" fontId="56" fillId="54" borderId="234" applyNumberFormat="0" applyProtection="0">
      <alignment horizontal="left" vertical="center" indent="1"/>
    </xf>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4" borderId="232" applyNumberFormat="0" applyProtection="0">
      <alignment horizontal="left" vertical="top" indent="1"/>
    </xf>
    <xf numFmtId="4" fontId="62" fillId="11" borderId="232"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186" fontId="56" fillId="14"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40" borderId="234" applyNumberFormat="0" applyFont="0" applyAlignment="0" applyProtection="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23" borderId="234" applyNumberFormat="0" applyProtection="0">
      <alignment horizontal="right" vertical="center"/>
    </xf>
    <xf numFmtId="186" fontId="56" fillId="62"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14" borderId="234" applyNumberFormat="0" applyProtection="0">
      <alignment horizontal="left" vertical="center" indent="1"/>
    </xf>
    <xf numFmtId="194" fontId="33" fillId="0" borderId="231" applyFill="0"/>
    <xf numFmtId="4" fontId="62" fillId="48" borderId="232" applyNumberFormat="0" applyProtection="0">
      <alignment vertical="center"/>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2"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27" fillId="14" borderId="232" applyNumberFormat="0" applyProtection="0">
      <alignment horizontal="left" vertical="center" indent="1"/>
    </xf>
    <xf numFmtId="186" fontId="42" fillId="44" borderId="234" applyNumberFormat="0" applyAlignment="0" applyProtection="0"/>
    <xf numFmtId="186" fontId="56" fillId="14" borderId="234" applyNumberFormat="0" applyProtection="0">
      <alignment horizontal="left" vertical="center" indent="1"/>
    </xf>
    <xf numFmtId="186" fontId="56" fillId="63" borderId="232" applyNumberFormat="0" applyProtection="0">
      <alignment horizontal="left" vertical="top" indent="1"/>
    </xf>
    <xf numFmtId="37" fontId="33" fillId="0" borderId="237" applyNumberFormat="0"/>
    <xf numFmtId="186" fontId="56" fillId="40" borderId="234" applyNumberFormat="0" applyFont="0" applyAlignment="0" applyProtection="0"/>
    <xf numFmtId="4" fontId="63" fillId="66" borderId="238" applyNumberFormat="0" applyProtection="0">
      <alignment horizontal="left" vertical="center" indent="1"/>
    </xf>
    <xf numFmtId="164" fontId="35" fillId="0" borderId="0" applyFont="0" applyFill="0" applyBorder="0" applyAlignment="0" applyProtection="0"/>
    <xf numFmtId="186" fontId="56" fillId="40" borderId="234" applyNumberFormat="0" applyFont="0" applyAlignment="0" applyProtection="0"/>
    <xf numFmtId="4" fontId="62" fillId="48" borderId="232" applyNumberFormat="0" applyProtection="0">
      <alignmen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top" indent="1"/>
    </xf>
    <xf numFmtId="4" fontId="56" fillId="19" borderId="234" applyNumberFormat="0" applyProtection="0">
      <alignment horizontal="righ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center" indent="1"/>
    </xf>
    <xf numFmtId="186" fontId="56" fillId="15" borderId="232" applyNumberFormat="0" applyProtection="0">
      <alignment horizontal="left" vertical="top" indent="1"/>
    </xf>
    <xf numFmtId="186" fontId="42" fillId="44" borderId="234" applyNumberFormat="0" applyAlignment="0" applyProtection="0"/>
    <xf numFmtId="4" fontId="56" fillId="58" borderId="234" applyNumberFormat="0" applyProtection="0">
      <alignment horizontal="right" vertical="center"/>
    </xf>
    <xf numFmtId="194" fontId="33" fillId="0" borderId="231" applyFill="0"/>
    <xf numFmtId="186" fontId="56" fillId="40" borderId="234" applyNumberFormat="0" applyFont="0" applyAlignment="0" applyProtection="0"/>
    <xf numFmtId="186" fontId="62" fillId="48"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15"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34" applyNumberFormat="0" applyAlignment="0" applyProtection="0"/>
    <xf numFmtId="37" fontId="33" fillId="0" borderId="237" applyNumberFormat="0"/>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61" borderId="238" applyNumberFormat="0" applyProtection="0">
      <alignment horizontal="left" vertical="center" indent="1"/>
    </xf>
    <xf numFmtId="186" fontId="50" fillId="41" borderId="234" applyNumberFormat="0" applyAlignment="0" applyProtection="0"/>
    <xf numFmtId="4" fontId="59" fillId="65" borderId="234" applyNumberFormat="0" applyProtection="0">
      <alignment horizontal="right" vertical="center"/>
    </xf>
    <xf numFmtId="4" fontId="62" fillId="48" borderId="232" applyNumberFormat="0" applyProtection="0">
      <alignment vertical="center"/>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27" fillId="14" borderId="232" applyNumberFormat="0" applyProtection="0">
      <alignment horizontal="left" vertical="center" indent="1"/>
    </xf>
    <xf numFmtId="4" fontId="56" fillId="54" borderId="234" applyNumberFormat="0" applyProtection="0">
      <alignment horizontal="left" vertical="center" indent="1"/>
    </xf>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4" fontId="56" fillId="16" borderId="234" applyNumberFormat="0" applyProtection="0">
      <alignment horizontal="right" vertical="center"/>
    </xf>
    <xf numFmtId="4" fontId="56" fillId="14" borderId="238" applyNumberFormat="0" applyProtection="0">
      <alignment horizontal="left" vertical="center" indent="1"/>
    </xf>
    <xf numFmtId="4" fontId="56" fillId="54" borderId="234" applyNumberFormat="0" applyProtection="0">
      <alignment horizontal="left" vertical="center" indent="1"/>
    </xf>
    <xf numFmtId="4" fontId="56" fillId="16" borderId="234" applyNumberFormat="0" applyProtection="0">
      <alignment horizontal="righ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64" fontId="35" fillId="0" borderId="0" applyFont="0" applyFill="0" applyBorder="0" applyAlignment="0" applyProtection="0"/>
    <xf numFmtId="4" fontId="56" fillId="23" borderId="234" applyNumberFormat="0" applyProtection="0">
      <alignment horizontal="right" vertical="center"/>
    </xf>
    <xf numFmtId="164" fontId="35" fillId="0" borderId="0" applyFont="0" applyFill="0" applyBorder="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9" borderId="234" applyNumberFormat="0" applyProtection="0">
      <alignment horizontal="right" vertical="center"/>
    </xf>
    <xf numFmtId="4" fontId="56" fillId="61" borderId="238" applyNumberFormat="0" applyProtection="0">
      <alignment horizontal="left" vertical="center" indent="1"/>
    </xf>
    <xf numFmtId="4" fontId="56" fillId="56"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94" fontId="33" fillId="0" borderId="231" applyFill="0"/>
    <xf numFmtId="186" fontId="56" fillId="63" borderId="232" applyNumberFormat="0" applyProtection="0">
      <alignment horizontal="left" vertical="top" indent="1"/>
    </xf>
    <xf numFmtId="4" fontId="56" fillId="1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7" fillId="44" borderId="235" applyNumberFormat="0" applyAlignment="0" applyProtection="0"/>
    <xf numFmtId="186" fontId="56" fillId="11" borderId="234"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6" borderId="23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4" fontId="27" fillId="21" borderId="238" applyNumberFormat="0" applyProtection="0">
      <alignment horizontal="left" vertical="center" indent="1"/>
    </xf>
    <xf numFmtId="4" fontId="56" fillId="59" borderId="234" applyNumberFormat="0" applyProtection="0">
      <alignment horizontal="right" vertical="center"/>
    </xf>
    <xf numFmtId="4" fontId="56" fillId="23"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94" fontId="33" fillId="0" borderId="231" applyFill="0"/>
    <xf numFmtId="186" fontId="56" fillId="14"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0" fillId="41" borderId="234" applyNumberFormat="0" applyAlignment="0" applyProtection="0"/>
    <xf numFmtId="186" fontId="27" fillId="63" borderId="232" applyNumberFormat="0" applyProtection="0">
      <alignment horizontal="left" vertical="top" indent="1"/>
    </xf>
    <xf numFmtId="186" fontId="50" fillId="41" borderId="234" applyNumberFormat="0" applyAlignment="0" applyProtection="0"/>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56" fillId="5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4" borderId="232" applyNumberFormat="0" applyProtection="0">
      <alignment horizontal="left" vertical="top" indent="1"/>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56" fillId="0" borderId="234" applyNumberFormat="0" applyProtection="0">
      <alignment horizontal="right" vertical="center"/>
    </xf>
    <xf numFmtId="186" fontId="27" fillId="63" borderId="232" applyNumberFormat="0" applyProtection="0">
      <alignment horizontal="left" vertical="top" indent="1"/>
    </xf>
    <xf numFmtId="37" fontId="33" fillId="0" borderId="237" applyNumberFormat="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57" borderId="238" applyNumberFormat="0" applyProtection="0">
      <alignment horizontal="right" vertical="center"/>
    </xf>
    <xf numFmtId="186" fontId="42" fillId="44" borderId="234" applyNumberForma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0" borderId="234" applyNumberFormat="0" applyProtection="0">
      <alignment horizontal="right" vertical="center"/>
    </xf>
    <xf numFmtId="186" fontId="56" fillId="40" borderId="234" applyNumberFormat="0" applyFont="0" applyAlignment="0" applyProtection="0"/>
    <xf numFmtId="4" fontId="56" fillId="23" borderId="234" applyNumberFormat="0" applyProtection="0">
      <alignment horizontal="right" vertical="center"/>
    </xf>
    <xf numFmtId="4" fontId="56" fillId="23" borderId="234" applyNumberFormat="0" applyProtection="0">
      <alignment horizontal="right" vertical="center"/>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5" borderId="234" applyNumberFormat="0" applyProtection="0">
      <alignment horizontal="right" vertical="center"/>
    </xf>
    <xf numFmtId="186" fontId="56" fillId="14"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64" fontId="35" fillId="0" borderId="0" applyFont="0" applyFill="0" applyBorder="0" applyAlignment="0" applyProtection="0"/>
    <xf numFmtId="186" fontId="60" fillId="52"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6" borderId="234" applyNumberFormat="0" applyProtection="0">
      <alignment horizontal="right" vertical="center"/>
    </xf>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5" borderId="234" applyNumberFormat="0" applyProtection="0">
      <alignment horizontal="right" vertical="center"/>
    </xf>
    <xf numFmtId="4" fontId="56" fillId="56" borderId="234" applyNumberFormat="0" applyProtection="0">
      <alignment horizontal="right" vertical="center"/>
    </xf>
    <xf numFmtId="186" fontId="56" fillId="21" borderId="232" applyNumberFormat="0" applyProtection="0">
      <alignment horizontal="left" vertical="top" indent="1"/>
    </xf>
    <xf numFmtId="4" fontId="56" fillId="61" borderId="238" applyNumberFormat="0" applyProtection="0">
      <alignment horizontal="left" vertical="center" indent="1"/>
    </xf>
    <xf numFmtId="4" fontId="56" fillId="19" borderId="234" applyNumberFormat="0" applyProtection="0">
      <alignment horizontal="right" vertical="center"/>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48" borderId="232" applyNumberFormat="0" applyProtection="0">
      <alignment vertical="center"/>
    </xf>
    <xf numFmtId="4" fontId="63" fillId="66" borderId="238" applyNumberFormat="0" applyProtection="0">
      <alignment horizontal="left" vertical="center" indent="1"/>
    </xf>
    <xf numFmtId="186" fontId="56" fillId="15" borderId="232" applyNumberFormat="0" applyProtection="0">
      <alignment horizontal="left" vertical="top" indent="1"/>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23"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42" fillId="44" borderId="234" applyNumberFormat="0" applyAlignment="0" applyProtection="0"/>
    <xf numFmtId="4" fontId="56" fillId="56" borderId="234" applyNumberFormat="0" applyProtection="0">
      <alignment horizontal="right" vertical="center"/>
    </xf>
    <xf numFmtId="186" fontId="56" fillId="40" borderId="234" applyNumberFormat="0" applyFont="0" applyAlignment="0" applyProtection="0"/>
    <xf numFmtId="186" fontId="62" fillId="48" borderId="232" applyNumberFormat="0" applyProtection="0">
      <alignment horizontal="left" vertical="top" indent="1"/>
    </xf>
    <xf numFmtId="4" fontId="56" fillId="59" borderId="234" applyNumberFormat="0" applyProtection="0">
      <alignment horizontal="right" vertical="center"/>
    </xf>
    <xf numFmtId="4" fontId="27" fillId="21" borderId="238"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44" fillId="0" borderId="239" applyNumberFormat="0" applyFill="0" applyAlignment="0" applyProtection="0"/>
    <xf numFmtId="186" fontId="56" fillId="63" borderId="232" applyNumberFormat="0" applyProtection="0">
      <alignment horizontal="left" vertical="top" indent="1"/>
    </xf>
    <xf numFmtId="186" fontId="42" fillId="44" borderId="234" applyNumberFormat="0" applyAlignment="0" applyProtection="0"/>
    <xf numFmtId="4" fontId="56" fillId="0"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27" fillId="21" borderId="232" applyNumberFormat="0" applyProtection="0">
      <alignment horizontal="left" vertical="top" indent="1"/>
    </xf>
    <xf numFmtId="4" fontId="56" fillId="60" borderId="234" applyNumberFormat="0" applyProtection="0">
      <alignment horizontal="right" vertical="center"/>
    </xf>
    <xf numFmtId="186" fontId="60" fillId="52" borderId="232" applyNumberFormat="0" applyProtection="0">
      <alignment horizontal="left" vertical="top" indent="1"/>
    </xf>
    <xf numFmtId="186" fontId="61" fillId="21" borderId="236" applyBorder="0"/>
    <xf numFmtId="186" fontId="56" fillId="63" borderId="234" applyNumberFormat="0" applyProtection="0">
      <alignment horizontal="left" vertical="center" indent="1"/>
    </xf>
    <xf numFmtId="186" fontId="50" fillId="41" borderId="234" applyNumberFormat="0" applyAlignment="0" applyProtection="0"/>
    <xf numFmtId="4" fontId="62" fillId="11" borderId="232"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56" fillId="53" borderId="234" applyNumberFormat="0" applyProtection="0">
      <alignment horizontal="left" vertical="center" indent="1"/>
    </xf>
    <xf numFmtId="4" fontId="56" fillId="58" borderId="234" applyNumberFormat="0" applyProtection="0">
      <alignment horizontal="right" vertical="center"/>
    </xf>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44" fillId="0" borderId="239" applyNumberFormat="0" applyFill="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62" fillId="48" borderId="232" applyNumberFormat="0" applyProtection="0">
      <alignment horizontal="left" vertical="top" indent="1"/>
    </xf>
    <xf numFmtId="186" fontId="56" fillId="63" borderId="232" applyNumberFormat="0" applyProtection="0">
      <alignment horizontal="left" vertical="top" indent="1"/>
    </xf>
    <xf numFmtId="186" fontId="62" fillId="15"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94" fontId="33" fillId="0" borderId="231" applyFill="0"/>
    <xf numFmtId="4" fontId="56" fillId="60"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right" vertical="center"/>
    </xf>
    <xf numFmtId="4" fontId="56" fillId="60"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6" fillId="52" borderId="234" applyNumberFormat="0" applyProtection="0">
      <alignment vertical="center"/>
    </xf>
    <xf numFmtId="4" fontId="56" fillId="58" borderId="234" applyNumberFormat="0" applyProtection="0">
      <alignment horizontal="right" vertical="center"/>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58" borderId="234" applyNumberFormat="0" applyProtection="0">
      <alignment horizontal="right" vertical="center"/>
    </xf>
    <xf numFmtId="4" fontId="56" fillId="52" borderId="234" applyNumberFormat="0" applyProtection="0">
      <alignmen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57" borderId="238" applyNumberFormat="0" applyProtection="0">
      <alignment horizontal="right" vertical="center"/>
    </xf>
    <xf numFmtId="4" fontId="56" fillId="14" borderId="238" applyNumberFormat="0" applyProtection="0">
      <alignment horizontal="left" vertical="center" indent="1"/>
    </xf>
    <xf numFmtId="186" fontId="56" fillId="63"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4" fontId="56" fillId="52" borderId="234" applyNumberFormat="0" applyProtection="0">
      <alignment vertical="center"/>
    </xf>
    <xf numFmtId="186" fontId="27" fillId="21" borderId="232" applyNumberFormat="0" applyProtection="0">
      <alignment horizontal="left" vertical="center" indent="1"/>
    </xf>
    <xf numFmtId="186" fontId="56" fillId="14"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3"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9" borderId="234" applyNumberFormat="0" applyProtection="0">
      <alignment horizontal="right" vertical="center"/>
    </xf>
    <xf numFmtId="186" fontId="60" fillId="52" borderId="232" applyNumberFormat="0" applyProtection="0">
      <alignment horizontal="left" vertical="top" indent="1"/>
    </xf>
    <xf numFmtId="4" fontId="56" fillId="15" borderId="234" applyNumberFormat="0" applyProtection="0">
      <alignment horizontal="right" vertical="center"/>
    </xf>
    <xf numFmtId="4" fontId="56" fillId="19" borderId="234" applyNumberFormat="0" applyProtection="0">
      <alignment horizontal="right" vertical="center"/>
    </xf>
    <xf numFmtId="4" fontId="56" fillId="58"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9" fillId="65" borderId="234" applyNumberFormat="0" applyProtection="0">
      <alignment horizontal="right" vertical="center"/>
    </xf>
    <xf numFmtId="186" fontId="44" fillId="0" borderId="239" applyNumberFormat="0" applyFill="0" applyAlignment="0" applyProtection="0"/>
    <xf numFmtId="4" fontId="62" fillId="48" borderId="232" applyNumberFormat="0" applyProtection="0">
      <alignment vertical="center"/>
    </xf>
    <xf numFmtId="186" fontId="56" fillId="14" borderId="232" applyNumberFormat="0" applyProtection="0">
      <alignment horizontal="left" vertical="top" indent="1"/>
    </xf>
    <xf numFmtId="186" fontId="61" fillId="21" borderId="236" applyBorder="0"/>
    <xf numFmtId="4" fontId="56" fillId="0" borderId="234" applyNumberFormat="0" applyProtection="0">
      <alignment horizontal="right" vertical="center"/>
    </xf>
    <xf numFmtId="186" fontId="56" fillId="14" borderId="232" applyNumberFormat="0" applyProtection="0">
      <alignment horizontal="left" vertical="top" indent="1"/>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186" fontId="50" fillId="41" borderId="234" applyNumberFormat="0" applyAlignment="0" applyProtection="0"/>
    <xf numFmtId="186" fontId="56" fillId="63" borderId="232" applyNumberFormat="0" applyProtection="0">
      <alignment horizontal="left" vertical="top" indent="1"/>
    </xf>
    <xf numFmtId="186" fontId="50" fillId="41" borderId="234" applyNumberFormat="0" applyAlignment="0" applyProtection="0"/>
    <xf numFmtId="186" fontId="56" fillId="62" borderId="234" applyNumberFormat="0" applyProtection="0">
      <alignment horizontal="left" vertical="center"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19"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61" fillId="21" borderId="236" applyBorder="0"/>
    <xf numFmtId="4" fontId="56" fillId="57" borderId="238" applyNumberFormat="0" applyProtection="0">
      <alignment horizontal="right" vertical="center"/>
    </xf>
    <xf numFmtId="186" fontId="56" fillId="14" borderId="232" applyNumberFormat="0" applyProtection="0">
      <alignment horizontal="left" vertical="top" indent="1"/>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9" fillId="65"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4" fontId="56" fillId="58"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56" fillId="15" borderId="232" applyNumberFormat="0" applyProtection="0">
      <alignment horizontal="left" vertical="top"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27" fillId="63" borderId="232"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4" fontId="59" fillId="65" borderId="234" applyNumberFormat="0" applyProtection="0">
      <alignment horizontal="right" vertical="center"/>
    </xf>
    <xf numFmtId="186" fontId="27" fillId="14" borderId="232" applyNumberFormat="0" applyProtection="0">
      <alignment horizontal="left" vertical="top" indent="1"/>
    </xf>
    <xf numFmtId="186" fontId="56" fillId="15" borderId="232" applyNumberFormat="0" applyProtection="0">
      <alignment horizontal="left" vertical="top" indent="1"/>
    </xf>
    <xf numFmtId="4" fontId="56" fillId="61" borderId="238" applyNumberFormat="0" applyProtection="0">
      <alignment horizontal="left" vertical="center" indent="1"/>
    </xf>
    <xf numFmtId="4" fontId="56" fillId="57" borderId="238" applyNumberFormat="0" applyProtection="0">
      <alignment horizontal="right" vertical="center"/>
    </xf>
    <xf numFmtId="4" fontId="62" fillId="11" borderId="232" applyNumberFormat="0" applyProtection="0">
      <alignment horizontal="left" vertical="center" indent="1"/>
    </xf>
    <xf numFmtId="186" fontId="44" fillId="0" borderId="239" applyNumberFormat="0" applyFill="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62" fillId="48" borderId="232" applyNumberFormat="0" applyProtection="0">
      <alignment horizontal="left" vertical="top" indent="1"/>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4" fontId="27" fillId="21" borderId="238" applyNumberFormat="0" applyProtection="0">
      <alignment horizontal="left" vertical="center" indent="1"/>
    </xf>
    <xf numFmtId="4" fontId="56" fillId="19" borderId="234" applyNumberFormat="0" applyProtection="0">
      <alignment horizontal="right" vertical="center"/>
    </xf>
    <xf numFmtId="186" fontId="56" fillId="40" borderId="234" applyNumberFormat="0" applyFont="0" applyAlignment="0" applyProtection="0"/>
    <xf numFmtId="4" fontId="56" fillId="52" borderId="234" applyNumberFormat="0" applyProtection="0">
      <alignmen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194" fontId="33" fillId="0" borderId="231" applyFill="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3" borderId="234" applyNumberFormat="0" applyProtection="0">
      <alignment horizontal="left" vertical="center" indent="1"/>
    </xf>
    <xf numFmtId="4" fontId="59" fillId="65" borderId="234" applyNumberFormat="0" applyProtection="0">
      <alignment horizontal="right" vertical="center"/>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64" fillId="64" borderId="234" applyNumberFormat="0" applyProtection="0">
      <alignment horizontal="right" vertical="center"/>
    </xf>
    <xf numFmtId="4" fontId="62" fillId="11" borderId="232" applyNumberFormat="0" applyProtection="0">
      <alignment horizontal="left" vertical="center"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14" borderId="232" applyNumberFormat="0" applyProtection="0">
      <alignment horizontal="left" vertical="top" indent="1"/>
    </xf>
    <xf numFmtId="4" fontId="27" fillId="21" borderId="238" applyNumberFormat="0" applyProtection="0">
      <alignment horizontal="left" vertical="center" indent="1"/>
    </xf>
    <xf numFmtId="186" fontId="27" fillId="21" borderId="232" applyNumberFormat="0" applyProtection="0">
      <alignment horizontal="left" vertical="top" indent="1"/>
    </xf>
    <xf numFmtId="4" fontId="56" fillId="57" borderId="238" applyNumberFormat="0" applyProtection="0">
      <alignment horizontal="right" vertical="center"/>
    </xf>
    <xf numFmtId="186" fontId="56" fillId="11" borderId="234" applyNumberFormat="0" applyProtection="0">
      <alignment horizontal="left" vertical="center" indent="1"/>
    </xf>
    <xf numFmtId="4" fontId="56" fillId="53"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4" fontId="56" fillId="0"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60" fillId="52" borderId="232" applyNumberFormat="0" applyProtection="0">
      <alignment horizontal="left" vertical="top" indent="1"/>
    </xf>
    <xf numFmtId="186" fontId="56" fillId="40" borderId="234" applyNumberFormat="0" applyFont="0" applyAlignment="0" applyProtection="0"/>
    <xf numFmtId="186" fontId="56" fillId="14" borderId="234"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234" applyNumberFormat="0" applyAlignment="0" applyProtection="0"/>
    <xf numFmtId="4" fontId="59" fillId="65" borderId="234" applyNumberFormat="0" applyProtection="0">
      <alignment horizontal="right" vertical="center"/>
    </xf>
    <xf numFmtId="186" fontId="50" fillId="41" borderId="234" applyNumberFormat="0" applyAlignment="0" applyProtection="0"/>
    <xf numFmtId="164" fontId="35" fillId="0" borderId="0" applyFont="0" applyFill="0" applyBorder="0" applyAlignment="0" applyProtection="0"/>
    <xf numFmtId="186" fontId="42" fillId="44" borderId="234" applyNumberFormat="0" applyAlignment="0" applyProtection="0"/>
    <xf numFmtId="4" fontId="56" fillId="53" borderId="234" applyNumberFormat="0" applyProtection="0">
      <alignment horizontal="left" vertical="center" indent="1"/>
    </xf>
    <xf numFmtId="186" fontId="50" fillId="41" borderId="234" applyNumberFormat="0" applyAlignment="0" applyProtection="0"/>
    <xf numFmtId="4" fontId="56" fillId="54" borderId="234" applyNumberFormat="0" applyProtection="0">
      <alignment horizontal="left" vertical="center" indent="1"/>
    </xf>
    <xf numFmtId="4" fontId="56" fillId="19" borderId="234" applyNumberFormat="0" applyProtection="0">
      <alignment horizontal="right" vertical="center"/>
    </xf>
    <xf numFmtId="164" fontId="35" fillId="0" borderId="0" applyFont="0" applyFill="0" applyBorder="0" applyAlignment="0" applyProtection="0"/>
    <xf numFmtId="4" fontId="64" fillId="64" borderId="234" applyNumberFormat="0" applyProtection="0">
      <alignment horizontal="right" vertical="center"/>
    </xf>
    <xf numFmtId="4" fontId="56" fillId="23" borderId="234" applyNumberFormat="0" applyProtection="0">
      <alignment horizontal="right" vertical="center"/>
    </xf>
    <xf numFmtId="164" fontId="5" fillId="0" borderId="0" applyFont="0" applyFill="0" applyBorder="0" applyAlignment="0" applyProtection="0"/>
    <xf numFmtId="0" fontId="3" fillId="0" borderId="0"/>
    <xf numFmtId="0" fontId="3" fillId="103" borderId="165"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6" fontId="42" fillId="44" borderId="23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34" applyNumberFormat="0" applyAlignment="0" applyProtection="0"/>
    <xf numFmtId="186" fontId="56" fillId="40" borderId="234" applyNumberFormat="0" applyFont="0" applyAlignment="0" applyProtection="0"/>
    <xf numFmtId="0" fontId="3" fillId="0" borderId="0"/>
    <xf numFmtId="164" fontId="5" fillId="0" borderId="0" applyFont="0" applyFill="0" applyBorder="0" applyAlignment="0" applyProtection="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60" fillId="52" borderId="232" applyNumberFormat="0" applyProtection="0">
      <alignment horizontal="left" vertical="top" indent="1"/>
    </xf>
    <xf numFmtId="186" fontId="57" fillId="44" borderId="235" applyNumberFormat="0" applyAlignment="0" applyProtection="0"/>
    <xf numFmtId="186" fontId="57" fillId="44" borderId="235" applyNumberForma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94" fontId="33" fillId="0" borderId="231" applyFill="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186" fontId="62" fillId="15"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1" applyFill="0"/>
    <xf numFmtId="164" fontId="5" fillId="0" borderId="0" applyFont="0" applyFill="0" applyBorder="0" applyAlignment="0" applyProtection="0"/>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3" borderId="234" applyNumberFormat="0" applyProtection="0">
      <alignment horizontal="left" vertical="center" indent="1"/>
    </xf>
    <xf numFmtId="186" fontId="61" fillId="21"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6" fillId="63"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4"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64" fillId="64" borderId="234" applyNumberFormat="0" applyProtection="0">
      <alignment horizontal="right" vertical="center"/>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14" borderId="234"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1" applyNumberFormat="0" applyProtection="0">
      <alignment horizontal="left" vertical="top" indent="1"/>
    </xf>
    <xf numFmtId="37" fontId="33" fillId="0" borderId="247" applyNumberFormat="0"/>
    <xf numFmtId="186" fontId="56" fillId="40" borderId="263" applyNumberFormat="0" applyFont="0" applyAlignment="0" applyProtection="0"/>
    <xf numFmtId="186" fontId="56" fillId="40" borderId="263" applyNumberFormat="0" applyFont="0" applyAlignment="0" applyProtection="0"/>
    <xf numFmtId="4" fontId="56" fillId="59" borderId="253" applyNumberFormat="0" applyProtection="0">
      <alignment horizontal="right" vertical="center"/>
    </xf>
    <xf numFmtId="186" fontId="56" fillId="21" borderId="261"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91" fontId="28" fillId="50" borderId="197">
      <alignment vertical="center"/>
    </xf>
    <xf numFmtId="186" fontId="62" fillId="15" borderId="252" applyNumberFormat="0" applyProtection="0">
      <alignment horizontal="left" vertical="top"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7" fillId="44" borderId="225" applyNumberFormat="0" applyAlignment="0" applyProtection="0"/>
    <xf numFmtId="4" fontId="27" fillId="21" borderId="228" applyNumberFormat="0" applyProtection="0">
      <alignment horizontal="left" vertical="center" indent="1"/>
    </xf>
    <xf numFmtId="4" fontId="56" fillId="54" borderId="242" applyNumberFormat="0" applyProtection="0">
      <alignment horizontal="left" vertical="center" indent="1"/>
    </xf>
    <xf numFmtId="186" fontId="56" fillId="62" borderId="263" applyNumberFormat="0" applyProtection="0">
      <alignment horizontal="left" vertical="center" indent="1"/>
    </xf>
    <xf numFmtId="164" fontId="5" fillId="0" borderId="0" applyFont="0" applyFill="0" applyBorder="0" applyAlignment="0" applyProtection="0"/>
    <xf numFmtId="186" fontId="56" fillId="63" borderId="261" applyNumberFormat="0" applyProtection="0">
      <alignment horizontal="left" vertical="top" indent="1"/>
    </xf>
    <xf numFmtId="164" fontId="34" fillId="0" borderId="0" applyFont="0" applyFill="0" applyBorder="0" applyAlignment="0" applyProtection="0"/>
    <xf numFmtId="186" fontId="56" fillId="63" borderId="263" applyNumberFormat="0" applyProtection="0">
      <alignment horizontal="left" vertical="center" indent="1"/>
    </xf>
    <xf numFmtId="37" fontId="33" fillId="0" borderId="266" applyNumberFormat="0"/>
    <xf numFmtId="186" fontId="56" fillId="63" borderId="244" applyNumberFormat="0" applyProtection="0">
      <alignment horizontal="left" vertical="top" indent="1"/>
    </xf>
    <xf numFmtId="193" fontId="5" fillId="69" borderId="8">
      <alignmen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1" fontId="5" fillId="13" borderId="249">
      <alignment vertical="center"/>
    </xf>
    <xf numFmtId="186" fontId="56" fillId="40" borderId="253" applyNumberFormat="0" applyFont="0" applyAlignment="0" applyProtection="0"/>
    <xf numFmtId="4" fontId="56" fillId="61" borderId="257"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0" fontId="27" fillId="63" borderId="261" applyNumberFormat="0" applyProtection="0">
      <alignment horizontal="left" vertical="top" indent="1"/>
    </xf>
    <xf numFmtId="4" fontId="59" fillId="53" borderId="263" applyNumberFormat="0" applyProtection="0">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8" fillId="12" borderId="259">
      <alignment vertical="center"/>
      <protection locked="0"/>
    </xf>
    <xf numFmtId="188" fontId="5" fillId="70" borderId="249">
      <alignment horizontal="right" vertical="center"/>
      <protection locked="0"/>
    </xf>
    <xf numFmtId="186" fontId="42" fillId="44" borderId="253" applyNumberFormat="0" applyAlignment="0" applyProtection="0"/>
    <xf numFmtId="0" fontId="37" fillId="48" borderId="261" applyNumberFormat="0" applyProtection="0">
      <alignment horizontal="left" vertical="top" indent="1"/>
    </xf>
    <xf numFmtId="194" fontId="33" fillId="0" borderId="260" applyFill="0"/>
    <xf numFmtId="186" fontId="56" fillId="14" borderId="252" applyNumberFormat="0" applyProtection="0">
      <alignment horizontal="left" vertical="top" indent="1"/>
    </xf>
    <xf numFmtId="4" fontId="56" fillId="57" borderId="257" applyNumberFormat="0" applyProtection="0">
      <alignment horizontal="right" vertical="center"/>
    </xf>
    <xf numFmtId="4" fontId="72" fillId="81" borderId="252" applyNumberFormat="0" applyProtection="0">
      <alignment horizontal="right" vertical="center"/>
    </xf>
    <xf numFmtId="186" fontId="27"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4" borderId="252" applyNumberFormat="0" applyProtection="0">
      <alignment horizontal="left" vertical="top" indent="1"/>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193" fontId="28" fillId="12" borderId="249">
      <alignment vertical="center"/>
      <protection locked="0"/>
    </xf>
    <xf numFmtId="186" fontId="56" fillId="14" borderId="261" applyNumberFormat="0" applyProtection="0">
      <alignment horizontal="left" vertical="top" indent="1"/>
    </xf>
    <xf numFmtId="4" fontId="63" fillId="66" borderId="257" applyNumberFormat="0" applyProtection="0">
      <alignment horizontal="left" vertical="center"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191" fontId="5" fillId="69" borderId="8">
      <alignment vertical="center"/>
    </xf>
    <xf numFmtId="186" fontId="27" fillId="15" borderId="261" applyNumberFormat="0" applyProtection="0">
      <alignment horizontal="left" vertical="top" indent="1"/>
    </xf>
    <xf numFmtId="186" fontId="27" fillId="14" borderId="261"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186" fontId="44" fillId="0" borderId="268" applyNumberFormat="0" applyFill="0" applyAlignment="0" applyProtection="0"/>
    <xf numFmtId="186" fontId="61" fillId="21" borderId="265" applyBorder="0"/>
    <xf numFmtId="191" fontId="28" fillId="51" borderId="269">
      <alignment horizontal="right" vertical="center"/>
      <protection locked="0"/>
    </xf>
    <xf numFmtId="186" fontId="56" fillId="67" borderId="8"/>
    <xf numFmtId="193" fontId="5" fillId="69" borderId="8">
      <alignment vertical="center"/>
    </xf>
    <xf numFmtId="186" fontId="56" fillId="15" borderId="261" applyNumberFormat="0" applyProtection="0">
      <alignment horizontal="left" vertical="top" indent="1"/>
    </xf>
    <xf numFmtId="4" fontId="56" fillId="15" borderId="263"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1" applyNumberFormat="0" applyProtection="0">
      <alignment horizontal="left" vertical="top" indent="1"/>
    </xf>
    <xf numFmtId="186" fontId="42" fillId="44" borderId="263" applyNumberFormat="0" applyAlignment="0" applyProtection="0"/>
    <xf numFmtId="186" fontId="56" fillId="14" borderId="252" applyNumberFormat="0" applyProtection="0">
      <alignment horizontal="left" vertical="top" indent="1"/>
    </xf>
    <xf numFmtId="193" fontId="5" fillId="7" borderId="8">
      <alignment vertical="center"/>
      <protection locked="0"/>
    </xf>
    <xf numFmtId="186" fontId="56" fillId="14" borderId="252"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3" applyNumberFormat="0" applyFont="0" applyAlignment="0" applyProtection="0"/>
    <xf numFmtId="186" fontId="56" fillId="11" borderId="263"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0" fontId="5" fillId="70" borderId="8">
      <alignment horizontal="right" vertical="center"/>
      <protection locked="0"/>
    </xf>
    <xf numFmtId="186" fontId="56" fillId="40"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1" borderId="245"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90" fontId="28" fillId="51" borderId="8">
      <alignment horizontal="right" vertical="center"/>
      <protection locked="0"/>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7" borderId="8">
      <alignment vertical="center"/>
      <protection locked="0"/>
    </xf>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4" fontId="56" fillId="52" borderId="263" applyNumberFormat="0" applyProtection="0">
      <alignment vertical="center"/>
    </xf>
    <xf numFmtId="186" fontId="56" fillId="14" borderId="261" applyNumberFormat="0" applyProtection="0">
      <alignment horizontal="left" vertical="top" indent="1"/>
    </xf>
    <xf numFmtId="4" fontId="56" fillId="59" borderId="263" applyNumberFormat="0" applyProtection="0">
      <alignment horizontal="right" vertical="center"/>
    </xf>
    <xf numFmtId="4" fontId="64" fillId="64" borderId="263" applyNumberFormat="0" applyProtection="0">
      <alignment horizontal="right" vertical="center"/>
    </xf>
    <xf numFmtId="186" fontId="42" fillId="44" borderId="263" applyNumberFormat="0" applyAlignment="0" applyProtection="0"/>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59" borderId="263" applyNumberFormat="0" applyProtection="0">
      <alignment horizontal="right" vertical="center"/>
    </xf>
    <xf numFmtId="186" fontId="56" fillId="62"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2" borderId="263" applyNumberFormat="0" applyProtection="0">
      <alignmen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16"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42" applyNumberFormat="0" applyAlignment="0" applyProtection="0"/>
    <xf numFmtId="4" fontId="76" fillId="87" borderId="244" applyNumberFormat="0" applyProtection="0">
      <alignment horizontal="right" vertical="center"/>
    </xf>
    <xf numFmtId="0" fontId="37" fillId="15" borderId="244" applyNumberFormat="0" applyProtection="0">
      <alignment horizontal="left" vertical="top" indent="1"/>
    </xf>
    <xf numFmtId="4" fontId="74" fillId="87" borderId="244" applyNumberFormat="0" applyProtection="0">
      <alignment horizontal="right" vertical="center"/>
    </xf>
    <xf numFmtId="0" fontId="37" fillId="48" borderId="244" applyNumberFormat="0" applyProtection="0">
      <alignment horizontal="left" vertical="top" indent="1"/>
    </xf>
    <xf numFmtId="4" fontId="72" fillId="87" borderId="244" applyNumberFormat="0" applyProtection="0">
      <alignment vertical="center"/>
    </xf>
    <xf numFmtId="0" fontId="27" fillId="14" borderId="244" applyNumberFormat="0" applyProtection="0">
      <alignment horizontal="left" vertical="top" indent="1"/>
    </xf>
    <xf numFmtId="0" fontId="27" fillId="63" borderId="244" applyNumberFormat="0" applyProtection="0">
      <alignment horizontal="left" vertical="top" indent="1"/>
    </xf>
    <xf numFmtId="0" fontId="27" fillId="15" borderId="244" applyNumberFormat="0" applyProtection="0">
      <alignment horizontal="left" vertical="top" indent="1"/>
    </xf>
    <xf numFmtId="0" fontId="27"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0" fontId="5" fillId="7" borderId="8">
      <alignment vertical="center"/>
      <protection locked="0"/>
    </xf>
    <xf numFmtId="4" fontId="72" fillId="83" borderId="244" applyNumberFormat="0" applyProtection="0">
      <alignment horizontal="right" vertical="center"/>
    </xf>
    <xf numFmtId="4" fontId="72" fillId="81" borderId="244" applyNumberFormat="0" applyProtection="0">
      <alignment horizontal="right" vertical="center"/>
    </xf>
    <xf numFmtId="4" fontId="72" fillId="80" borderId="244" applyNumberFormat="0" applyProtection="0">
      <alignment horizontal="right" vertical="center"/>
    </xf>
    <xf numFmtId="4" fontId="72" fillId="78" borderId="244" applyNumberFormat="0" applyProtection="0">
      <alignment horizontal="right" vertical="center"/>
    </xf>
    <xf numFmtId="0" fontId="73" fillId="52" borderId="244" applyNumberFormat="0" applyProtection="0">
      <alignment horizontal="left" vertical="top" indent="1"/>
    </xf>
    <xf numFmtId="4" fontId="71" fillId="53" borderId="244" applyNumberFormat="0" applyProtection="0">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72" fillId="79" borderId="261" applyNumberFormat="0" applyProtection="0">
      <alignment horizontal="right" vertical="center"/>
    </xf>
    <xf numFmtId="186" fontId="57" fillId="44" borderId="264" applyNumberFormat="0" applyAlignment="0" applyProtection="0"/>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61" fillId="21" borderId="265" applyBorder="0"/>
    <xf numFmtId="4" fontId="62" fillId="11" borderId="252" applyNumberFormat="0" applyProtection="0">
      <alignment horizontal="left" vertical="center" indent="1"/>
    </xf>
    <xf numFmtId="191" fontId="28" fillId="49" borderId="259">
      <alignment vertical="center"/>
    </xf>
    <xf numFmtId="186" fontId="56" fillId="40" borderId="263" applyNumberFormat="0" applyFont="0" applyAlignment="0" applyProtection="0"/>
    <xf numFmtId="186" fontId="28" fillId="50" borderId="259">
      <alignment vertical="center"/>
    </xf>
    <xf numFmtId="186" fontId="27" fillId="21" borderId="222"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28" fillId="12" borderId="269">
      <alignment vertical="center"/>
      <protection locked="0"/>
    </xf>
    <xf numFmtId="186" fontId="61" fillId="21" borderId="265" applyBorder="0"/>
    <xf numFmtId="164" fontId="39" fillId="0" borderId="0" applyFont="0" applyFill="0" applyBorder="0" applyAlignment="0" applyProtection="0"/>
    <xf numFmtId="188" fontId="5" fillId="69" borderId="259">
      <alignment vertical="center"/>
    </xf>
    <xf numFmtId="4" fontId="56" fillId="15" borderId="257" applyNumberFormat="0" applyProtection="0">
      <alignment horizontal="left" vertical="center" indent="1"/>
    </xf>
    <xf numFmtId="186" fontId="27" fillId="14" borderId="252" applyNumberFormat="0" applyProtection="0">
      <alignment horizontal="left" vertical="top" indent="1"/>
    </xf>
    <xf numFmtId="37" fontId="33" fillId="0" borderId="266"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2" borderId="259">
      <alignment vertical="center"/>
      <protection locked="0"/>
    </xf>
    <xf numFmtId="0" fontId="5" fillId="7" borderId="259">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69" borderId="259">
      <alignment vertical="center"/>
    </xf>
    <xf numFmtId="193" fontId="5" fillId="69" borderId="259">
      <alignment vertical="center"/>
    </xf>
    <xf numFmtId="196" fontId="5" fillId="13" borderId="259">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4" borderId="25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7" borderId="252" applyNumberFormat="0" applyProtection="0">
      <alignment horizontal="right" vertical="center"/>
    </xf>
    <xf numFmtId="4" fontId="72" fillId="78" borderId="252" applyNumberFormat="0" applyProtection="0">
      <alignment horizontal="right" vertical="center"/>
    </xf>
    <xf numFmtId="188" fontId="5" fillId="13" borderId="259">
      <alignment vertical="center"/>
    </xf>
    <xf numFmtId="186" fontId="56" fillId="15" borderId="261" applyNumberFormat="0" applyProtection="0">
      <alignment horizontal="left" vertical="top" indent="1"/>
    </xf>
    <xf numFmtId="186" fontId="50" fillId="41" borderId="253" applyNumberForma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5" borderId="252" applyNumberFormat="0" applyProtection="0">
      <alignment horizontal="left" vertical="top" indent="1"/>
    </xf>
    <xf numFmtId="4" fontId="56" fillId="57" borderId="257" applyNumberFormat="0" applyProtection="0">
      <alignment horizontal="right" vertical="center"/>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3" applyNumberFormat="0" applyFont="0" applyAlignment="0" applyProtection="0"/>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7" fillId="15" borderId="261"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16"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60" borderId="263" applyNumberFormat="0" applyProtection="0">
      <alignment horizontal="right" vertical="center"/>
    </xf>
    <xf numFmtId="186" fontId="56" fillId="14"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57" borderId="267"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top" indent="1"/>
    </xf>
    <xf numFmtId="4" fontId="72" fillId="86" borderId="261" applyNumberFormat="0" applyProtection="0">
      <alignment horizontal="right" vertical="center"/>
    </xf>
    <xf numFmtId="172" fontId="5" fillId="7" borderId="8">
      <alignment vertical="center"/>
      <protection locked="0"/>
    </xf>
    <xf numFmtId="4" fontId="56" fillId="5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4" borderId="261" applyNumberFormat="0" applyProtection="0">
      <alignment horizontal="left" vertical="top" indent="1"/>
    </xf>
    <xf numFmtId="186" fontId="27" fillId="15"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4" fontId="56" fillId="0" borderId="263" applyNumberFormat="0" applyProtection="0">
      <alignment horizontal="right" vertical="center"/>
    </xf>
    <xf numFmtId="186" fontId="27" fillId="14"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4" fontId="56" fillId="16" borderId="263" applyNumberFormat="0" applyProtection="0">
      <alignment horizontal="right" vertical="center"/>
    </xf>
    <xf numFmtId="186" fontId="60" fillId="52" borderId="261"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0" borderId="263" applyNumberFormat="0" applyProtection="0">
      <alignment horizontal="right" vertical="center"/>
    </xf>
    <xf numFmtId="186" fontId="56" fillId="14" borderId="263"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4" fontId="56" fillId="15" borderId="26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15" borderId="263" applyNumberFormat="0" applyProtection="0">
      <alignment horizontal="right" vertical="center"/>
    </xf>
    <xf numFmtId="4" fontId="56" fillId="54" borderId="263" applyNumberFormat="0" applyProtection="0">
      <alignment horizontal="left" vertical="center" indent="1"/>
    </xf>
    <xf numFmtId="186" fontId="42" fillId="44" borderId="263" applyNumberFormat="0" applyAlignment="0" applyProtection="0"/>
    <xf numFmtId="186" fontId="56" fillId="21" borderId="261" applyNumberFormat="0" applyProtection="0">
      <alignment horizontal="left" vertical="top" indent="1"/>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4" fontId="56" fillId="55"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4" borderId="267" applyNumberFormat="0" applyProtection="0">
      <alignment horizontal="left" vertical="center" indent="1"/>
    </xf>
    <xf numFmtId="4" fontId="62" fillId="11" borderId="261" applyNumberFormat="0" applyProtection="0">
      <alignment horizontal="left" vertical="center" indent="1"/>
    </xf>
    <xf numFmtId="186" fontId="44" fillId="0" borderId="268" applyNumberFormat="0" applyFill="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1" borderId="244" applyNumberFormat="0" applyProtection="0">
      <alignment horizontal="left" vertical="top" indent="1"/>
    </xf>
    <xf numFmtId="37" fontId="33" fillId="0" borderId="247" applyNumberFormat="0"/>
    <xf numFmtId="186" fontId="27" fillId="21" borderId="244" applyNumberFormat="0" applyProtection="0">
      <alignment horizontal="left" vertical="top" indent="1"/>
    </xf>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40" borderId="242"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6" borderId="245" applyNumberFormat="0" applyProtection="0">
      <alignment horizontal="left" vertical="center" indent="1"/>
    </xf>
    <xf numFmtId="186" fontId="62" fillId="15" borderId="244" applyNumberFormat="0" applyProtection="0">
      <alignment horizontal="left" vertical="top" indent="1"/>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57" borderId="245" applyNumberFormat="0" applyProtection="0">
      <alignment horizontal="right" vertical="center"/>
    </xf>
    <xf numFmtId="186" fontId="60" fillId="52"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3" applyNumberFormat="0" applyProtection="0">
      <alignment horizontal="right" vertical="center"/>
    </xf>
    <xf numFmtId="4" fontId="56" fillId="56"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7" fillId="44" borderId="264" applyNumberFormat="0" applyAlignment="0" applyProtection="0"/>
    <xf numFmtId="4" fontId="56" fillId="54" borderId="263" applyNumberFormat="0" applyProtection="0">
      <alignment horizontal="left" vertical="center"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27" fillId="21"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56" fillId="11" borderId="263" applyNumberFormat="0" applyProtection="0">
      <alignment horizontal="left" vertical="center"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4" fontId="56" fillId="52" borderId="263" applyNumberFormat="0" applyProtection="0">
      <alignmen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4" fontId="56" fillId="53" borderId="263"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4" fontId="56" fillId="55"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2" fillId="44" borderId="242" applyNumberFormat="0" applyAlignment="0" applyProtection="0"/>
    <xf numFmtId="186" fontId="42" fillId="44" borderId="242"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4" fontId="59" fillId="53" borderId="263" applyNumberFormat="0" applyProtection="0">
      <alignment vertical="center"/>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27" fillId="63" borderId="244" applyNumberFormat="0" applyProtection="0">
      <alignment horizontal="left" vertical="top" indent="1"/>
    </xf>
    <xf numFmtId="4" fontId="59" fillId="65" borderId="263" applyNumberFormat="0" applyProtection="0">
      <alignment horizontal="right" vertical="center"/>
    </xf>
    <xf numFmtId="186" fontId="56" fillId="21"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14" borderId="253" applyNumberFormat="0" applyProtection="0">
      <alignment horizontal="left" vertical="center" indent="1"/>
    </xf>
    <xf numFmtId="4" fontId="72" fillId="84" borderId="261" applyNumberFormat="0" applyProtection="0">
      <alignment horizontal="right" vertical="center"/>
    </xf>
    <xf numFmtId="186" fontId="56" fillId="14" borderId="261" applyNumberFormat="0" applyProtection="0">
      <alignment horizontal="left" vertical="top" indent="1"/>
    </xf>
    <xf numFmtId="37" fontId="33" fillId="0" borderId="266" applyNumberFormat="0"/>
    <xf numFmtId="186" fontId="56" fillId="14" borderId="252" applyNumberFormat="0" applyProtection="0">
      <alignment horizontal="left" vertical="top" indent="1"/>
    </xf>
    <xf numFmtId="186" fontId="56" fillId="62"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4" borderId="263" applyNumberFormat="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3" fillId="0" borderId="0"/>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9" fillId="53" borderId="242" applyNumberFormat="0" applyProtection="0">
      <alignment vertical="center"/>
    </xf>
    <xf numFmtId="4" fontId="56" fillId="52" borderId="242" applyNumberFormat="0" applyProtection="0">
      <alignment vertical="center"/>
    </xf>
    <xf numFmtId="186" fontId="27" fillId="15" borderId="252" applyNumberFormat="0" applyProtection="0">
      <alignment horizontal="left" vertical="top" indent="1"/>
    </xf>
    <xf numFmtId="4" fontId="56" fillId="16" borderId="253" applyNumberFormat="0" applyProtection="0">
      <alignment horizontal="right" vertical="center"/>
    </xf>
    <xf numFmtId="4" fontId="71" fillId="53" borderId="261" applyNumberFormat="0" applyProtection="0">
      <alignment vertical="center"/>
    </xf>
    <xf numFmtId="4" fontId="74" fillId="87" borderId="261" applyNumberFormat="0" applyProtection="0">
      <alignment horizontal="righ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3" applyNumberFormat="0" applyProtection="0">
      <alignment horizontal="left" vertical="center" indent="1"/>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27" fillId="63" borderId="261" applyNumberFormat="0" applyProtection="0">
      <alignment horizontal="left" vertical="top" indent="1"/>
    </xf>
    <xf numFmtId="4" fontId="56" fillId="57" borderId="257" applyNumberFormat="0" applyProtection="0">
      <alignment horizontal="right" vertical="center"/>
    </xf>
    <xf numFmtId="186" fontId="62" fillId="15" borderId="261" applyNumberFormat="0" applyProtection="0">
      <alignment horizontal="left" vertical="top" indent="1"/>
    </xf>
    <xf numFmtId="186" fontId="27" fillId="63"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72" fontId="5" fillId="7" borderId="259">
      <alignment vertical="center"/>
      <protection locked="0"/>
    </xf>
    <xf numFmtId="188" fontId="5" fillId="70" borderId="259">
      <alignment horizontal="right" vertical="center"/>
      <protection locked="0"/>
    </xf>
    <xf numFmtId="190" fontId="5" fillId="69" borderId="259">
      <alignment vertical="center"/>
    </xf>
    <xf numFmtId="193" fontId="5" fillId="7" borderId="259">
      <alignment vertical="center"/>
      <protection locked="0"/>
    </xf>
    <xf numFmtId="0" fontId="27" fillId="14" borderId="252"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4" fontId="72" fillId="83" borderId="252" applyNumberFormat="0" applyProtection="0">
      <alignment horizontal="right" vertical="center"/>
    </xf>
    <xf numFmtId="186" fontId="56" fillId="11" borderId="263"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61" borderId="257" applyNumberFormat="0" applyProtection="0">
      <alignment horizontal="left" vertical="center" indent="1"/>
    </xf>
    <xf numFmtId="4" fontId="56" fillId="52" borderId="253" applyNumberFormat="0" applyProtection="0">
      <alignment vertical="center"/>
    </xf>
    <xf numFmtId="186" fontId="56" fillId="63" borderId="253"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62" fillId="48" borderId="261" applyNumberFormat="0" applyProtection="0">
      <alignmen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40" borderId="263" applyNumberFormat="0" applyFont="0" applyAlignment="0" applyProtection="0"/>
    <xf numFmtId="4" fontId="56" fillId="61" borderId="267"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186" fontId="42" fillId="44" borderId="242" applyNumberFormat="0" applyAlignment="0" applyProtection="0"/>
    <xf numFmtId="186" fontId="56" fillId="14" borderId="253" applyNumberFormat="0" applyProtection="0">
      <alignment horizontal="left" vertical="center" indent="1"/>
    </xf>
    <xf numFmtId="191" fontId="5" fillId="7" borderId="8">
      <alignment vertical="center"/>
      <protection locked="0"/>
    </xf>
    <xf numFmtId="4" fontId="56" fillId="14" borderId="267" applyNumberFormat="0" applyProtection="0">
      <alignment horizontal="left" vertical="center" indent="1"/>
    </xf>
    <xf numFmtId="4" fontId="64" fillId="64" borderId="242" applyNumberFormat="0" applyProtection="0">
      <alignment horizontal="right" vertical="center"/>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48" borderId="244" applyNumberFormat="0" applyProtection="0">
      <alignment vertical="center"/>
    </xf>
    <xf numFmtId="186" fontId="61" fillId="21" borderId="246" applyBorder="0"/>
    <xf numFmtId="4" fontId="56" fillId="59" borderId="242" applyNumberFormat="0" applyProtection="0">
      <alignment horizontal="right" vertical="center"/>
    </xf>
    <xf numFmtId="186" fontId="27" fillId="21" borderId="244"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14" borderId="261" applyNumberFormat="0" applyProtection="0">
      <alignment horizontal="left" vertical="top" indent="1"/>
    </xf>
    <xf numFmtId="4" fontId="56" fillId="23"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4" fontId="27" fillId="21" borderId="267" applyNumberFormat="0" applyProtection="0">
      <alignment horizontal="left" vertical="center" indent="1"/>
    </xf>
    <xf numFmtId="4" fontId="56" fillId="14" borderId="257" applyNumberFormat="0" applyProtection="0">
      <alignment horizontal="left" vertical="center" indent="1"/>
    </xf>
    <xf numFmtId="186" fontId="44" fillId="0" borderId="268" applyNumberFormat="0" applyFill="0" applyAlignment="0" applyProtection="0"/>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8" borderId="263" applyNumberFormat="0" applyProtection="0">
      <alignment horizontal="right" vertical="center"/>
    </xf>
    <xf numFmtId="191" fontId="5" fillId="13" borderId="259">
      <alignment vertical="center"/>
    </xf>
    <xf numFmtId="191" fontId="5" fillId="13" borderId="259">
      <alignment vertical="center"/>
    </xf>
    <xf numFmtId="193" fontId="28" fillId="12" borderId="259">
      <alignment vertical="center"/>
      <protection locked="0"/>
    </xf>
    <xf numFmtId="186" fontId="28" fillId="49" borderId="259">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4" fontId="62" fillId="11" borderId="252" applyNumberFormat="0" applyProtection="0">
      <alignment horizontal="left" vertical="center" indent="1"/>
    </xf>
    <xf numFmtId="4" fontId="56" fillId="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1" applyNumberFormat="0" applyProtection="0">
      <alignment horizontal="right" vertical="center"/>
    </xf>
    <xf numFmtId="4" fontId="72" fillId="50" borderId="261" applyNumberFormat="0" applyProtection="0">
      <alignment horizontal="right" vertical="center"/>
    </xf>
    <xf numFmtId="0" fontId="27" fillId="63" borderId="261" applyNumberFormat="0" applyProtection="0">
      <alignment horizontal="left" vertical="center" indent="1"/>
    </xf>
    <xf numFmtId="0" fontId="27" fillId="64" borderId="8" applyNumberFormat="0">
      <protection locked="0"/>
    </xf>
    <xf numFmtId="4" fontId="70" fillId="86" borderId="261" applyNumberFormat="0" applyProtection="0">
      <alignment horizontal="left" vertical="center" indent="1"/>
    </xf>
    <xf numFmtId="0" fontId="37" fillId="15" borderId="261" applyNumberFormat="0" applyProtection="0">
      <alignment horizontal="left" vertical="top" indent="1"/>
    </xf>
    <xf numFmtId="4" fontId="75" fillId="88" borderId="262"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186" fontId="42" fillId="44" borderId="263" applyNumberFormat="0" applyAlignment="0" applyProtection="0"/>
    <xf numFmtId="186" fontId="56" fillId="40" borderId="263" applyNumberFormat="0" applyFont="0" applyAlignment="0" applyProtection="0"/>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23"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64" borderId="211" applyNumberFormat="0">
      <protection locked="0"/>
    </xf>
    <xf numFmtId="186" fontId="56" fillId="14"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6" fillId="54" borderId="263" applyNumberFormat="0" applyProtection="0">
      <alignment horizontal="left" vertical="center" indent="1"/>
    </xf>
    <xf numFmtId="4" fontId="56" fillId="57" borderId="267" applyNumberFormat="0" applyProtection="0">
      <alignment horizontal="right" vertical="center"/>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186" fontId="61" fillId="21" borderId="265" applyBorder="0"/>
    <xf numFmtId="186" fontId="56" fillId="11" borderId="263" applyNumberFormat="0" applyProtection="0">
      <alignment horizontal="left" vertical="center" indent="1"/>
    </xf>
    <xf numFmtId="194" fontId="33" fillId="0" borderId="231" applyFill="0"/>
    <xf numFmtId="4" fontId="64" fillId="64" borderId="263" applyNumberFormat="0" applyProtection="0">
      <alignment horizontal="right" vertical="center"/>
    </xf>
    <xf numFmtId="186" fontId="56" fillId="15" borderId="261" applyNumberFormat="0" applyProtection="0">
      <alignment horizontal="left" vertical="top"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64" fontId="5" fillId="0" borderId="0" applyFont="0" applyFill="0" applyBorder="0" applyAlignment="0" applyProtection="0"/>
    <xf numFmtId="186" fontId="27" fillId="21" borderId="261" applyNumberFormat="0" applyProtection="0">
      <alignment horizontal="left" vertical="top" indent="1"/>
    </xf>
    <xf numFmtId="4" fontId="64" fillId="64"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8" fillId="50" borderId="269">
      <alignmen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186" fontId="60" fillId="52" borderId="261" applyNumberFormat="0" applyProtection="0">
      <alignment horizontal="left" vertical="top" indent="1"/>
    </xf>
    <xf numFmtId="186" fontId="56" fillId="14" borderId="242" applyNumberFormat="0" applyProtection="0">
      <alignment horizontal="left" vertical="center" indent="1"/>
    </xf>
    <xf numFmtId="164" fontId="35" fillId="0" borderId="0" applyFont="0" applyFill="0" applyBorder="0" applyAlignment="0" applyProtection="0"/>
    <xf numFmtId="186" fontId="27" fillId="15" borderId="252" applyNumberFormat="0" applyProtection="0">
      <alignment horizontal="left" vertical="top" indent="1"/>
    </xf>
    <xf numFmtId="4" fontId="56" fillId="15" borderId="263" applyNumberFormat="0" applyProtection="0">
      <alignment horizontal="right" vertical="center"/>
    </xf>
    <xf numFmtId="186" fontId="56" fillId="63" borderId="244"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4" borderId="263" applyNumberFormat="0" applyAlignment="0" applyProtection="0"/>
    <xf numFmtId="186" fontId="27" fillId="21" borderId="261" applyNumberFormat="0" applyProtection="0">
      <alignment horizontal="left" vertical="center" indent="1"/>
    </xf>
    <xf numFmtId="186" fontId="56" fillId="14" borderId="244" applyNumberFormat="0" applyProtection="0">
      <alignment horizontal="left" vertical="top" indent="1"/>
    </xf>
    <xf numFmtId="4" fontId="56" fillId="23" borderId="242" applyNumberFormat="0" applyProtection="0">
      <alignment horizontal="righ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5" borderId="263" applyNumberFormat="0" applyProtection="0">
      <alignment horizontal="right" vertical="center"/>
    </xf>
    <xf numFmtId="4" fontId="62" fillId="11" borderId="244" applyNumberFormat="0" applyProtection="0">
      <alignment horizontal="left" vertical="center" indent="1"/>
    </xf>
    <xf numFmtId="4" fontId="56" fillId="14" borderId="245" applyNumberFormat="0" applyProtection="0">
      <alignment horizontal="left" vertical="center" indent="1"/>
    </xf>
    <xf numFmtId="186" fontId="56" fillId="14" borderId="253" applyNumberFormat="0" applyProtection="0">
      <alignment horizontal="left" vertical="center" indent="1"/>
    </xf>
    <xf numFmtId="186" fontId="56" fillId="14" borderId="252" applyNumberFormat="0" applyProtection="0">
      <alignment horizontal="left" vertical="top" indent="1"/>
    </xf>
    <xf numFmtId="186" fontId="56" fillId="40" borderId="242" applyNumberFormat="0" applyFont="0" applyAlignment="0" applyProtection="0"/>
    <xf numFmtId="193" fontId="5" fillId="7" borderId="8">
      <alignment vertical="center"/>
      <protection locked="0"/>
    </xf>
    <xf numFmtId="196" fontId="5" fillId="69" borderId="8">
      <alignment vertical="center"/>
    </xf>
    <xf numFmtId="4" fontId="72" fillId="49" borderId="261" applyNumberFormat="0" applyProtection="0">
      <alignment horizontal="right" vertical="center"/>
    </xf>
    <xf numFmtId="186" fontId="56" fillId="40" borderId="263" applyNumberFormat="0" applyFont="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4" borderId="253" applyNumberFormat="0" applyProtection="0">
      <alignment horizontal="right" vertical="center"/>
    </xf>
    <xf numFmtId="186" fontId="56" fillId="40" borderId="253"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62" fillId="15" borderId="252"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42" applyNumberFormat="0" applyProtection="0">
      <alignment horizontal="right" vertical="center"/>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63" borderId="244" applyNumberFormat="0" applyProtection="0">
      <alignment horizontal="left" vertical="center"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4" fontId="56" fillId="61" borderId="245" applyNumberFormat="0" applyProtection="0">
      <alignment horizontal="left" vertical="center" indent="1"/>
    </xf>
    <xf numFmtId="186" fontId="61" fillId="21" borderId="265" applyBorder="0"/>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5" borderId="253"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4" fontId="56" fillId="60" borderId="263" applyNumberFormat="0" applyProtection="0">
      <alignment horizontal="right" vertical="center"/>
    </xf>
    <xf numFmtId="188" fontId="5" fillId="70" borderId="259">
      <alignment horizontal="right" vertical="center"/>
      <protection locked="0"/>
    </xf>
    <xf numFmtId="172" fontId="5" fillId="7" borderId="259">
      <alignment vertical="center"/>
      <protection locked="0"/>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0" fontId="37" fillId="48" borderId="261" applyNumberFormat="0" applyProtection="0">
      <alignment horizontal="left" vertical="top" indent="1"/>
    </xf>
    <xf numFmtId="0" fontId="5" fillId="69" borderId="8">
      <alignment vertical="center"/>
    </xf>
    <xf numFmtId="4" fontId="56" fillId="61" borderId="267" applyNumberFormat="0" applyProtection="0">
      <alignment horizontal="left" vertical="center" indent="1"/>
    </xf>
    <xf numFmtId="186" fontId="27" fillId="21" borderId="252" applyNumberFormat="0" applyProtection="0">
      <alignment horizontal="left" vertical="top" indent="1"/>
    </xf>
    <xf numFmtId="186" fontId="56" fillId="40" borderId="242" applyNumberFormat="0" applyFont="0" applyAlignment="0" applyProtection="0"/>
    <xf numFmtId="186" fontId="56" fillId="40" borderId="242"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1" applyNumberFormat="0" applyProtection="0">
      <alignment horizontal="left" vertical="top" indent="1"/>
    </xf>
    <xf numFmtId="4" fontId="70" fillId="53" borderId="261" applyNumberFormat="0" applyProtection="0">
      <alignment vertical="center"/>
    </xf>
    <xf numFmtId="0" fontId="27" fillId="21" borderId="261" applyNumberFormat="0" applyProtection="0">
      <alignment horizontal="left" vertical="top" indent="1"/>
    </xf>
    <xf numFmtId="4" fontId="72" fillId="84" borderId="261" applyNumberFormat="0" applyProtection="0">
      <alignment horizontal="right" vertical="center"/>
    </xf>
    <xf numFmtId="0" fontId="27" fillId="63" borderId="261" applyNumberFormat="0" applyProtection="0">
      <alignment horizontal="left" vertical="top" indent="1"/>
    </xf>
    <xf numFmtId="4" fontId="72" fillId="87" borderId="261" applyNumberFormat="0" applyProtection="0">
      <alignment vertical="center"/>
    </xf>
    <xf numFmtId="186" fontId="56" fillId="14" borderId="261" applyNumberFormat="0" applyProtection="0">
      <alignment horizontal="left" vertical="top" indent="1"/>
    </xf>
    <xf numFmtId="186" fontId="56" fillId="40" borderId="263" applyNumberFormat="0" applyFont="0" applyAlignment="0" applyProtection="0"/>
    <xf numFmtId="4" fontId="76" fillId="87" borderId="261" applyNumberFormat="0" applyProtection="0">
      <alignment horizontal="righ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23" borderId="263" applyNumberFormat="0" applyProtection="0">
      <alignment horizontal="right" vertical="center"/>
    </xf>
    <xf numFmtId="4" fontId="56" fillId="0"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58" borderId="263" applyNumberFormat="0" applyProtection="0">
      <alignment horizontal="right" vertical="center"/>
    </xf>
    <xf numFmtId="186" fontId="62"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4" fontId="56" fillId="56" borderId="263" applyNumberFormat="0" applyProtection="0">
      <alignment horizontal="right" vertical="center"/>
    </xf>
    <xf numFmtId="186" fontId="27" fillId="21" borderId="261" applyNumberFormat="0" applyProtection="0">
      <alignment horizontal="left" vertical="center"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186" fontId="56" fillId="62" borderId="263"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42" fillId="44" borderId="242"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50" fillId="41" borderId="263" applyNumberFormat="0" applyAlignment="0" applyProtection="0"/>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94" fontId="33" fillId="0" borderId="231" applyFill="0"/>
    <xf numFmtId="186" fontId="56" fillId="63" borderId="261" applyNumberFormat="0" applyProtection="0">
      <alignment horizontal="left" vertical="top" indent="1"/>
    </xf>
    <xf numFmtId="4" fontId="56" fillId="58" borderId="263" applyNumberFormat="0" applyProtection="0">
      <alignment horizontal="right" vertical="center"/>
    </xf>
    <xf numFmtId="186" fontId="56" fillId="63" borderId="244"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2" applyNumberFormat="0" applyProtection="0">
      <alignment horizontal="right" vertical="center"/>
    </xf>
    <xf numFmtId="186" fontId="27" fillId="14" borderId="252"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1"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7" fillId="44" borderId="264" applyNumberFormat="0" applyAlignment="0" applyProtection="0"/>
    <xf numFmtId="164" fontId="5" fillId="0" borderId="0" applyFont="0" applyFill="0" applyBorder="0" applyAlignment="0" applyProtection="0"/>
    <xf numFmtId="4" fontId="56" fillId="59" borderId="263" applyNumberFormat="0" applyProtection="0">
      <alignment horizontal="right" vertical="center"/>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4" fontId="62" fillId="48" borderId="261" applyNumberFormat="0" applyProtection="0">
      <alignment vertical="center"/>
    </xf>
    <xf numFmtId="186" fontId="56" fillId="14" borderId="263"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15" borderId="267" applyNumberFormat="0" applyProtection="0">
      <alignment horizontal="left" vertical="center" indent="1"/>
    </xf>
    <xf numFmtId="4" fontId="56" fillId="59"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61" borderId="267" applyNumberFormat="0" applyProtection="0">
      <alignment horizontal="left" vertical="center" indent="1"/>
    </xf>
    <xf numFmtId="186" fontId="62" fillId="15" borderId="261" applyNumberFormat="0" applyProtection="0">
      <alignment horizontal="left" vertical="top" indent="1"/>
    </xf>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57" borderId="267" applyNumberFormat="0" applyProtection="0">
      <alignment horizontal="right" vertical="center"/>
    </xf>
    <xf numFmtId="186" fontId="56" fillId="63" borderId="261" applyNumberFormat="0" applyProtection="0">
      <alignment horizontal="left" vertical="top" indent="1"/>
    </xf>
    <xf numFmtId="4" fontId="56" fillId="59"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2" borderId="263" applyNumberFormat="0" applyProtection="0">
      <alignment horizontal="left" vertical="center" indent="1"/>
    </xf>
    <xf numFmtId="186" fontId="56" fillId="15" borderId="261" applyNumberFormat="0" applyProtection="0">
      <alignment horizontal="left" vertical="top" indent="1"/>
    </xf>
    <xf numFmtId="4" fontId="59" fillId="53" borderId="263" applyNumberFormat="0" applyProtection="0">
      <alignment vertical="center"/>
    </xf>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27" fillId="21" borderId="261"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center" indent="1"/>
    </xf>
    <xf numFmtId="186" fontId="27" fillId="21" borderId="261" applyNumberFormat="0" applyProtection="0">
      <alignment horizontal="left" vertical="top" indent="1"/>
    </xf>
    <xf numFmtId="186" fontId="62" fillId="48"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7" fillId="44" borderId="264" applyNumberFormat="0" applyAlignment="0" applyProtection="0"/>
    <xf numFmtId="186" fontId="60" fillId="52" borderId="261" applyNumberFormat="0" applyProtection="0">
      <alignment horizontal="left" vertical="top" indent="1"/>
    </xf>
    <xf numFmtId="194" fontId="33" fillId="0" borderId="231" applyFill="0"/>
    <xf numFmtId="186" fontId="56" fillId="62" borderId="263" applyNumberFormat="0" applyProtection="0">
      <alignment horizontal="left" vertical="center" indent="1"/>
    </xf>
    <xf numFmtId="186" fontId="56" fillId="21" borderId="261" applyNumberFormat="0" applyProtection="0">
      <alignment horizontal="left" vertical="top" indent="1"/>
    </xf>
    <xf numFmtId="164" fontId="35" fillId="0" borderId="0" applyFont="0" applyFill="0" applyBorder="0" applyAlignment="0" applyProtection="0"/>
    <xf numFmtId="4" fontId="56" fillId="54" borderId="263" applyNumberFormat="0" applyProtection="0">
      <alignment horizontal="left" vertical="center" indent="1"/>
    </xf>
    <xf numFmtId="164" fontId="5" fillId="0" borderId="0" applyFont="0" applyFill="0" applyBorder="0" applyAlignment="0" applyProtection="0"/>
    <xf numFmtId="4" fontId="56" fillId="60" borderId="263" applyNumberFormat="0" applyProtection="0">
      <alignment horizontal="right" vertical="center"/>
    </xf>
    <xf numFmtId="164" fontId="34" fillId="0" borderId="0" applyFont="0" applyFill="0" applyBorder="0" applyAlignment="0" applyProtection="0"/>
    <xf numFmtId="4" fontId="56" fillId="58" borderId="263" applyNumberFormat="0" applyProtection="0">
      <alignment horizontal="right" vertical="center"/>
    </xf>
    <xf numFmtId="186" fontId="56" fillId="63" borderId="261" applyNumberFormat="0" applyProtection="0">
      <alignment horizontal="left" vertical="top" indent="1"/>
    </xf>
    <xf numFmtId="4" fontId="56" fillId="54" borderId="253" applyNumberFormat="0" applyProtection="0">
      <alignment horizontal="left" vertical="center" indent="1"/>
    </xf>
    <xf numFmtId="186" fontId="62" fillId="48" borderId="252" applyNumberFormat="0" applyProtection="0">
      <alignment horizontal="left" vertical="top" indent="1"/>
    </xf>
    <xf numFmtId="194" fontId="33" fillId="0" borderId="260" applyFill="0"/>
    <xf numFmtId="186" fontId="56" fillId="63" borderId="261" applyNumberFormat="0" applyProtection="0">
      <alignment horizontal="left" vertical="top" indent="1"/>
    </xf>
    <xf numFmtId="4" fontId="56" fillId="19" borderId="263" applyNumberFormat="0" applyProtection="0">
      <alignment horizontal="right" vertical="center"/>
    </xf>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56" fillId="11" borderId="263" applyNumberFormat="0" applyProtection="0">
      <alignment horizontal="left" vertical="center" indent="1"/>
    </xf>
    <xf numFmtId="191" fontId="28" fillId="51" borderId="259">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63" applyNumberFormat="0" applyProtection="0">
      <alignmen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21" borderId="261" applyNumberFormat="0" applyProtection="0">
      <alignment horizontal="left" vertical="top" indent="1"/>
    </xf>
    <xf numFmtId="191" fontId="5" fillId="70" borderId="269">
      <alignment horizontal="right" vertical="center"/>
      <protection locked="0"/>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27" fillId="15" borderId="261" applyNumberFormat="0" applyProtection="0">
      <alignment horizontal="left" vertical="center" indent="1"/>
    </xf>
    <xf numFmtId="4" fontId="56" fillId="6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4" fontId="62" fillId="48" borderId="261" applyNumberFormat="0" applyProtection="0">
      <alignment vertical="center"/>
    </xf>
    <xf numFmtId="186" fontId="56" fillId="21" borderId="261" applyNumberFormat="0" applyProtection="0">
      <alignment horizontal="left" vertical="top" indent="1"/>
    </xf>
    <xf numFmtId="4" fontId="62" fillId="48" borderId="261" applyNumberFormat="0" applyProtection="0">
      <alignment vertical="center"/>
    </xf>
    <xf numFmtId="4" fontId="72" fillId="86" borderId="261" applyNumberFormat="0" applyProtection="0">
      <alignment horizontal="right" vertical="center"/>
    </xf>
    <xf numFmtId="4" fontId="56" fillId="53" borderId="253" applyNumberFormat="0" applyProtection="0">
      <alignment horizontal="left" vertical="center" indent="1"/>
    </xf>
    <xf numFmtId="4" fontId="59" fillId="53"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62" fillId="15" borderId="261" applyNumberFormat="0" applyProtection="0">
      <alignment horizontal="left" vertical="top" indent="1"/>
    </xf>
    <xf numFmtId="4" fontId="56" fillId="54" borderId="263" applyNumberFormat="0" applyProtection="0">
      <alignment horizontal="left" vertical="center" indent="1"/>
    </xf>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65" borderId="263" applyNumberFormat="0" applyProtection="0">
      <alignment horizontal="right" vertical="center"/>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55" borderId="263" applyNumberFormat="0" applyProtection="0">
      <alignment horizontal="right" vertical="center"/>
    </xf>
    <xf numFmtId="186" fontId="50" fillId="41" borderId="242" applyNumberFormat="0" applyAlignment="0" applyProtection="0"/>
    <xf numFmtId="186" fontId="61" fillId="21" borderId="265" applyBorder="0"/>
    <xf numFmtId="186" fontId="27" fillId="14" borderId="261" applyNumberFormat="0" applyProtection="0">
      <alignment horizontal="left" vertical="top" indent="1"/>
    </xf>
    <xf numFmtId="4" fontId="56" fillId="60"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7" fillId="44" borderId="264" applyNumberFormat="0" applyAlignment="0" applyProtection="0"/>
    <xf numFmtId="4" fontId="56" fillId="54" borderId="263" applyNumberFormat="0" applyProtection="0">
      <alignment horizontal="left" vertical="center" indent="1"/>
    </xf>
    <xf numFmtId="37" fontId="33" fillId="0" borderId="266" applyNumberFormat="0"/>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44" fillId="0" borderId="268" applyNumberFormat="0" applyFill="0" applyAlignment="0" applyProtection="0"/>
    <xf numFmtId="4" fontId="27" fillId="21" borderId="267" applyNumberFormat="0" applyProtection="0">
      <alignment horizontal="left" vertical="center" indent="1"/>
    </xf>
    <xf numFmtId="4" fontId="56" fillId="60" borderId="263" applyNumberFormat="0" applyProtection="0">
      <alignment horizontal="right" vertical="center"/>
    </xf>
    <xf numFmtId="186" fontId="56" fillId="63" borderId="261" applyNumberFormat="0" applyProtection="0">
      <alignment horizontal="left" vertical="top" indent="1"/>
    </xf>
    <xf numFmtId="4" fontId="59" fillId="65" borderId="263" applyNumberFormat="0" applyProtection="0">
      <alignment horizontal="right" vertical="center"/>
    </xf>
    <xf numFmtId="186" fontId="56" fillId="11"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62" fillId="48"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3" applyNumberFormat="0" applyProtection="0">
      <alignment horizontal="left" vertical="center" indent="1"/>
    </xf>
    <xf numFmtId="4" fontId="56" fillId="15" borderId="263" applyNumberFormat="0" applyProtection="0">
      <alignment horizontal="right" vertical="center"/>
    </xf>
    <xf numFmtId="4" fontId="56" fillId="23"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62" fillId="48" borderId="261"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4" fontId="56" fillId="16" borderId="263" applyNumberFormat="0" applyProtection="0">
      <alignment horizontal="right" vertical="center"/>
    </xf>
    <xf numFmtId="4" fontId="56" fillId="15"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6" fillId="15"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4" fontId="56" fillId="60" borderId="263" applyNumberFormat="0" applyProtection="0">
      <alignment horizontal="right" vertical="center"/>
    </xf>
    <xf numFmtId="186" fontId="60" fillId="52"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4" fontId="56" fillId="14" borderId="267" applyNumberFormat="0" applyProtection="0">
      <alignment horizontal="left" vertical="center" indent="1"/>
    </xf>
    <xf numFmtId="4" fontId="56" fillId="52" borderId="263" applyNumberFormat="0" applyProtection="0">
      <alignment vertical="center"/>
    </xf>
    <xf numFmtId="186" fontId="56" fillId="40" borderId="263" applyNumberFormat="0" applyFont="0" applyAlignment="0" applyProtection="0"/>
    <xf numFmtId="4" fontId="56" fillId="58" borderId="263" applyNumberFormat="0" applyProtection="0">
      <alignment horizontal="right" vertical="center"/>
    </xf>
    <xf numFmtId="4" fontId="62" fillId="48" borderId="261" applyNumberFormat="0" applyProtection="0">
      <alignment vertical="center"/>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63" applyNumberFormat="0" applyAlignment="0" applyProtection="0"/>
    <xf numFmtId="186" fontId="56" fillId="21" borderId="261" applyNumberFormat="0" applyProtection="0">
      <alignment horizontal="left" vertical="top" indent="1"/>
    </xf>
    <xf numFmtId="186" fontId="44" fillId="0" borderId="248" applyNumberFormat="0" applyFill="0" applyAlignment="0" applyProtection="0"/>
    <xf numFmtId="4" fontId="59" fillId="53" borderId="263" applyNumberFormat="0" applyProtection="0">
      <alignment vertical="center"/>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3" borderId="263" applyNumberFormat="0" applyProtection="0">
      <alignment horizontal="left" vertical="center" indent="1"/>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55" borderId="263" applyNumberFormat="0" applyProtection="0">
      <alignment horizontal="right" vertical="center"/>
    </xf>
    <xf numFmtId="186" fontId="27" fillId="21" borderId="261" applyNumberFormat="0" applyProtection="0">
      <alignment horizontal="left" vertical="top" indent="1"/>
    </xf>
    <xf numFmtId="186" fontId="27" fillId="15"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2" fillId="48"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4" fontId="56" fillId="0" borderId="263" applyNumberFormat="0" applyProtection="0">
      <alignment horizontal="right" vertical="center"/>
    </xf>
    <xf numFmtId="4" fontId="56" fillId="52" borderId="263" applyNumberFormat="0" applyProtection="0">
      <alignment vertical="center"/>
    </xf>
    <xf numFmtId="186" fontId="56" fillId="15"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60" borderId="263" applyNumberFormat="0" applyProtection="0">
      <alignment horizontal="right" vertical="center"/>
    </xf>
    <xf numFmtId="186" fontId="44" fillId="0" borderId="268" applyNumberFormat="0" applyFill="0" applyAlignment="0" applyProtection="0"/>
    <xf numFmtId="186" fontId="62" fillId="15" borderId="261"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8" borderId="242"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0" fontId="3" fillId="0" borderId="0"/>
    <xf numFmtId="4" fontId="59" fillId="53" borderId="242" applyNumberFormat="0" applyProtection="0">
      <alignment vertical="center"/>
    </xf>
    <xf numFmtId="186" fontId="56" fillId="21" borderId="244" applyNumberFormat="0" applyProtection="0">
      <alignment horizontal="left" vertical="top" indent="1"/>
    </xf>
    <xf numFmtId="9" fontId="3" fillId="0" borderId="0" applyFont="0" applyFill="0" applyBorder="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186" fontId="61" fillId="21" borderId="255" applyBorder="0"/>
    <xf numFmtId="186" fontId="56" fillId="63" borderId="252" applyNumberFormat="0" applyProtection="0">
      <alignment horizontal="left" vertical="top" indent="1"/>
    </xf>
    <xf numFmtId="186" fontId="44" fillId="0" borderId="258" applyNumberFormat="0" applyFill="0" applyAlignment="0" applyProtection="0"/>
    <xf numFmtId="186" fontId="61" fillId="21" borderId="246" applyBorder="0"/>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21" borderId="244" applyNumberFormat="0" applyProtection="0">
      <alignment horizontal="left" vertical="top" indent="1"/>
    </xf>
    <xf numFmtId="186" fontId="56" fillId="62" borderId="263" applyNumberFormat="0" applyProtection="0">
      <alignment horizontal="left" vertical="center" indent="1"/>
    </xf>
    <xf numFmtId="186" fontId="27" fillId="14" borderId="261" applyNumberFormat="0" applyProtection="0">
      <alignment horizontal="left" vertical="top" indent="1"/>
    </xf>
    <xf numFmtId="4" fontId="64" fillId="64" borderId="263" applyNumberFormat="0" applyProtection="0">
      <alignment horizontal="right" vertical="center"/>
    </xf>
    <xf numFmtId="186" fontId="56" fillId="63" borderId="263" applyNumberFormat="0" applyProtection="0">
      <alignment horizontal="left" vertical="center" indent="1"/>
    </xf>
    <xf numFmtId="4" fontId="59" fillId="65" borderId="263" applyNumberFormat="0" applyProtection="0">
      <alignment horizontal="right" vertical="center"/>
    </xf>
    <xf numFmtId="4" fontId="70" fillId="86" borderId="244" applyNumberFormat="0" applyProtection="0">
      <alignment horizontal="left" vertical="center" indent="1"/>
    </xf>
    <xf numFmtId="4" fontId="72" fillId="87" borderId="244" applyNumberFormat="0" applyProtection="0">
      <alignment horizontal="right" vertical="center"/>
    </xf>
    <xf numFmtId="0" fontId="27" fillId="14" borderId="244" applyNumberFormat="0" applyProtection="0">
      <alignment horizontal="left" vertical="center" indent="1"/>
    </xf>
    <xf numFmtId="0" fontId="27" fillId="63" borderId="244" applyNumberFormat="0" applyProtection="0">
      <alignment horizontal="left" vertical="center" indent="1"/>
    </xf>
    <xf numFmtId="0" fontId="27" fillId="15" borderId="244" applyNumberFormat="0" applyProtection="0">
      <alignment horizontal="left" vertical="center" indent="1"/>
    </xf>
    <xf numFmtId="186" fontId="56" fillId="21" borderId="252" applyNumberFormat="0" applyProtection="0">
      <alignment horizontal="left" vertical="top" indent="1"/>
    </xf>
    <xf numFmtId="4" fontId="72" fillId="84" borderId="244" applyNumberFormat="0" applyProtection="0">
      <alignment horizontal="right" vertical="center"/>
    </xf>
    <xf numFmtId="4" fontId="72" fillId="82" borderId="244" applyNumberFormat="0" applyProtection="0">
      <alignment horizontal="right" vertical="center"/>
    </xf>
    <xf numFmtId="4" fontId="56" fillId="54" borderId="253" applyNumberFormat="0" applyProtection="0">
      <alignment horizontal="left" vertical="center" indent="1"/>
    </xf>
    <xf numFmtId="4" fontId="72" fillId="53" borderId="244" applyNumberFormat="0" applyProtection="0">
      <alignment horizontal="left" vertical="center" indent="1"/>
    </xf>
    <xf numFmtId="4" fontId="70" fillId="53" borderId="244"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5" borderId="261" applyNumberFormat="0" applyProtection="0">
      <alignment horizontal="left" vertical="top" indent="1"/>
    </xf>
    <xf numFmtId="186" fontId="57" fillId="44" borderId="254" applyNumberFormat="0" applyAlignment="0" applyProtection="0"/>
    <xf numFmtId="4" fontId="56" fillId="58" borderId="263" applyNumberFormat="0" applyProtection="0">
      <alignment horizontal="right" vertical="center"/>
    </xf>
    <xf numFmtId="186" fontId="56" fillId="15" borderId="261" applyNumberFormat="0" applyProtection="0">
      <alignment horizontal="left" vertical="top" indent="1"/>
    </xf>
    <xf numFmtId="186" fontId="27" fillId="63" borderId="261"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27" fillId="63" borderId="261" applyNumberFormat="0" applyProtection="0">
      <alignment horizontal="left" vertical="top" indent="1"/>
    </xf>
    <xf numFmtId="4" fontId="63" fillId="66" borderId="267" applyNumberFormat="0" applyProtection="0">
      <alignment horizontal="left" vertical="center" indent="1"/>
    </xf>
    <xf numFmtId="186" fontId="27" fillId="15" borderId="261"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28" fillId="51" borderId="259">
      <alignment horizontal="right" vertical="center"/>
      <protection locked="0"/>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4" fontId="56" fillId="19" borderId="242" applyNumberFormat="0" applyProtection="0">
      <alignment horizontal="right" vertical="center"/>
    </xf>
    <xf numFmtId="4" fontId="56" fillId="53" borderId="242" applyNumberFormat="0" applyProtection="0">
      <alignment horizontal="left" vertical="center" indent="1"/>
    </xf>
    <xf numFmtId="4" fontId="56" fillId="54" borderId="242" applyNumberFormat="0" applyProtection="0">
      <alignment horizontal="left" vertical="center" indent="1"/>
    </xf>
    <xf numFmtId="194" fontId="33" fillId="0" borderId="260" applyFill="0"/>
    <xf numFmtId="172" fontId="28" fillId="12" borderId="259">
      <alignment vertical="center"/>
      <protection locked="0"/>
    </xf>
    <xf numFmtId="186" fontId="57" fillId="44" borderId="243"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63" fillId="66" borderId="245" applyNumberFormat="0" applyProtection="0">
      <alignment horizontal="left" vertical="center" indent="1"/>
    </xf>
    <xf numFmtId="186" fontId="56" fillId="14" borderId="244" applyNumberFormat="0" applyProtection="0">
      <alignment horizontal="left" vertical="top" indent="1"/>
    </xf>
    <xf numFmtId="186" fontId="56" fillId="14" borderId="242" applyNumberFormat="0" applyProtection="0">
      <alignment horizontal="left" vertical="center"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4"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186" fontId="27" fillId="63" borderId="261" applyNumberFormat="0" applyProtection="0">
      <alignment horizontal="left" vertical="top" indent="1"/>
    </xf>
    <xf numFmtId="186" fontId="56" fillId="21" borderId="261"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8" borderId="263" applyNumberFormat="0" applyProtection="0">
      <alignment horizontal="right" vertical="center"/>
    </xf>
    <xf numFmtId="4" fontId="76" fillId="87" borderId="222"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3" borderId="263"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24" applyNumberFormat="0" applyAlignment="0" applyProtection="0"/>
    <xf numFmtId="186" fontId="50" fillId="41" borderId="224" applyNumberFormat="0" applyAlignment="0" applyProtection="0"/>
    <xf numFmtId="4" fontId="27" fillId="21" borderId="267" applyNumberFormat="0" applyProtection="0">
      <alignment horizontal="left" vertical="center" indent="1"/>
    </xf>
    <xf numFmtId="4" fontId="62" fillId="11" borderId="261" applyNumberFormat="0" applyProtection="0">
      <alignment horizontal="left" vertical="center" indent="1"/>
    </xf>
    <xf numFmtId="4" fontId="56" fillId="55"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230"/>
    <xf numFmtId="37" fontId="33" fillId="0" borderId="227" applyNumberFormat="0"/>
    <xf numFmtId="194" fontId="33" fillId="0" borderId="231" applyFill="0"/>
    <xf numFmtId="186" fontId="56" fillId="14" borderId="244" applyNumberFormat="0" applyProtection="0">
      <alignment horizontal="left" vertical="top" indent="1"/>
    </xf>
    <xf numFmtId="0" fontId="3" fillId="0" borderId="0"/>
    <xf numFmtId="0" fontId="3" fillId="0" borderId="0"/>
    <xf numFmtId="186" fontId="56" fillId="40" borderId="242" applyNumberFormat="0" applyFont="0" applyAlignment="0" applyProtection="0"/>
    <xf numFmtId="164" fontId="5" fillId="0" borderId="0" applyFont="0" applyFill="0" applyBorder="0" applyAlignment="0" applyProtection="0"/>
    <xf numFmtId="4" fontId="56" fillId="53"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4" applyNumberFormat="0" applyProtection="0">
      <alignment horizontal="left" vertical="top" indent="1"/>
    </xf>
    <xf numFmtId="164" fontId="3" fillId="0" borderId="0" applyFont="0" applyFill="0" applyBorder="0" applyAlignment="0" applyProtection="0"/>
    <xf numFmtId="186" fontId="56" fillId="40" borderId="242"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5" borderId="261" applyNumberFormat="0" applyProtection="0">
      <alignment horizontal="left" vertical="top" indent="1"/>
    </xf>
    <xf numFmtId="164" fontId="3" fillId="0" borderId="0" applyFont="0" applyFill="0" applyBorder="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4" fontId="63" fillId="66" borderId="267" applyNumberFormat="0" applyProtection="0">
      <alignment horizontal="left" vertical="center" indent="1"/>
    </xf>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56" fillId="40" borderId="242" applyNumberFormat="0" applyFont="0" applyAlignment="0" applyProtection="0"/>
    <xf numFmtId="186" fontId="60" fillId="52" borderId="261" applyNumberFormat="0" applyProtection="0">
      <alignment horizontal="left" vertical="top" indent="1"/>
    </xf>
    <xf numFmtId="4" fontId="56" fillId="0" borderId="242" applyNumberFormat="0" applyProtection="0">
      <alignment horizontal="right" vertical="center"/>
    </xf>
    <xf numFmtId="186" fontId="27" fillId="63" borderId="261" applyNumberFormat="0" applyProtection="0">
      <alignment horizontal="left" vertical="top" indent="1"/>
    </xf>
    <xf numFmtId="164" fontId="3" fillId="0" borderId="0" applyFont="0" applyFill="0" applyBorder="0" applyAlignment="0" applyProtection="0"/>
    <xf numFmtId="4" fontId="56" fillId="61" borderId="267" applyNumberFormat="0" applyProtection="0">
      <alignment horizontal="left" vertical="center" indent="1"/>
    </xf>
    <xf numFmtId="0" fontId="3" fillId="0" borderId="0"/>
    <xf numFmtId="186" fontId="56" fillId="63" borderId="244" applyNumberFormat="0" applyProtection="0">
      <alignment horizontal="left" vertical="top" indent="1"/>
    </xf>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8" borderId="244" applyNumberFormat="0" applyProtection="0">
      <alignment horizontal="left" vertical="top" indent="1"/>
    </xf>
    <xf numFmtId="164" fontId="3" fillId="0" borderId="0" applyFont="0" applyFill="0" applyBorder="0" applyAlignment="0" applyProtection="0"/>
    <xf numFmtId="186" fontId="56" fillId="40" borderId="242" applyNumberFormat="0" applyFont="0" applyAlignment="0" applyProtection="0"/>
    <xf numFmtId="186" fontId="56" fillId="62" borderId="263" applyNumberFormat="0" applyProtection="0">
      <alignment horizontal="left" vertical="center" indent="1"/>
    </xf>
    <xf numFmtId="164" fontId="5" fillId="0" borderId="0" applyFont="0" applyFill="0" applyBorder="0" applyAlignment="0" applyProtection="0"/>
    <xf numFmtId="186" fontId="61" fillId="21" borderId="226" applyBorder="0"/>
    <xf numFmtId="186" fontId="28" fillId="49" borderId="19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72" fontId="28" fillId="12" borderId="230">
      <alignment vertical="center"/>
      <protection locked="0"/>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230">
      <alignment vertical="center"/>
    </xf>
    <xf numFmtId="186" fontId="28" fillId="49" borderId="230">
      <alignment vertical="center"/>
    </xf>
    <xf numFmtId="193" fontId="28" fillId="12" borderId="230">
      <alignment vertical="center"/>
      <protection locked="0"/>
    </xf>
    <xf numFmtId="172" fontId="28" fillId="12" borderId="230">
      <alignment vertical="center"/>
      <protection locked="0"/>
    </xf>
    <xf numFmtId="191" fontId="28" fillId="50" borderId="230">
      <alignment vertical="center"/>
    </xf>
    <xf numFmtId="193" fontId="28" fillId="50" borderId="230">
      <alignment vertical="center"/>
    </xf>
    <xf numFmtId="191" fontId="28" fillId="50" borderId="230">
      <alignment vertical="center"/>
    </xf>
    <xf numFmtId="188" fontId="28" fillId="51" borderId="230">
      <alignment horizontal="right" vertical="center"/>
      <protection locked="0"/>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61" applyNumberFormat="0" applyProtection="0">
      <alignment horizontal="left" vertical="top" indent="1"/>
    </xf>
    <xf numFmtId="4" fontId="56" fillId="54" borderId="224" applyNumberFormat="0" applyProtection="0">
      <alignment horizontal="left" vertical="center" indent="1"/>
    </xf>
    <xf numFmtId="37" fontId="33" fillId="0" borderId="227" applyNumberFormat="0"/>
    <xf numFmtId="188" fontId="5" fillId="69" borderId="230">
      <alignment vertical="center"/>
    </xf>
    <xf numFmtId="191" fontId="5" fillId="70" borderId="230">
      <alignment horizontal="right" vertical="center"/>
      <protection locked="0"/>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15" borderId="222" applyNumberFormat="0" applyProtection="0">
      <alignment horizontal="left" vertical="top"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2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6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186" fontId="56" fillId="21"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4" fontId="56" fillId="15" borderId="228" applyNumberFormat="0" applyProtection="0">
      <alignment horizontal="left" vertical="center" indent="1"/>
    </xf>
    <xf numFmtId="4" fontId="56" fillId="60" borderId="224" applyNumberFormat="0" applyProtection="0">
      <alignment horizontal="right" vertical="center"/>
    </xf>
    <xf numFmtId="186" fontId="56" fillId="63" borderId="222" applyNumberFormat="0" applyProtection="0">
      <alignment horizontal="left" vertical="top"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197">
      <alignment vertical="center"/>
    </xf>
    <xf numFmtId="4" fontId="56" fillId="59"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64" borderId="211" applyNumberFormat="0">
      <protection locked="0"/>
    </xf>
    <xf numFmtId="186" fontId="56" fillId="40" borderId="224" applyNumberFormat="0" applyFont="0" applyAlignment="0" applyProtection="0"/>
    <xf numFmtId="193" fontId="28" fillId="50" borderId="230">
      <alignment vertical="center"/>
    </xf>
    <xf numFmtId="186" fontId="56" fillId="14" borderId="261" applyNumberFormat="0" applyProtection="0">
      <alignment horizontal="left" vertical="top" indent="1"/>
    </xf>
    <xf numFmtId="186" fontId="56" fillId="40" borderId="242" applyNumberFormat="0" applyFont="0" applyAlignment="0" applyProtection="0"/>
    <xf numFmtId="186" fontId="28" fillId="49" borderId="230">
      <alignment vertical="center"/>
    </xf>
    <xf numFmtId="190" fontId="28" fillId="50"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94" fontId="33" fillId="0" borderId="221" applyFill="0"/>
    <xf numFmtId="191" fontId="5" fillId="7" borderId="230">
      <alignment vertical="center"/>
      <protection locked="0"/>
    </xf>
    <xf numFmtId="191" fontId="5" fillId="6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15"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63" borderId="222" applyNumberFormat="0" applyProtection="0">
      <alignment horizontal="left" vertical="center" indent="1"/>
    </xf>
    <xf numFmtId="186" fontId="56" fillId="15" borderId="244"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60" fillId="52" borderId="222"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186" fontId="28" fillId="49" borderId="197">
      <alignment vertical="center"/>
    </xf>
    <xf numFmtId="186" fontId="28" fillId="50" borderId="197">
      <alignment vertical="center"/>
    </xf>
    <xf numFmtId="186" fontId="56" fillId="63" borderId="242" applyNumberFormat="0" applyProtection="0">
      <alignment horizontal="left" vertical="center"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44" fillId="0" borderId="229" applyNumberFormat="0" applyFill="0" applyAlignment="0" applyProtection="0"/>
    <xf numFmtId="186" fontId="56" fillId="1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91" fontId="28" fillId="12" borderId="230">
      <alignment vertical="center"/>
      <protection locked="0"/>
    </xf>
    <xf numFmtId="4" fontId="56" fillId="57" borderId="228" applyNumberFormat="0" applyProtection="0">
      <alignment horizontal="right" vertical="center"/>
    </xf>
    <xf numFmtId="4" fontId="56" fillId="56" borderId="224" applyNumberFormat="0" applyProtection="0">
      <alignment horizontal="right" vertical="center"/>
    </xf>
    <xf numFmtId="186" fontId="28" fillId="50" borderId="230">
      <alignment vertical="center"/>
    </xf>
    <xf numFmtId="186" fontId="28" fillId="12" borderId="230">
      <alignment vertical="center"/>
      <protection locked="0"/>
    </xf>
    <xf numFmtId="186" fontId="50" fillId="41" borderId="224" applyNumberForma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4" fontId="56" fillId="19"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8" fontId="5" fillId="70" borderId="8">
      <alignment horizontal="right" vertical="center"/>
      <protection locked="0"/>
    </xf>
    <xf numFmtId="186" fontId="57" fillId="44" borderId="225" applyNumberFormat="0" applyAlignment="0" applyProtection="0"/>
    <xf numFmtId="190" fontId="28" fillId="49" borderId="230">
      <alignment vertical="center"/>
    </xf>
    <xf numFmtId="186" fontId="44" fillId="0" borderId="229" applyNumberFormat="0" applyFill="0" applyAlignment="0" applyProtection="0"/>
    <xf numFmtId="4" fontId="56" fillId="5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14" borderId="261" applyNumberFormat="0" applyProtection="0">
      <alignment horizontal="left" vertical="top" indent="1"/>
    </xf>
    <xf numFmtId="4" fontId="56" fillId="58" borderId="224" applyNumberFormat="0" applyProtection="0">
      <alignment horizontal="right" vertical="center"/>
    </xf>
    <xf numFmtId="186" fontId="27" fillId="14"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30">
      <alignment vertical="center"/>
      <protection locked="0"/>
    </xf>
    <xf numFmtId="193" fontId="28" fillId="12" borderId="230">
      <alignment vertical="center"/>
      <protection locked="0"/>
    </xf>
    <xf numFmtId="193" fontId="28" fillId="50" borderId="230">
      <alignment vertical="center"/>
    </xf>
    <xf numFmtId="186"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186" fontId="27" fillId="15" borderId="261" applyNumberFormat="0" applyProtection="0">
      <alignment horizontal="left" vertical="top"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2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188" fontId="5" fillId="69" borderId="230">
      <alignment vertical="center"/>
    </xf>
    <xf numFmtId="188" fontId="5" fillId="70" borderId="23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60" borderId="242"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93" fontId="5" fillId="69" borderId="8">
      <alignment vertical="center"/>
    </xf>
    <xf numFmtId="186" fontId="56" fillId="15" borderId="261" applyNumberFormat="0" applyProtection="0">
      <alignment horizontal="left" vertical="top"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11" borderId="242" applyNumberFormat="0" applyProtection="0">
      <alignment horizontal="left" vertical="center" indent="1"/>
    </xf>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86" fontId="56" fillId="40" borderId="263" applyNumberFormat="0" applyFont="0" applyAlignment="0" applyProtection="0"/>
    <xf numFmtId="188" fontId="28" fillId="51" borderId="197">
      <alignment horizontal="right" vertical="center"/>
      <protection locked="0"/>
    </xf>
    <xf numFmtId="190" fontId="28" fillId="51" borderId="197">
      <alignment horizontal="right" vertical="center"/>
      <protection locked="0"/>
    </xf>
    <xf numFmtId="4" fontId="59" fillId="53" borderId="224" applyNumberFormat="0" applyProtection="0">
      <alignmen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91" fontId="28" fillId="12" borderId="230">
      <alignment vertical="center"/>
      <protection locked="0"/>
    </xf>
    <xf numFmtId="186" fontId="56" fillId="40" borderId="224" applyNumberFormat="0" applyFont="0" applyAlignment="0" applyProtection="0"/>
    <xf numFmtId="186" fontId="27" fillId="63" borderId="222" applyNumberFormat="0" applyProtection="0">
      <alignment horizontal="left" vertical="top" indent="1"/>
    </xf>
    <xf numFmtId="4" fontId="56" fillId="19" borderId="263" applyNumberFormat="0" applyProtection="0">
      <alignment horizontal="right" vertical="center"/>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90" fontId="28" fillId="51" borderId="197">
      <alignment horizontal="right" vertical="center"/>
      <protection locked="0"/>
    </xf>
    <xf numFmtId="4" fontId="27" fillId="21" borderId="228" applyNumberFormat="0" applyProtection="0">
      <alignment horizontal="left" vertical="center" indent="1"/>
    </xf>
    <xf numFmtId="186" fontId="28" fillId="12" borderId="230">
      <alignment vertical="center"/>
      <protection locked="0"/>
    </xf>
    <xf numFmtId="4" fontId="56" fillId="58" borderId="263" applyNumberFormat="0" applyProtection="0">
      <alignment horizontal="right" vertical="center"/>
    </xf>
    <xf numFmtId="193" fontId="28" fillId="12" borderId="197">
      <alignment vertical="center"/>
      <protection locked="0"/>
    </xf>
    <xf numFmtId="4" fontId="27" fillId="21" borderId="267"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186" fontId="28" fillId="49" borderId="230">
      <alignment vertical="center"/>
    </xf>
    <xf numFmtId="190" fontId="28" fillId="49" borderId="230">
      <alignment vertical="center"/>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72" fontId="28" fillId="12" borderId="230">
      <alignment vertical="center"/>
      <protection locked="0"/>
    </xf>
    <xf numFmtId="193" fontId="28" fillId="50" borderId="230">
      <alignment vertical="center"/>
    </xf>
    <xf numFmtId="186" fontId="28" fillId="50" borderId="230">
      <alignment vertical="center"/>
    </xf>
    <xf numFmtId="191"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27"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56" fillId="0" borderId="224" applyNumberFormat="0" applyProtection="0">
      <alignment horizontal="right" vertical="center"/>
    </xf>
    <xf numFmtId="186" fontId="56" fillId="67" borderId="230"/>
    <xf numFmtId="186" fontId="44" fillId="0" borderId="229" applyNumberFormat="0" applyFill="0" applyAlignment="0" applyProtection="0"/>
    <xf numFmtId="4" fontId="56" fillId="52" borderId="224" applyNumberFormat="0" applyProtection="0">
      <alignment vertical="center"/>
    </xf>
    <xf numFmtId="188" fontId="5" fillId="7" borderId="230">
      <alignment vertical="center"/>
      <protection locked="0"/>
    </xf>
    <xf numFmtId="188"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6" borderId="224" applyNumberFormat="0" applyProtection="0">
      <alignment horizontal="right" vertical="center"/>
    </xf>
    <xf numFmtId="4" fontId="56" fillId="57" borderId="228"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11" borderId="222" applyNumberFormat="0" applyProtection="0">
      <alignment horizontal="left" vertical="center" indent="1"/>
    </xf>
    <xf numFmtId="4" fontId="56" fillId="0"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69" borderId="230">
      <alignment vertical="center"/>
    </xf>
    <xf numFmtId="186" fontId="57" fillId="44" borderId="225" applyNumberFormat="0" applyAlignment="0" applyProtection="0"/>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27" fillId="21" borderId="228" applyNumberFormat="0" applyProtection="0">
      <alignment horizontal="left" vertical="center" indent="1"/>
    </xf>
    <xf numFmtId="4" fontId="59" fillId="53" borderId="224" applyNumberFormat="0" applyProtection="0">
      <alignment vertical="center"/>
    </xf>
    <xf numFmtId="190" fontId="28" fillId="51" borderId="230">
      <alignment horizontal="right" vertical="center"/>
      <protection locked="0"/>
    </xf>
    <xf numFmtId="191" fontId="28" fillId="51" borderId="230">
      <alignment horizontal="right" vertical="center"/>
      <protection locked="0"/>
    </xf>
    <xf numFmtId="186" fontId="56" fillId="40" borderId="224" applyNumberFormat="0" applyFont="0" applyAlignment="0" applyProtection="0"/>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164" fontId="35" fillId="0" borderId="0" applyFont="0" applyFill="0" applyBorder="0" applyAlignment="0" applyProtection="0"/>
    <xf numFmtId="4" fontId="62" fillId="48" borderId="222" applyNumberFormat="0" applyProtection="0">
      <alignment vertical="center"/>
    </xf>
    <xf numFmtId="186" fontId="56" fillId="21" borderId="244" applyNumberFormat="0" applyProtection="0">
      <alignment horizontal="left" vertical="top" indent="1"/>
    </xf>
    <xf numFmtId="186" fontId="56" fillId="63" borderId="244" applyNumberFormat="0" applyProtection="0">
      <alignment horizontal="left" vertical="top" indent="1"/>
    </xf>
    <xf numFmtId="4" fontId="74" fillId="87" borderId="261" applyNumberFormat="0" applyProtection="0">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4" fontId="56" fillId="54" borderId="224" applyNumberFormat="0" applyProtection="0">
      <alignment horizontal="left" vertical="center" indent="1"/>
    </xf>
    <xf numFmtId="4" fontId="56" fillId="23" borderId="224" applyNumberFormat="0" applyProtection="0">
      <alignment horizontal="right" vertical="center"/>
    </xf>
    <xf numFmtId="186" fontId="56" fillId="21" borderId="261"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7" fillId="44" borderId="225" applyNumberFormat="0" applyAlignment="0" applyProtection="0"/>
    <xf numFmtId="186" fontId="57" fillId="44" borderId="225" applyNumberFormat="0" applyAlignment="0" applyProtection="0"/>
    <xf numFmtId="4" fontId="56" fillId="6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3" fillId="66"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64" fillId="64" borderId="224" applyNumberFormat="0" applyProtection="0">
      <alignment horizontal="right" vertical="center"/>
    </xf>
    <xf numFmtId="4" fontId="27" fillId="21" borderId="228" applyNumberFormat="0" applyProtection="0">
      <alignment horizontal="left" vertical="center" indent="1"/>
    </xf>
    <xf numFmtId="186" fontId="50" fillId="41" borderId="224" applyNumberFormat="0" applyAlignment="0" applyProtection="0"/>
    <xf numFmtId="186" fontId="56"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64" fontId="35" fillId="0" borderId="0" applyFont="0" applyFill="0" applyBorder="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9"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56" fillId="40" borderId="263" applyNumberFormat="0" applyFont="0" applyAlignment="0" applyProtection="0"/>
    <xf numFmtId="186" fontId="50" fillId="41" borderId="224"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42" fillId="44" borderId="224" applyNumberFormat="0" applyAlignment="0" applyProtection="0"/>
    <xf numFmtId="186" fontId="42" fillId="44" borderId="224" applyNumberFormat="0" applyAlignment="0" applyProtection="0"/>
    <xf numFmtId="186" fontId="42" fillId="44" borderId="263" applyNumberFormat="0" applyAlignment="0" applyProtection="0"/>
    <xf numFmtId="186" fontId="56" fillId="40" borderId="224" applyNumberFormat="0" applyFont="0" applyAlignment="0" applyProtection="0"/>
    <xf numFmtId="186" fontId="44" fillId="0" borderId="229" applyNumberFormat="0" applyFill="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2" fillId="44" borderId="224" applyNumberFormat="0" applyAlignment="0" applyProtection="0"/>
    <xf numFmtId="4" fontId="27" fillId="21" borderId="228" applyNumberFormat="0" applyProtection="0">
      <alignment horizontal="left" vertical="center" indent="1"/>
    </xf>
    <xf numFmtId="4" fontId="56" fillId="15" borderId="228" applyNumberFormat="0" applyProtection="0">
      <alignment horizontal="left" vertical="center"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197">
      <alignment vertical="center"/>
    </xf>
    <xf numFmtId="4" fontId="27" fillId="21" borderId="228" applyNumberFormat="0" applyProtection="0">
      <alignment horizontal="left" vertical="center" indent="1"/>
    </xf>
    <xf numFmtId="4" fontId="56" fillId="52" borderId="224" applyNumberFormat="0" applyProtection="0">
      <alignment vertical="center"/>
    </xf>
    <xf numFmtId="186" fontId="56" fillId="63" borderId="222"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5" fillId="69" borderId="8">
      <alignment vertical="center"/>
    </xf>
    <xf numFmtId="186" fontId="28" fillId="51" borderId="197">
      <alignment horizontal="right" vertical="center"/>
      <protection locked="0"/>
    </xf>
    <xf numFmtId="186" fontId="57" fillId="44" borderId="225"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8" fontId="28" fillId="49" borderId="230">
      <alignment vertical="center"/>
    </xf>
    <xf numFmtId="191" fontId="28" fillId="50" borderId="230">
      <alignment vertical="center"/>
    </xf>
    <xf numFmtId="186" fontId="56" fillId="11" borderId="263" applyNumberFormat="0" applyProtection="0">
      <alignment horizontal="left" vertical="center" indent="1"/>
    </xf>
    <xf numFmtId="193" fontId="28" fillId="12" borderId="197">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15" borderId="224" applyNumberFormat="0" applyProtection="0">
      <alignment horizontal="right" vertical="center"/>
    </xf>
    <xf numFmtId="4" fontId="56" fillId="23" borderId="224" applyNumberFormat="0" applyProtection="0">
      <alignment horizontal="right" vertical="center"/>
    </xf>
    <xf numFmtId="164" fontId="35" fillId="0" borderId="0" applyFont="0" applyFill="0" applyBorder="0" applyAlignment="0" applyProtection="0"/>
    <xf numFmtId="186" fontId="42" fillId="44" borderId="224" applyNumberFormat="0" applyAlignment="0" applyProtection="0"/>
    <xf numFmtId="186" fontId="56" fillId="21" borderId="244"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30">
      <alignment horizontal="right" vertical="center"/>
      <protection locked="0"/>
    </xf>
    <xf numFmtId="4" fontId="56" fillId="59" borderId="224" applyNumberFormat="0" applyProtection="0">
      <alignment horizontal="right" vertical="center"/>
    </xf>
    <xf numFmtId="191" fontId="5" fillId="69" borderId="230">
      <alignment vertical="center"/>
    </xf>
    <xf numFmtId="186" fontId="56" fillId="21" borderId="261" applyNumberFormat="0" applyProtection="0">
      <alignment horizontal="left" vertical="top" indent="1"/>
    </xf>
    <xf numFmtId="4" fontId="56" fillId="57" borderId="228" applyNumberFormat="0" applyProtection="0">
      <alignment horizontal="right" vertical="center"/>
    </xf>
    <xf numFmtId="186" fontId="56" fillId="15" borderId="222" applyNumberFormat="0" applyProtection="0">
      <alignment horizontal="left" vertical="top" indent="1"/>
    </xf>
    <xf numFmtId="193" fontId="28" fillId="12" borderId="197">
      <alignment vertical="center"/>
      <protection locked="0"/>
    </xf>
    <xf numFmtId="186" fontId="27" fillId="14" borderId="222" applyNumberFormat="0" applyProtection="0">
      <alignment horizontal="left" vertical="center"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62" borderId="224" applyNumberFormat="0" applyProtection="0">
      <alignment horizontal="left" vertical="center" indent="1"/>
    </xf>
    <xf numFmtId="191" fontId="28" fillId="50" borderId="230">
      <alignment vertical="center"/>
    </xf>
    <xf numFmtId="4" fontId="56" fillId="61" borderId="228" applyNumberFormat="0" applyProtection="0">
      <alignment horizontal="left" vertical="center" indent="1"/>
    </xf>
    <xf numFmtId="186" fontId="56" fillId="40" borderId="224" applyNumberFormat="0" applyFont="0" applyAlignment="0" applyProtection="0"/>
    <xf numFmtId="186" fontId="28" fillId="50" borderId="230">
      <alignment vertical="center"/>
    </xf>
    <xf numFmtId="191" fontId="28" fillId="12" borderId="230">
      <alignment vertical="center"/>
      <protection locked="0"/>
    </xf>
    <xf numFmtId="4" fontId="56" fillId="52" borderId="224" applyNumberFormat="0" applyProtection="0">
      <alignment vertical="center"/>
    </xf>
    <xf numFmtId="4" fontId="56" fillId="15" borderId="267" applyNumberFormat="0" applyProtection="0">
      <alignment horizontal="left" vertical="center" indent="1"/>
    </xf>
    <xf numFmtId="186" fontId="56" fillId="40" borderId="263" applyNumberFormat="0" applyFont="0" applyAlignment="0" applyProtection="0"/>
    <xf numFmtId="164" fontId="35" fillId="0" borderId="0" applyFont="0" applyFill="0" applyBorder="0" applyAlignment="0" applyProtection="0"/>
    <xf numFmtId="186" fontId="56" fillId="40" borderId="224" applyNumberFormat="0" applyFont="0" applyAlignment="0" applyProtection="0"/>
    <xf numFmtId="4" fontId="27" fillId="21" borderId="257" applyNumberFormat="0" applyProtection="0">
      <alignment horizontal="left" vertical="center" indent="1"/>
    </xf>
    <xf numFmtId="186" fontId="56" fillId="40" borderId="224" applyNumberFormat="0" applyFont="0" applyAlignment="0" applyProtection="0"/>
    <xf numFmtId="186" fontId="42" fillId="44" borderId="263" applyNumberFormat="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0" fontId="28" fillId="49" borderId="230">
      <alignment vertical="center"/>
    </xf>
    <xf numFmtId="191" fontId="28" fillId="49" borderId="230">
      <alignment vertical="center"/>
    </xf>
    <xf numFmtId="191"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8" fontId="28" fillId="49" borderId="230">
      <alignment vertical="center"/>
    </xf>
    <xf numFmtId="188" fontId="28" fillId="49" borderId="230">
      <alignment vertical="center"/>
    </xf>
    <xf numFmtId="190" fontId="28" fillId="49" borderId="230">
      <alignment vertical="center"/>
    </xf>
    <xf numFmtId="191"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1" fontId="28" fillId="12" borderId="230">
      <alignment vertical="center"/>
      <protection locked="0"/>
    </xf>
    <xf numFmtId="191"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50" borderId="230">
      <alignment vertical="center"/>
    </xf>
    <xf numFmtId="191"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88" fontId="28" fillId="50" borderId="230">
      <alignment vertical="center"/>
    </xf>
    <xf numFmtId="190"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1" borderId="230">
      <alignment horizontal="right" vertical="center"/>
      <protection locked="0"/>
    </xf>
    <xf numFmtId="186" fontId="28" fillId="51" borderId="230">
      <alignment horizontal="right" vertical="center"/>
      <protection locked="0"/>
    </xf>
    <xf numFmtId="186" fontId="28" fillId="51" borderId="230">
      <alignment horizontal="right" vertical="center"/>
      <protection locked="0"/>
    </xf>
    <xf numFmtId="190" fontId="28" fillId="51" borderId="230">
      <alignment horizontal="right" vertical="center"/>
      <protection locked="0"/>
    </xf>
    <xf numFmtId="188"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62" fillId="48" borderId="222" applyNumberFormat="0" applyProtection="0">
      <alignment vertical="center"/>
    </xf>
    <xf numFmtId="4" fontId="59" fillId="12" borderId="230"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7" borderId="230"/>
    <xf numFmtId="4" fontId="64" fillId="64" borderId="224" applyNumberFormat="0" applyProtection="0">
      <alignment horizontal="right" vertical="center"/>
    </xf>
    <xf numFmtId="37" fontId="33" fillId="0" borderId="227" applyNumberFormat="0"/>
    <xf numFmtId="186" fontId="27" fillId="21"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62" fillId="15" borderId="261" applyNumberFormat="0" applyProtection="0">
      <alignment horizontal="left" vertical="top" indent="1"/>
    </xf>
    <xf numFmtId="186" fontId="56" fillId="40" borderId="224" applyNumberFormat="0" applyFont="0" applyAlignment="0" applyProtection="0"/>
    <xf numFmtId="191" fontId="5" fillId="13" borderId="230">
      <alignment vertical="center"/>
    </xf>
    <xf numFmtId="188" fontId="5" fillId="13" borderId="230">
      <alignment vertical="center"/>
    </xf>
    <xf numFmtId="190" fontId="5" fillId="13" borderId="230">
      <alignment vertical="center"/>
    </xf>
    <xf numFmtId="191" fontId="5" fillId="7" borderId="230">
      <alignment vertical="center"/>
      <protection locked="0"/>
    </xf>
    <xf numFmtId="188" fontId="5" fillId="7" borderId="230">
      <alignment vertical="center"/>
      <protection locked="0"/>
    </xf>
    <xf numFmtId="196" fontId="5" fillId="69" borderId="230">
      <alignment vertical="center"/>
    </xf>
    <xf numFmtId="188" fontId="5" fillId="69" borderId="230">
      <alignment vertical="center"/>
    </xf>
    <xf numFmtId="190" fontId="5" fillId="69" borderId="230">
      <alignment vertical="center"/>
    </xf>
    <xf numFmtId="191" fontId="5" fillId="69" borderId="230">
      <alignment vertical="center"/>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21" borderId="222" applyNumberFormat="0" applyProtection="0">
      <alignment horizontal="left" vertical="top" indent="1"/>
    </xf>
    <xf numFmtId="186" fontId="27" fillId="14" borderId="25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37" fontId="33" fillId="0" borderId="227" applyNumberFormat="0"/>
    <xf numFmtId="4" fontId="56" fillId="15" borderId="224" applyNumberFormat="0" applyProtection="0">
      <alignment horizontal="right" vertical="center"/>
    </xf>
    <xf numFmtId="186" fontId="56" fillId="21" borderId="222" applyNumberFormat="0" applyProtection="0">
      <alignment horizontal="left" vertical="top" indent="1"/>
    </xf>
    <xf numFmtId="4" fontId="27" fillId="21" borderId="228" applyNumberFormat="0" applyProtection="0">
      <alignment horizontal="left" vertical="center" indent="1"/>
    </xf>
    <xf numFmtId="191" fontId="5" fillId="13" borderId="230">
      <alignment vertical="center"/>
    </xf>
    <xf numFmtId="191" fontId="28" fillId="51" borderId="23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197">
      <alignment vertical="center"/>
    </xf>
    <xf numFmtId="186" fontId="27" fillId="15" borderId="222" applyNumberFormat="0" applyProtection="0">
      <alignment horizontal="left" vertical="center" indent="1"/>
    </xf>
    <xf numFmtId="37" fontId="33" fillId="0" borderId="227" applyNumberFormat="0"/>
    <xf numFmtId="186" fontId="56" fillId="14" borderId="222"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190" fontId="28" fillId="50" borderId="230">
      <alignment vertical="center"/>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72" fontId="28" fillId="12" borderId="230">
      <alignment vertical="center"/>
      <protection locked="0"/>
    </xf>
    <xf numFmtId="191" fontId="28" fillId="51" borderId="230">
      <alignment horizontal="right" vertical="center"/>
      <protection locked="0"/>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4" fontId="59" fillId="53" borderId="224" applyNumberFormat="0" applyProtection="0">
      <alignment vertical="center"/>
    </xf>
    <xf numFmtId="37" fontId="33" fillId="0" borderId="256" applyNumberFormat="0"/>
    <xf numFmtId="186" fontId="62" fillId="48"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4" fontId="56" fillId="52" borderId="263" applyNumberFormat="0" applyProtection="0">
      <alignment vertical="center"/>
    </xf>
    <xf numFmtId="186" fontId="57" fillId="44" borderId="264" applyNumberForma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42" fillId="44" borderId="224" applyNumberFormat="0" applyAlignment="0" applyProtection="0"/>
    <xf numFmtId="4" fontId="72" fillId="82" borderId="261" applyNumberFormat="0" applyProtection="0">
      <alignment horizontal="right" vertical="center"/>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190" fontId="28" fillId="51" borderId="230">
      <alignment horizontal="right" vertical="center"/>
      <protection locked="0"/>
    </xf>
    <xf numFmtId="186" fontId="56" fillId="15" borderId="222" applyNumberFormat="0" applyProtection="0">
      <alignment horizontal="left" vertical="top" indent="1"/>
    </xf>
    <xf numFmtId="190" fontId="28" fillId="50" borderId="230">
      <alignment vertical="center"/>
    </xf>
    <xf numFmtId="190" fontId="28" fillId="49" borderId="230">
      <alignment vertical="center"/>
    </xf>
    <xf numFmtId="186" fontId="62" fillId="48" borderId="222" applyNumberFormat="0" applyProtection="0">
      <alignment horizontal="left" vertical="top" indent="1"/>
    </xf>
    <xf numFmtId="186" fontId="56" fillId="21" borderId="222" applyNumberFormat="0" applyProtection="0">
      <alignment horizontal="left" vertical="top" indent="1"/>
    </xf>
    <xf numFmtId="186" fontId="56" fillId="21" borderId="244" applyNumberFormat="0" applyProtection="0">
      <alignment horizontal="left" vertical="top" indent="1"/>
    </xf>
    <xf numFmtId="186" fontId="56" fillId="15" borderId="222" applyNumberFormat="0" applyProtection="0">
      <alignment horizontal="left" vertical="top" indent="1"/>
    </xf>
    <xf numFmtId="186" fontId="60" fillId="52" borderId="222" applyNumberFormat="0" applyProtection="0">
      <alignment horizontal="left" vertical="top" indent="1"/>
    </xf>
    <xf numFmtId="186" fontId="27" fillId="63" borderId="261" applyNumberFormat="0" applyProtection="0">
      <alignment horizontal="left" vertical="center" indent="1"/>
    </xf>
    <xf numFmtId="4" fontId="56" fillId="54" borderId="263" applyNumberFormat="0" applyProtection="0">
      <alignment horizontal="left" vertical="center" indent="1"/>
    </xf>
    <xf numFmtId="186" fontId="56" fillId="40" borderId="224" applyNumberFormat="0" applyFont="0" applyAlignment="0" applyProtection="0"/>
    <xf numFmtId="4" fontId="59" fillId="53" borderId="263" applyNumberFormat="0" applyProtection="0">
      <alignment vertical="center"/>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4" fontId="56" fillId="19"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197">
      <alignment horizontal="right" vertical="center"/>
      <protection locked="0"/>
    </xf>
    <xf numFmtId="186" fontId="44" fillId="0" borderId="229" applyNumberFormat="0" applyFill="0" applyAlignment="0" applyProtection="0"/>
    <xf numFmtId="186" fontId="56" fillId="14" borderId="224" applyNumberFormat="0" applyProtection="0">
      <alignment horizontal="left" vertical="center"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21" borderId="261" applyNumberFormat="0" applyProtection="0">
      <alignment horizontal="left" vertical="top" indent="1"/>
    </xf>
    <xf numFmtId="186" fontId="42" fillId="44" borderId="224" applyNumberFormat="0" applyAlignment="0" applyProtection="0"/>
    <xf numFmtId="186" fontId="28" fillId="12" borderId="230">
      <alignment vertical="center"/>
      <protection locked="0"/>
    </xf>
    <xf numFmtId="186" fontId="28" fillId="51" borderId="230">
      <alignment horizontal="right" vertical="center"/>
      <protection locked="0"/>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188" fontId="5" fillId="13" borderId="230">
      <alignment vertical="center"/>
    </xf>
    <xf numFmtId="186" fontId="56" fillId="63" borderId="222" applyNumberFormat="0" applyProtection="0">
      <alignment horizontal="left" vertical="top" indent="1"/>
    </xf>
    <xf numFmtId="186" fontId="28" fillId="12" borderId="19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186" fontId="56" fillId="40" borderId="224" applyNumberFormat="0" applyFont="0" applyAlignment="0" applyProtection="0"/>
    <xf numFmtId="186" fontId="56" fillId="63" borderId="261" applyNumberFormat="0" applyProtection="0">
      <alignment horizontal="left" vertical="top" indent="1"/>
    </xf>
    <xf numFmtId="190" fontId="28" fillId="51" borderId="230">
      <alignment horizontal="right" vertical="center"/>
      <protection locked="0"/>
    </xf>
    <xf numFmtId="186" fontId="27" fillId="63" borderId="222" applyNumberFormat="0" applyProtection="0">
      <alignment horizontal="left" vertical="top" indent="1"/>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4" fontId="56" fillId="58" borderId="224" applyNumberFormat="0" applyProtection="0">
      <alignment horizontal="right" vertical="center"/>
    </xf>
    <xf numFmtId="4" fontId="59" fillId="65" borderId="224" applyNumberFormat="0" applyProtection="0">
      <alignment horizontal="right" vertical="center"/>
    </xf>
    <xf numFmtId="190" fontId="28" fillId="49" borderId="230">
      <alignment vertical="center"/>
    </xf>
    <xf numFmtId="186" fontId="28" fillId="49" borderId="23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6" fillId="15" borderId="261"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22" applyNumberFormat="0" applyProtection="0">
      <alignment horizontal="left" vertical="top" indent="1"/>
    </xf>
    <xf numFmtId="4" fontId="56" fillId="55" borderId="224" applyNumberFormat="0" applyProtection="0">
      <alignment horizontal="right" vertical="center"/>
    </xf>
    <xf numFmtId="186" fontId="56" fillId="63" borderId="253" applyNumberFormat="0" applyProtection="0">
      <alignment horizontal="left" vertical="center" indent="1"/>
    </xf>
    <xf numFmtId="186" fontId="56" fillId="40" borderId="224" applyNumberFormat="0" applyFont="0" applyAlignment="0" applyProtection="0"/>
    <xf numFmtId="4" fontId="56" fillId="19" borderId="224" applyNumberFormat="0" applyProtection="0">
      <alignment horizontal="right" vertical="center"/>
    </xf>
    <xf numFmtId="186" fontId="56" fillId="63" borderId="222" applyNumberFormat="0" applyProtection="0">
      <alignment horizontal="left" vertical="top" indent="1"/>
    </xf>
    <xf numFmtId="186" fontId="28" fillId="50" borderId="230">
      <alignment vertical="center"/>
    </xf>
    <xf numFmtId="186" fontId="27" fillId="15" borderId="222" applyNumberFormat="0" applyProtection="0">
      <alignment horizontal="left" vertical="top" indent="1"/>
    </xf>
    <xf numFmtId="186" fontId="56" fillId="11" borderId="224" applyNumberFormat="0" applyProtection="0">
      <alignment horizontal="left" vertical="center" indent="1"/>
    </xf>
    <xf numFmtId="191" fontId="28" fillId="12"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59" fillId="12" borderId="230" applyNumberFormat="0" applyProtection="0">
      <alignment vertical="center"/>
    </xf>
    <xf numFmtId="188" fontId="5" fillId="13" borderId="23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86" fontId="44" fillId="0" borderId="229" applyNumberFormat="0" applyFill="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94" fontId="33" fillId="0" borderId="231" applyFill="0"/>
    <xf numFmtId="186" fontId="56" fillId="40" borderId="224" applyNumberFormat="0" applyFont="0" applyAlignment="0" applyProtection="0"/>
    <xf numFmtId="193" fontId="28" fillId="12" borderId="230">
      <alignment vertical="center"/>
      <protection locked="0"/>
    </xf>
    <xf numFmtId="172" fontId="28" fillId="12" borderId="230">
      <alignment vertical="center"/>
      <protection locked="0"/>
    </xf>
    <xf numFmtId="191" fontId="28" fillId="50" borderId="230">
      <alignment vertical="center"/>
    </xf>
    <xf numFmtId="186" fontId="56" fillId="21"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4" fontId="27" fillId="21" borderId="228" applyNumberFormat="0" applyProtection="0">
      <alignment horizontal="left" vertical="center" indent="1"/>
    </xf>
    <xf numFmtId="4" fontId="56" fillId="55" borderId="263" applyNumberFormat="0" applyProtection="0">
      <alignment horizontal="right" vertical="center"/>
    </xf>
    <xf numFmtId="186" fontId="57" fillId="44" borderId="225" applyNumberFormat="0" applyAlignment="0" applyProtection="0"/>
    <xf numFmtId="0" fontId="27" fillId="21" borderId="261"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67" applyNumberFormat="0" applyProtection="0">
      <alignment horizontal="right" vertical="center"/>
    </xf>
    <xf numFmtId="186" fontId="56" fillId="40" borderId="224" applyNumberFormat="0" applyFont="0" applyAlignment="0" applyProtection="0"/>
    <xf numFmtId="186" fontId="27" fillId="21" borderId="222" applyNumberFormat="0" applyProtection="0">
      <alignment horizontal="left" vertical="center" indent="1"/>
    </xf>
    <xf numFmtId="186" fontId="56" fillId="40" borderId="224" applyNumberFormat="0" applyFont="0" applyAlignment="0" applyProtection="0"/>
    <xf numFmtId="37" fontId="33" fillId="0" borderId="227" applyNumberFormat="0"/>
    <xf numFmtId="186" fontId="28" fillId="49" borderId="197">
      <alignment vertical="center"/>
    </xf>
    <xf numFmtId="188" fontId="28" fillId="50" borderId="197">
      <alignment vertical="center"/>
    </xf>
    <xf numFmtId="186" fontId="56" fillId="15" borderId="222" applyNumberFormat="0" applyProtection="0">
      <alignment horizontal="left" vertical="top" indent="1"/>
    </xf>
    <xf numFmtId="186" fontId="27" fillId="14" borderId="222" applyNumberFormat="0" applyProtection="0">
      <alignment horizontal="left" vertical="center" indent="1"/>
    </xf>
    <xf numFmtId="191" fontId="28" fillId="51" borderId="230">
      <alignment horizontal="right" vertical="center"/>
      <protection locked="0"/>
    </xf>
    <xf numFmtId="4" fontId="56" fillId="19" borderId="224"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8" fillId="12" borderId="230">
      <alignment vertical="center"/>
      <protection locked="0"/>
    </xf>
    <xf numFmtId="4" fontId="56" fillId="23" borderId="263" applyNumberFormat="0" applyProtection="0">
      <alignment horizontal="right" vertical="center"/>
    </xf>
    <xf numFmtId="186" fontId="44" fillId="0" borderId="229" applyNumberFormat="0" applyFill="0" applyAlignment="0" applyProtection="0"/>
    <xf numFmtId="4" fontId="62" fillId="11" borderId="222" applyNumberFormat="0" applyProtection="0">
      <alignment horizontal="left" vertical="center" indent="1"/>
    </xf>
    <xf numFmtId="186" fontId="56" fillId="14" borderId="261" applyNumberFormat="0" applyProtection="0">
      <alignment horizontal="left" vertical="top"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186" fontId="42" fillId="44" borderId="224" applyNumberFormat="0" applyAlignment="0" applyProtection="0"/>
    <xf numFmtId="4" fontId="56" fillId="57" borderId="228" applyNumberFormat="0" applyProtection="0">
      <alignment horizontal="right" vertical="center"/>
    </xf>
    <xf numFmtId="186" fontId="60" fillId="52"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186" fontId="56" fillId="14"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4" fontId="72" fillId="86" borderId="222"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30" applyNumberFormat="0" applyProtection="0">
      <alignment vertical="center"/>
    </xf>
    <xf numFmtId="188" fontId="28" fillId="50" borderId="230">
      <alignment vertical="center"/>
    </xf>
    <xf numFmtId="4" fontId="56" fillId="56"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4" fontId="56" fillId="16" borderId="224" applyNumberFormat="0" applyProtection="0">
      <alignment horizontal="right" vertical="center"/>
    </xf>
    <xf numFmtId="186" fontId="27" fillId="63" borderId="222"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24" applyNumberFormat="0" applyProtection="0">
      <alignmen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56" fillId="60" borderId="224" applyNumberFormat="0" applyProtection="0">
      <alignment horizontal="right" vertical="center"/>
    </xf>
    <xf numFmtId="193" fontId="5" fillId="7" borderId="8">
      <alignment vertical="center"/>
      <protection locked="0"/>
    </xf>
    <xf numFmtId="186" fontId="56" fillId="21" borderId="222" applyNumberFormat="0" applyProtection="0">
      <alignment horizontal="left" vertical="top" indent="1"/>
    </xf>
    <xf numFmtId="186" fontId="57" fillId="44" borderId="225" applyNumberFormat="0" applyAlignment="0" applyProtection="0"/>
    <xf numFmtId="193" fontId="28" fillId="50" borderId="230">
      <alignment vertical="center"/>
    </xf>
    <xf numFmtId="4" fontId="56" fillId="23" borderId="224" applyNumberFormat="0" applyProtection="0">
      <alignment horizontal="right" vertical="center"/>
    </xf>
    <xf numFmtId="4" fontId="56" fillId="14" borderId="228" applyNumberFormat="0" applyProtection="0">
      <alignment horizontal="left" vertical="center" indent="1"/>
    </xf>
    <xf numFmtId="4" fontId="56" fillId="55" borderId="224" applyNumberFormat="0" applyProtection="0">
      <alignment horizontal="right" vertical="center"/>
    </xf>
    <xf numFmtId="186" fontId="42" fillId="44" borderId="224" applyNumberFormat="0" applyAlignment="0" applyProtection="0"/>
    <xf numFmtId="186" fontId="27" fillId="63" borderId="222" applyNumberFormat="0" applyProtection="0">
      <alignment horizontal="left" vertical="center"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190" fontId="28" fillId="50" borderId="197">
      <alignment vertical="center"/>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4" fontId="56" fillId="15" borderId="228" applyNumberFormat="0" applyProtection="0">
      <alignment horizontal="left" vertical="center" indent="1"/>
    </xf>
    <xf numFmtId="4" fontId="56" fillId="57" borderId="228" applyNumberFormat="0" applyProtection="0">
      <alignment horizontal="right" vertical="center"/>
    </xf>
    <xf numFmtId="186" fontId="50" fillId="41" borderId="224" applyNumberFormat="0" applyAlignment="0" applyProtection="0"/>
    <xf numFmtId="186" fontId="56" fillId="14"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44" fillId="0" borderId="229" applyNumberFormat="0" applyFill="0" applyAlignment="0" applyProtection="0"/>
    <xf numFmtId="186" fontId="56" fillId="63" borderId="222" applyNumberFormat="0" applyProtection="0">
      <alignment horizontal="left" vertical="top" indent="1"/>
    </xf>
    <xf numFmtId="4" fontId="56" fillId="52" borderId="224" applyNumberFormat="0" applyProtection="0">
      <alignment vertical="center"/>
    </xf>
    <xf numFmtId="4" fontId="56" fillId="56" borderId="263" applyNumberFormat="0" applyProtection="0">
      <alignment horizontal="right" vertical="center"/>
    </xf>
    <xf numFmtId="186" fontId="57" fillId="44" borderId="225" applyNumberFormat="0" applyAlignment="0" applyProtection="0"/>
    <xf numFmtId="186" fontId="56" fillId="21"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3" fontId="28" fillId="50"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63" applyNumberFormat="0" applyProtection="0">
      <alignment horizontal="right" vertical="center"/>
    </xf>
    <xf numFmtId="188" fontId="5" fillId="13"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24" applyNumberFormat="0" applyProtection="0">
      <alignment horizontal="right" vertical="center"/>
    </xf>
    <xf numFmtId="186" fontId="62"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3" borderId="224" applyNumberFormat="0" applyProtection="0">
      <alignment horizontal="left" vertical="center" indent="1"/>
    </xf>
    <xf numFmtId="4" fontId="56" fillId="56" borderId="224" applyNumberFormat="0" applyProtection="0">
      <alignment horizontal="right" vertical="center"/>
    </xf>
    <xf numFmtId="4" fontId="56" fillId="60" borderId="224" applyNumberFormat="0" applyProtection="0">
      <alignment horizontal="right" vertical="center"/>
    </xf>
    <xf numFmtId="4" fontId="56" fillId="15"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61" fillId="21" borderId="226" applyBorder="0"/>
    <xf numFmtId="186" fontId="56" fillId="67" borderId="230"/>
    <xf numFmtId="37" fontId="33" fillId="0" borderId="227" applyNumberFormat="0"/>
    <xf numFmtId="194" fontId="33" fillId="0" borderId="231" applyFill="0"/>
    <xf numFmtId="186" fontId="56" fillId="15" borderId="222" applyNumberFormat="0" applyProtection="0">
      <alignment horizontal="left" vertical="top" indent="1"/>
    </xf>
    <xf numFmtId="4" fontId="56" fillId="57" borderId="228"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190" fontId="28" fillId="49" borderId="197">
      <alignment vertical="center"/>
    </xf>
    <xf numFmtId="4" fontId="56" fillId="56" borderId="224" applyNumberFormat="0" applyProtection="0">
      <alignment horizontal="right" vertical="center"/>
    </xf>
    <xf numFmtId="4" fontId="56" fillId="61" borderId="228" applyNumberFormat="0" applyProtection="0">
      <alignment horizontal="left" vertical="center" indent="1"/>
    </xf>
    <xf numFmtId="188" fontId="28" fillId="51" borderId="23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42" fillId="44" borderId="224" applyNumberFormat="0" applyAlignment="0" applyProtection="0"/>
    <xf numFmtId="4" fontId="56" fillId="58" borderId="224" applyNumberFormat="0" applyProtection="0">
      <alignment horizontal="right" vertical="center"/>
    </xf>
    <xf numFmtId="186" fontId="27" fillId="14" borderId="222" applyNumberFormat="0" applyProtection="0">
      <alignment horizontal="left" vertical="top" indent="1"/>
    </xf>
    <xf numFmtId="186" fontId="56" fillId="40" borderId="224" applyNumberFormat="0" applyFont="0" applyAlignment="0" applyProtection="0"/>
    <xf numFmtId="186" fontId="28" fillId="50" borderId="230">
      <alignment vertical="center"/>
    </xf>
    <xf numFmtId="4" fontId="56" fillId="23" borderId="224" applyNumberFormat="0" applyProtection="0">
      <alignment horizontal="right" vertical="center"/>
    </xf>
    <xf numFmtId="191" fontId="5" fillId="70" borderId="230">
      <alignment horizontal="right" vertical="center"/>
      <protection locked="0"/>
    </xf>
    <xf numFmtId="186" fontId="56" fillId="15" borderId="222" applyNumberFormat="0" applyProtection="0">
      <alignment horizontal="left" vertical="top" indent="1"/>
    </xf>
    <xf numFmtId="188" fontId="28" fillId="49" borderId="197">
      <alignment vertical="center"/>
    </xf>
    <xf numFmtId="4" fontId="62" fillId="11" borderId="222" applyNumberFormat="0" applyProtection="0">
      <alignment horizontal="left" vertical="center"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63" borderId="224" applyNumberFormat="0" applyProtection="0">
      <alignment horizontal="left" vertical="center" indent="1"/>
    </xf>
    <xf numFmtId="193" fontId="28" fillId="12" borderId="230">
      <alignment vertical="center"/>
      <protection locked="0"/>
    </xf>
    <xf numFmtId="4" fontId="56" fillId="60" borderId="224" applyNumberFormat="0" applyProtection="0">
      <alignment horizontal="right" vertical="center"/>
    </xf>
    <xf numFmtId="186" fontId="56" fillId="15" borderId="222" applyNumberFormat="0" applyProtection="0">
      <alignment horizontal="left" vertical="top" indent="1"/>
    </xf>
    <xf numFmtId="186" fontId="50" fillId="41" borderId="224" applyNumberFormat="0" applyAlignment="0" applyProtection="0"/>
    <xf numFmtId="4" fontId="56" fillId="23" borderId="224" applyNumberFormat="0" applyProtection="0">
      <alignment horizontal="right" vertical="center"/>
    </xf>
    <xf numFmtId="164" fontId="35" fillId="0" borderId="0" applyFont="0" applyFill="0" applyBorder="0" applyAlignment="0" applyProtection="0"/>
    <xf numFmtId="4" fontId="62" fillId="48" borderId="222" applyNumberFormat="0" applyProtection="0">
      <alignment vertical="center"/>
    </xf>
    <xf numFmtId="4" fontId="56" fillId="58" borderId="263" applyNumberFormat="0" applyProtection="0">
      <alignment horizontal="right" vertical="center"/>
    </xf>
    <xf numFmtId="190" fontId="28" fillId="49" borderId="230">
      <alignment vertical="center"/>
    </xf>
    <xf numFmtId="191" fontId="28" fillId="51" borderId="230">
      <alignment horizontal="right" vertical="center"/>
      <protection locked="0"/>
    </xf>
    <xf numFmtId="186" fontId="27" fillId="21" borderId="222" applyNumberFormat="0" applyProtection="0">
      <alignment horizontal="left" vertical="top" indent="1"/>
    </xf>
    <xf numFmtId="186" fontId="56" fillId="63" borderId="224" applyNumberFormat="0" applyProtection="0">
      <alignment horizontal="left" vertical="center" indent="1"/>
    </xf>
    <xf numFmtId="186" fontId="56" fillId="67" borderId="230"/>
    <xf numFmtId="186" fontId="42" fillId="44" borderId="224" applyNumberFormat="0" applyAlignment="0" applyProtection="0"/>
    <xf numFmtId="4" fontId="56" fillId="52" borderId="22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22" applyNumberFormat="0" applyProtection="0">
      <alignment horizontal="left" vertical="top" indent="1"/>
    </xf>
    <xf numFmtId="191" fontId="28" fillId="12" borderId="197">
      <alignment vertical="center"/>
      <protection locked="0"/>
    </xf>
    <xf numFmtId="186" fontId="56" fillId="64" borderId="211" applyNumberFormat="0">
      <protection locked="0"/>
    </xf>
    <xf numFmtId="4" fontId="56" fillId="54" borderId="224" applyNumberFormat="0" applyProtection="0">
      <alignment horizontal="left" vertical="center" indent="1"/>
    </xf>
    <xf numFmtId="4" fontId="64" fillId="64" borderId="224" applyNumberFormat="0" applyProtection="0">
      <alignment horizontal="right" vertical="center"/>
    </xf>
    <xf numFmtId="4" fontId="59" fillId="12" borderId="197"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21" borderId="222" applyNumberFormat="0" applyProtection="0">
      <alignment horizontal="left" vertical="center" indent="1"/>
    </xf>
    <xf numFmtId="4" fontId="56" fillId="60" borderId="224" applyNumberFormat="0" applyProtection="0">
      <alignment horizontal="right" vertical="center"/>
    </xf>
    <xf numFmtId="4" fontId="56" fillId="23"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27" fillId="15" borderId="222" applyNumberFormat="0" applyProtection="0">
      <alignment horizontal="left" vertical="center" indent="1"/>
    </xf>
    <xf numFmtId="186" fontId="27" fillId="21" borderId="222" applyNumberFormat="0" applyProtection="0">
      <alignment horizontal="left" vertical="top" indent="1"/>
    </xf>
    <xf numFmtId="4" fontId="56" fillId="14" borderId="228"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69" borderId="230">
      <alignment vertical="center"/>
    </xf>
    <xf numFmtId="190" fontId="5" fillId="13" borderId="230">
      <alignment vertical="center"/>
    </xf>
    <xf numFmtId="188" fontId="5" fillId="70" borderId="230">
      <alignment horizontal="right" vertical="center"/>
      <protection locked="0"/>
    </xf>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57" borderId="228" applyNumberFormat="0" applyProtection="0">
      <alignment horizontal="right" vertical="center"/>
    </xf>
    <xf numFmtId="190" fontId="28" fillId="51" borderId="230">
      <alignment horizontal="right" vertical="center"/>
      <protection locked="0"/>
    </xf>
    <xf numFmtId="191" fontId="28" fillId="51" borderId="230">
      <alignment horizontal="right" vertical="center"/>
      <protection locked="0"/>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4"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30">
      <alignment vertical="center"/>
    </xf>
    <xf numFmtId="186" fontId="28" fillId="51" borderId="230">
      <alignment horizontal="right" vertical="center"/>
      <protection locked="0"/>
    </xf>
    <xf numFmtId="4" fontId="56" fillId="14" borderId="228" applyNumberFormat="0" applyProtection="0">
      <alignment horizontal="left" vertical="center" indent="1"/>
    </xf>
    <xf numFmtId="4" fontId="56" fillId="0" borderId="224" applyNumberFormat="0" applyProtection="0">
      <alignment horizontal="right" vertical="center"/>
    </xf>
    <xf numFmtId="4" fontId="59" fillId="53" borderId="224" applyNumberFormat="0" applyProtection="0">
      <alignment vertical="center"/>
    </xf>
    <xf numFmtId="4" fontId="56" fillId="55" borderId="224" applyNumberFormat="0" applyProtection="0">
      <alignment horizontal="right" vertical="center"/>
    </xf>
    <xf numFmtId="191" fontId="28" fillId="50" borderId="197">
      <alignment vertical="center"/>
    </xf>
    <xf numFmtId="186" fontId="42" fillId="44" borderId="224" applyNumberFormat="0" applyAlignment="0" applyProtection="0"/>
    <xf numFmtId="186" fontId="56" fillId="14" borderId="222" applyNumberFormat="0" applyProtection="0">
      <alignment horizontal="left" vertical="top" indent="1"/>
    </xf>
    <xf numFmtId="186" fontId="56" fillId="63" borderId="252" applyNumberFormat="0" applyProtection="0">
      <alignment horizontal="left" vertical="top" indent="1"/>
    </xf>
    <xf numFmtId="186" fontId="56" fillId="14" borderId="222" applyNumberFormat="0" applyProtection="0">
      <alignment horizontal="left" vertical="top" indent="1"/>
    </xf>
    <xf numFmtId="186" fontId="56" fillId="63" borderId="261"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24" applyNumberFormat="0" applyProtection="0">
      <alignment horizontal="right" vertical="center"/>
    </xf>
    <xf numFmtId="186" fontId="28" fillId="50" borderId="259">
      <alignment vertical="center"/>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4" fontId="56" fillId="55" borderId="224" applyNumberFormat="0" applyProtection="0">
      <alignment horizontal="right" vertical="center"/>
    </xf>
    <xf numFmtId="4" fontId="59" fillId="53" borderId="224" applyNumberFormat="0" applyProtection="0">
      <alignment vertical="center"/>
    </xf>
    <xf numFmtId="4" fontId="27" fillId="21" borderId="267" applyNumberFormat="0" applyProtection="0">
      <alignment horizontal="left" vertical="center" indent="1"/>
    </xf>
    <xf numFmtId="4" fontId="56" fillId="60" borderId="224"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1" borderId="257" applyNumberFormat="0" applyProtection="0">
      <alignment horizontal="left" vertical="center" indent="1"/>
    </xf>
    <xf numFmtId="186" fontId="56" fillId="21"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5" borderId="222" applyNumberFormat="0" applyProtection="0">
      <alignment horizontal="left" vertical="top" indent="1"/>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186" fontId="44" fillId="0" borderId="229" applyNumberFormat="0" applyFill="0" applyAlignment="0" applyProtection="0"/>
    <xf numFmtId="186" fontId="56" fillId="64" borderId="211" applyNumberFormat="0">
      <protection locked="0"/>
    </xf>
    <xf numFmtId="4" fontId="59" fillId="65" borderId="224" applyNumberFormat="0" applyProtection="0">
      <alignment horizontal="right" vertical="center"/>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90" fontId="28" fillId="50" borderId="197">
      <alignment vertical="center"/>
    </xf>
    <xf numFmtId="193" fontId="28" fillId="50" borderId="197">
      <alignment vertical="center"/>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1" fontId="28" fillId="12" borderId="197">
      <alignment vertical="center"/>
      <protection locked="0"/>
    </xf>
    <xf numFmtId="4" fontId="72" fillId="87" borderId="261" applyNumberFormat="0" applyProtection="0">
      <alignment horizontal="right" vertical="center"/>
    </xf>
    <xf numFmtId="188" fontId="5" fillId="70" borderId="259">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61"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21" borderId="222" applyNumberFormat="0" applyProtection="0">
      <alignment horizontal="left" vertical="top" indent="1"/>
    </xf>
    <xf numFmtId="4" fontId="56" fillId="23"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61" fillId="21" borderId="226" applyBorder="0"/>
    <xf numFmtId="4" fontId="59" fillId="65" borderId="224" applyNumberFormat="0" applyProtection="0">
      <alignment horizontal="right" vertical="center"/>
    </xf>
    <xf numFmtId="186" fontId="56" fillId="11" borderId="224" applyNumberFormat="0" applyProtection="0">
      <alignment horizontal="left" vertical="center" indent="1"/>
    </xf>
    <xf numFmtId="186" fontId="42" fillId="44" borderId="224" applyNumberFormat="0" applyAlignment="0" applyProtection="0"/>
    <xf numFmtId="193" fontId="28" fillId="50" borderId="230">
      <alignment vertical="center"/>
    </xf>
    <xf numFmtId="186" fontId="28" fillId="50" borderId="230">
      <alignment vertical="center"/>
    </xf>
    <xf numFmtId="186" fontId="28" fillId="50" borderId="230">
      <alignment vertical="center"/>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86" fontId="56" fillId="40" borderId="224" applyNumberFormat="0" applyFont="0" applyAlignment="0" applyProtection="0"/>
    <xf numFmtId="4" fontId="56" fillId="58" borderId="224" applyNumberFormat="0" applyProtection="0">
      <alignment horizontal="right" vertical="center"/>
    </xf>
    <xf numFmtId="4" fontId="56" fillId="23"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91" fontId="5" fillId="70" borderId="8">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0" fillId="41" borderId="224" applyNumberFormat="0" applyAlignment="0" applyProtection="0"/>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21" borderId="222" applyNumberFormat="0" applyProtection="0">
      <alignment horizontal="left" vertical="top" indent="1"/>
    </xf>
    <xf numFmtId="4" fontId="56" fillId="55" borderId="263" applyNumberFormat="0" applyProtection="0">
      <alignment horizontal="right" vertical="center"/>
    </xf>
    <xf numFmtId="4" fontId="72" fillId="86" borderId="222" applyNumberFormat="0" applyProtection="0">
      <alignment horizontal="right" vertical="center"/>
    </xf>
    <xf numFmtId="4" fontId="63" fillId="66" borderId="228" applyNumberFormat="0" applyProtection="0">
      <alignment horizontal="left" vertical="center"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6" fillId="55" borderId="224" applyNumberFormat="0" applyProtection="0">
      <alignment horizontal="right" vertical="center"/>
    </xf>
    <xf numFmtId="4" fontId="71" fillId="53" borderId="261" applyNumberFormat="0" applyProtection="0">
      <alignment vertical="center"/>
    </xf>
    <xf numFmtId="4" fontId="56" fillId="58"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6" fontId="5" fillId="69" borderId="230">
      <alignment vertical="center"/>
    </xf>
    <xf numFmtId="191" fontId="5" fillId="13" borderId="230">
      <alignment vertical="center"/>
    </xf>
    <xf numFmtId="186" fontId="44" fillId="0" borderId="229" applyNumberFormat="0" applyFill="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3" fontId="28" fillId="12" borderId="230">
      <alignment vertical="center"/>
      <protection locked="0"/>
    </xf>
    <xf numFmtId="4" fontId="56" fillId="54" borderId="224" applyNumberFormat="0" applyProtection="0">
      <alignment horizontal="left" vertical="center" indent="1"/>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59"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24" applyNumberFormat="0" applyAlignment="0" applyProtection="0"/>
    <xf numFmtId="193" fontId="28" fillId="12" borderId="230">
      <alignment vertical="center"/>
      <protection locked="0"/>
    </xf>
    <xf numFmtId="186" fontId="60" fillId="52" borderId="222" applyNumberFormat="0" applyProtection="0">
      <alignment horizontal="left" vertical="top" indent="1"/>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42" fillId="44" borderId="22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40" borderId="263" applyNumberFormat="0" applyFont="0" applyAlignment="0" applyProtection="0"/>
    <xf numFmtId="4" fontId="56" fillId="53" borderId="224"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186" fontId="56" fillId="21" borderId="261"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91" fontId="28" fillId="51" borderId="197">
      <alignment horizontal="right" vertical="center"/>
      <protection locked="0"/>
    </xf>
    <xf numFmtId="186" fontId="28" fillId="50" borderId="197">
      <alignment vertical="center"/>
    </xf>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186" fontId="27" fillId="21" borderId="222" applyNumberFormat="0" applyProtection="0">
      <alignment horizontal="left" vertical="center" indent="1"/>
    </xf>
    <xf numFmtId="186" fontId="50" fillId="41" borderId="224" applyNumberFormat="0" applyAlignment="0" applyProtection="0"/>
    <xf numFmtId="186" fontId="44" fillId="0" borderId="229" applyNumberFormat="0" applyFill="0" applyAlignment="0" applyProtection="0"/>
    <xf numFmtId="186" fontId="50" fillId="41" borderId="224" applyNumberFormat="0" applyAlignment="0" applyProtection="0"/>
    <xf numFmtId="191" fontId="28" fillId="50" borderId="197">
      <alignment vertical="center"/>
    </xf>
    <xf numFmtId="186" fontId="42" fillId="44" borderId="224" applyNumberFormat="0" applyAlignment="0" applyProtection="0"/>
    <xf numFmtId="4" fontId="56" fillId="58" borderId="224" applyNumberFormat="0" applyProtection="0">
      <alignment horizontal="right" vertical="center"/>
    </xf>
    <xf numFmtId="193" fontId="28" fillId="12" borderId="230">
      <alignment vertical="center"/>
      <protection locked="0"/>
    </xf>
    <xf numFmtId="172" fontId="28" fillId="12" borderId="197">
      <alignment vertical="center"/>
      <protection locked="0"/>
    </xf>
    <xf numFmtId="4" fontId="56" fillId="16" borderId="224" applyNumberFormat="0" applyProtection="0">
      <alignment horizontal="right" vertical="center"/>
    </xf>
    <xf numFmtId="191" fontId="28" fillId="12" borderId="230">
      <alignment vertical="center"/>
      <protection locked="0"/>
    </xf>
    <xf numFmtId="186" fontId="56" fillId="62" borderId="224" applyNumberFormat="0" applyProtection="0">
      <alignment horizontal="left" vertical="center" indent="1"/>
    </xf>
    <xf numFmtId="172" fontId="28" fillId="12" borderId="230">
      <alignment vertical="center"/>
      <protection locked="0"/>
    </xf>
    <xf numFmtId="186" fontId="27" fillId="14" borderId="222" applyNumberFormat="0" applyProtection="0">
      <alignment horizontal="left" vertical="center" indent="1"/>
    </xf>
    <xf numFmtId="191" fontId="28" fillId="12" borderId="230">
      <alignment vertical="center"/>
      <protection locked="0"/>
    </xf>
    <xf numFmtId="186" fontId="27" fillId="63" borderId="222" applyNumberFormat="0" applyProtection="0">
      <alignment horizontal="left" vertical="center" indent="1"/>
    </xf>
    <xf numFmtId="4" fontId="59" fillId="12" borderId="197" applyNumberFormat="0" applyProtection="0">
      <alignment vertical="center"/>
    </xf>
    <xf numFmtId="4" fontId="56" fillId="59" borderId="263" applyNumberFormat="0" applyProtection="0">
      <alignment horizontal="right" vertical="center"/>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190" fontId="5" fillId="69" borderId="8">
      <alignment vertical="center"/>
    </xf>
    <xf numFmtId="191" fontId="28" fillId="12" borderId="197">
      <alignment vertical="center"/>
      <protection locked="0"/>
    </xf>
    <xf numFmtId="4" fontId="56" fillId="23" borderId="224" applyNumberFormat="0" applyProtection="0">
      <alignment horizontal="right" vertical="center"/>
    </xf>
    <xf numFmtId="4" fontId="56" fillId="14" borderId="228" applyNumberFormat="0" applyProtection="0">
      <alignment horizontal="left" vertical="center" indent="1"/>
    </xf>
    <xf numFmtId="172" fontId="28" fillId="12" borderId="197">
      <alignment vertical="center"/>
      <protection locked="0"/>
    </xf>
    <xf numFmtId="186" fontId="56" fillId="63" borderId="224" applyNumberFormat="0" applyProtection="0">
      <alignment horizontal="left" vertical="center" indent="1"/>
    </xf>
    <xf numFmtId="186" fontId="56" fillId="40" borderId="263"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7" fillId="44" borderId="225" applyNumberFormat="0" applyAlignment="0" applyProtection="0"/>
    <xf numFmtId="4" fontId="56" fillId="60" borderId="263"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94" fontId="33" fillId="0" borderId="231" applyFill="0"/>
    <xf numFmtId="4" fontId="63" fillId="66" borderId="228" applyNumberFormat="0" applyProtection="0">
      <alignment horizontal="left" vertical="center" indent="1"/>
    </xf>
    <xf numFmtId="186" fontId="62" fillId="48" borderId="222" applyNumberFormat="0" applyProtection="0">
      <alignment horizontal="left" vertical="top" indent="1"/>
    </xf>
    <xf numFmtId="186" fontId="27" fillId="64" borderId="230"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30">
      <alignment vertical="center"/>
    </xf>
    <xf numFmtId="193" fontId="28" fillId="12" borderId="230">
      <alignment vertical="center"/>
      <protection locked="0"/>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4" fontId="63" fillId="66" borderId="22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4" fontId="56" fillId="60" borderId="263" applyNumberFormat="0" applyProtection="0">
      <alignment horizontal="right" vertical="center"/>
    </xf>
    <xf numFmtId="4" fontId="56" fillId="0" borderId="224" applyNumberFormat="0" applyProtection="0">
      <alignment horizontal="right" vertical="center"/>
    </xf>
    <xf numFmtId="0" fontId="5" fillId="69" borderId="8">
      <alignment vertical="center"/>
    </xf>
    <xf numFmtId="193" fontId="28" fillId="50" borderId="197">
      <alignment vertical="center"/>
    </xf>
    <xf numFmtId="186" fontId="56" fillId="40" borderId="224" applyNumberFormat="0" applyFont="0" applyAlignment="0" applyProtection="0"/>
    <xf numFmtId="4" fontId="72" fillId="78" borderId="261" applyNumberFormat="0" applyProtection="0">
      <alignment horizontal="righ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186" fontId="56" fillId="21" borderId="261"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2" borderId="23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4" fontId="56" fillId="56" borderId="263" applyNumberFormat="0" applyProtection="0">
      <alignment horizontal="right" vertical="center"/>
    </xf>
    <xf numFmtId="191" fontId="28" fillId="49" borderId="230">
      <alignment vertical="center"/>
    </xf>
    <xf numFmtId="186" fontId="44" fillId="0" borderId="248" applyNumberFormat="0" applyFill="0" applyAlignment="0" applyProtection="0"/>
    <xf numFmtId="4" fontId="63" fillId="66" borderId="228" applyNumberFormat="0" applyProtection="0">
      <alignment horizontal="left" vertical="center" indent="1"/>
    </xf>
    <xf numFmtId="186" fontId="62" fillId="48" borderId="222" applyNumberFormat="0" applyProtection="0">
      <alignment horizontal="left" vertical="top" indent="1"/>
    </xf>
    <xf numFmtId="4" fontId="62" fillId="48" borderId="261" applyNumberFormat="0" applyProtection="0">
      <alignment vertical="center"/>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0" borderId="230">
      <alignment vertical="center"/>
    </xf>
    <xf numFmtId="186" fontId="42" fillId="44" borderId="263" applyNumberFormat="0" applyAlignment="0" applyProtection="0"/>
    <xf numFmtId="186" fontId="61" fillId="21" borderId="265" applyBorder="0"/>
    <xf numFmtId="4" fontId="56" fillId="23" borderId="263" applyNumberFormat="0" applyProtection="0">
      <alignment horizontal="right" vertical="center"/>
    </xf>
    <xf numFmtId="193" fontId="28" fillId="12" borderId="197">
      <alignment vertical="center"/>
      <protection locked="0"/>
    </xf>
    <xf numFmtId="4" fontId="56" fillId="54" borderId="263" applyNumberFormat="0" applyProtection="0">
      <alignment horizontal="left" vertical="center" indent="1"/>
    </xf>
    <xf numFmtId="186" fontId="62" fillId="48"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2" borderId="222" applyNumberFormat="0" applyProtection="0">
      <alignment horizontal="left" vertical="top" indent="1"/>
    </xf>
    <xf numFmtId="4" fontId="56" fillId="56" borderId="263" applyNumberFormat="0" applyProtection="0">
      <alignment horizontal="right" vertical="center"/>
    </xf>
    <xf numFmtId="186" fontId="56" fillId="64" borderId="211" applyNumberFormat="0">
      <protection locked="0"/>
    </xf>
    <xf numFmtId="186" fontId="57" fillId="44" borderId="243" applyNumberFormat="0" applyAlignment="0" applyProtection="0"/>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22" applyNumberFormat="0" applyProtection="0">
      <alignment horizontal="left" vertical="top" indent="1"/>
    </xf>
    <xf numFmtId="186" fontId="61" fillId="21" borderId="255" applyBorder="0"/>
    <xf numFmtId="4" fontId="56" fillId="59" borderId="224" applyNumberFormat="0" applyProtection="0">
      <alignment horizontal="right" vertical="center"/>
    </xf>
    <xf numFmtId="186" fontId="61" fillId="21" borderId="226" applyBorder="0"/>
    <xf numFmtId="4" fontId="59" fillId="53" borderId="224" applyNumberFormat="0" applyProtection="0">
      <alignment vertical="center"/>
    </xf>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91" fontId="28" fillId="50" borderId="230">
      <alignment vertical="center"/>
    </xf>
    <xf numFmtId="4" fontId="56" fillId="14" borderId="22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96" fontId="5" fillId="69" borderId="230">
      <alignment vertical="center"/>
    </xf>
    <xf numFmtId="188" fontId="5" fillId="7"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4" fontId="56" fillId="16" borderId="224" applyNumberFormat="0" applyProtection="0">
      <alignment horizontal="right" vertical="center"/>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56" fillId="16" borderId="242" applyNumberFormat="0" applyProtection="0">
      <alignment horizontal="right" vertical="center"/>
    </xf>
    <xf numFmtId="4" fontId="56" fillId="53" borderId="263" applyNumberFormat="0" applyProtection="0">
      <alignment horizontal="left" vertical="center" indent="1"/>
    </xf>
    <xf numFmtId="186" fontId="28" fillId="51" borderId="230">
      <alignment horizontal="right" vertical="center"/>
      <protection locked="0"/>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93" fontId="28" fillId="12" borderId="197">
      <alignment vertical="center"/>
      <protection locked="0"/>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0" fontId="27" fillId="14" borderId="252" applyNumberFormat="0" applyProtection="0">
      <alignment horizontal="left" vertical="top" indent="1"/>
    </xf>
    <xf numFmtId="4" fontId="59" fillId="53" borderId="224" applyNumberFormat="0" applyProtection="0">
      <alignment vertical="center"/>
    </xf>
    <xf numFmtId="186" fontId="62" fillId="15" borderId="222" applyNumberFormat="0" applyProtection="0">
      <alignment horizontal="left" vertical="top" indent="1"/>
    </xf>
    <xf numFmtId="191" fontId="5" fillId="7" borderId="8">
      <alignment vertical="center"/>
      <protection locked="0"/>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2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2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63"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4" fontId="27" fillId="21" borderId="267" applyNumberFormat="0" applyProtection="0">
      <alignment horizontal="left" vertical="center" indent="1"/>
    </xf>
    <xf numFmtId="186" fontId="27" fillId="15" borderId="261" applyNumberFormat="0" applyProtection="0">
      <alignment horizontal="left" vertical="center" indent="1"/>
    </xf>
    <xf numFmtId="186" fontId="57" fillId="44" borderId="22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42" fillId="44" borderId="224" applyNumberFormat="0" applyAlignment="0" applyProtection="0"/>
    <xf numFmtId="186" fontId="50" fillId="41" borderId="263" applyNumberFormat="0" applyAlignment="0" applyProtection="0"/>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186" fontId="27" fillId="63" borderId="244" applyNumberFormat="0" applyProtection="0">
      <alignment horizontal="left" vertical="top" indent="1"/>
    </xf>
    <xf numFmtId="186" fontId="56" fillId="40" borderId="242" applyNumberFormat="0" applyFont="0" applyAlignment="0" applyProtection="0"/>
    <xf numFmtId="4" fontId="72" fillId="79" borderId="261" applyNumberFormat="0" applyProtection="0">
      <alignment horizontal="right" vertical="center"/>
    </xf>
    <xf numFmtId="4" fontId="74" fillId="87" borderId="261" applyNumberFormat="0" applyProtection="0">
      <alignment horizontal="right" vertical="center"/>
    </xf>
    <xf numFmtId="37" fontId="33" fillId="0" borderId="266" applyNumberFormat="0"/>
    <xf numFmtId="4" fontId="56" fillId="56" borderId="263" applyNumberFormat="0" applyProtection="0">
      <alignment horizontal="right" vertical="center"/>
    </xf>
    <xf numFmtId="186" fontId="56" fillId="15" borderId="244" applyNumberFormat="0" applyProtection="0">
      <alignment horizontal="left" vertical="top" indent="1"/>
    </xf>
    <xf numFmtId="186" fontId="56" fillId="14" borderId="261" applyNumberFormat="0" applyProtection="0">
      <alignment horizontal="left" vertical="top" indent="1"/>
    </xf>
    <xf numFmtId="186" fontId="62" fillId="48" borderId="222" applyNumberFormat="0" applyProtection="0">
      <alignment horizontal="left" vertical="top" indent="1"/>
    </xf>
    <xf numFmtId="4" fontId="56" fillId="57" borderId="228" applyNumberFormat="0" applyProtection="0">
      <alignment horizontal="right" vertical="center"/>
    </xf>
    <xf numFmtId="186" fontId="56" fillId="40" borderId="224" applyNumberFormat="0" applyFont="0" applyAlignment="0" applyProtection="0"/>
    <xf numFmtId="0" fontId="27"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186" fontId="56" fillId="64" borderId="211" applyNumberFormat="0">
      <protection locked="0"/>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191" fontId="28" fillId="51" borderId="197">
      <alignment horizontal="right" vertical="center"/>
      <protection locked="0"/>
    </xf>
    <xf numFmtId="186" fontId="56" fillId="15" borderId="222" applyNumberFormat="0" applyProtection="0">
      <alignment horizontal="left" vertical="top" indent="1"/>
    </xf>
    <xf numFmtId="193" fontId="28" fillId="50" borderId="269">
      <alignment vertical="center"/>
    </xf>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22" applyNumberFormat="0" applyProtection="0">
      <alignment horizontal="left" vertical="center" indent="1"/>
    </xf>
    <xf numFmtId="186" fontId="56" fillId="11" borderId="224" applyNumberFormat="0" applyProtection="0">
      <alignment horizontal="left" vertical="center" indent="1"/>
    </xf>
    <xf numFmtId="37" fontId="33" fillId="0" borderId="227" applyNumberFormat="0"/>
    <xf numFmtId="4" fontId="56" fillId="54" borderId="224" applyNumberFormat="0" applyProtection="0">
      <alignment horizontal="left" vertical="center" indent="1"/>
    </xf>
    <xf numFmtId="4" fontId="59" fillId="12" borderId="230"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56" fillId="40" borderId="224" applyNumberFormat="0" applyFont="0" applyAlignment="0" applyProtection="0"/>
    <xf numFmtId="191" fontId="28" fillId="50" borderId="230">
      <alignment vertical="center"/>
    </xf>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8" fontId="5" fillId="7" borderId="23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24" applyNumberFormat="0" applyAlignment="0" applyProtection="0"/>
    <xf numFmtId="194" fontId="33" fillId="0" borderId="231" applyFill="0"/>
    <xf numFmtId="186" fontId="56" fillId="21" borderId="261" applyNumberFormat="0" applyProtection="0">
      <alignment horizontal="left" vertical="top"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29" applyNumberFormat="0" applyFill="0" applyAlignment="0" applyProtection="0"/>
    <xf numFmtId="186" fontId="61" fillId="21" borderId="265" applyBorder="0"/>
    <xf numFmtId="4" fontId="56" fillId="54" borderId="224" applyNumberFormat="0" applyProtection="0">
      <alignment horizontal="left" vertical="center" indent="1"/>
    </xf>
    <xf numFmtId="186" fontId="42" fillId="44" borderId="263"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7" borderId="228" applyNumberFormat="0" applyProtection="0">
      <alignment horizontal="right" vertical="center"/>
    </xf>
    <xf numFmtId="186" fontId="56" fillId="14" borderId="263" applyNumberFormat="0" applyProtection="0">
      <alignment horizontal="left" vertical="center" indent="1"/>
    </xf>
    <xf numFmtId="191" fontId="28" fillId="50" borderId="197">
      <alignment vertical="center"/>
    </xf>
    <xf numFmtId="186" fontId="28" fillId="12" borderId="197">
      <alignment vertical="center"/>
      <protection locked="0"/>
    </xf>
    <xf numFmtId="4" fontId="59" fillId="65" borderId="224" applyNumberFormat="0" applyProtection="0">
      <alignment horizontal="right" vertical="center"/>
    </xf>
    <xf numFmtId="190" fontId="28" fillId="51" borderId="197">
      <alignment horizontal="right" vertical="center"/>
      <protection locked="0"/>
    </xf>
    <xf numFmtId="190" fontId="28" fillId="49" borderId="197">
      <alignment vertical="center"/>
    </xf>
    <xf numFmtId="193" fontId="28" fillId="12" borderId="197">
      <alignment vertical="center"/>
      <protection locked="0"/>
    </xf>
    <xf numFmtId="191" fontId="28" fillId="12" borderId="197">
      <alignment vertical="center"/>
      <protection locked="0"/>
    </xf>
    <xf numFmtId="190" fontId="28" fillId="49" borderId="19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86" fontId="28" fillId="12" borderId="197">
      <alignment vertical="center"/>
      <protection locked="0"/>
    </xf>
    <xf numFmtId="186" fontId="56" fillId="15"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4" fontId="56" fillId="16" borderId="263" applyNumberFormat="0" applyProtection="0">
      <alignment horizontal="right" vertical="center"/>
    </xf>
    <xf numFmtId="186" fontId="27" fillId="21"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94" fontId="33" fillId="0" borderId="231" applyFill="0"/>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6" borderId="224" applyNumberFormat="0" applyProtection="0">
      <alignment horizontal="right" vertical="center"/>
    </xf>
    <xf numFmtId="191" fontId="5" fillId="7" borderId="230">
      <alignment vertical="center"/>
      <protection locked="0"/>
    </xf>
    <xf numFmtId="186" fontId="56" fillId="14" borderId="222" applyNumberFormat="0" applyProtection="0">
      <alignment horizontal="left" vertical="top" indent="1"/>
    </xf>
    <xf numFmtId="186" fontId="56" fillId="21" borderId="222" applyNumberFormat="0" applyProtection="0">
      <alignment horizontal="left" vertical="top" indent="1"/>
    </xf>
    <xf numFmtId="188" fontId="5" fillId="69" borderId="230">
      <alignment vertical="center"/>
    </xf>
    <xf numFmtId="186" fontId="56" fillId="15" borderId="222" applyNumberFormat="0" applyProtection="0">
      <alignment horizontal="left" vertical="top" indent="1"/>
    </xf>
    <xf numFmtId="186" fontId="27" fillId="14" borderId="261" applyNumberFormat="0" applyProtection="0">
      <alignment horizontal="left" vertical="center" indent="1"/>
    </xf>
    <xf numFmtId="186" fontId="56" fillId="63" borderId="222" applyNumberFormat="0" applyProtection="0">
      <alignment horizontal="left" vertical="top" indent="1"/>
    </xf>
    <xf numFmtId="4" fontId="56" fillId="52" borderId="224"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1"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22"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90" fontId="5" fillId="13" borderId="230">
      <alignment vertical="center"/>
    </xf>
    <xf numFmtId="186" fontId="56" fillId="21" borderId="261" applyNumberFormat="0" applyProtection="0">
      <alignment horizontal="left" vertical="top" indent="1"/>
    </xf>
    <xf numFmtId="186" fontId="56" fillId="40" borderId="224" applyNumberFormat="0" applyFont="0" applyAlignment="0" applyProtection="0"/>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61" applyNumberFormat="0" applyProtection="0">
      <alignment horizontal="left" vertical="top" indent="1"/>
    </xf>
    <xf numFmtId="194" fontId="33" fillId="0" borderId="231" applyFill="0"/>
    <xf numFmtId="186" fontId="56" fillId="40" borderId="224" applyNumberFormat="0" applyFont="0" applyAlignment="0" applyProtection="0"/>
    <xf numFmtId="186" fontId="28" fillId="49" borderId="19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0" fontId="27" fillId="14" borderId="261"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4" fontId="56" fillId="55" borderId="263" applyNumberFormat="0" applyProtection="0">
      <alignment horizontal="righ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16" borderId="263" applyNumberFormat="0" applyProtection="0">
      <alignment horizontal="right" vertical="center"/>
    </xf>
    <xf numFmtId="188" fontId="28" fillId="50" borderId="197">
      <alignment vertical="center"/>
    </xf>
    <xf numFmtId="4" fontId="56" fillId="54" borderId="263" applyNumberFormat="0" applyProtection="0">
      <alignment horizontal="left" vertical="center" indent="1"/>
    </xf>
    <xf numFmtId="186" fontId="42" fillId="44" borderId="263" applyNumberFormat="0" applyAlignment="0" applyProtection="0"/>
    <xf numFmtId="186" fontId="27" fillId="21" borderId="261" applyNumberFormat="0" applyProtection="0">
      <alignment horizontal="left" vertical="center" indent="1"/>
    </xf>
    <xf numFmtId="0" fontId="27" fillId="21" borderId="261" applyNumberFormat="0" applyProtection="0">
      <alignment horizontal="left" vertical="center" indent="1"/>
    </xf>
    <xf numFmtId="0" fontId="27" fillId="15" borderId="261" applyNumberFormat="0" applyProtection="0">
      <alignment horizontal="left" vertical="top" indent="1"/>
    </xf>
    <xf numFmtId="4" fontId="64" fillId="64" borderId="263" applyNumberFormat="0" applyProtection="0">
      <alignment horizontal="right" vertical="center"/>
    </xf>
    <xf numFmtId="4" fontId="56" fillId="15" borderId="245" applyNumberFormat="0" applyProtection="0">
      <alignment horizontal="left" vertical="center" indent="1"/>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56" fillId="14" borderId="261"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2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28" applyNumberFormat="0" applyProtection="0">
      <alignment horizontal="left" vertical="center" indent="1"/>
    </xf>
    <xf numFmtId="4" fontId="56" fillId="53" borderId="224" applyNumberFormat="0" applyProtection="0">
      <alignment horizontal="left" vertical="center" indent="1"/>
    </xf>
    <xf numFmtId="190" fontId="5" fillId="13" borderId="230">
      <alignment vertical="center"/>
    </xf>
    <xf numFmtId="186" fontId="56" fillId="40" borderId="22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1" borderId="261" applyNumberFormat="0" applyProtection="0">
      <alignment horizontal="left" vertical="center" indent="1"/>
    </xf>
    <xf numFmtId="4" fontId="56" fillId="54" borderId="224" applyNumberFormat="0" applyProtection="0">
      <alignment horizontal="left" vertical="center" indent="1"/>
    </xf>
    <xf numFmtId="4" fontId="56" fillId="61" borderId="228" applyNumberFormat="0" applyProtection="0">
      <alignment horizontal="left" vertical="center" indent="1"/>
    </xf>
    <xf numFmtId="186" fontId="60" fillId="52"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15"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88" fontId="5" fillId="69" borderId="8">
      <alignment vertical="center"/>
    </xf>
    <xf numFmtId="4" fontId="27" fillId="21" borderId="245" applyNumberFormat="0" applyProtection="0">
      <alignment horizontal="left" vertical="center" indent="1"/>
    </xf>
    <xf numFmtId="186" fontId="56" fillId="40" borderId="263" applyNumberFormat="0" applyFont="0" applyAlignment="0" applyProtection="0"/>
    <xf numFmtId="186" fontId="44" fillId="0" borderId="229" applyNumberFormat="0" applyFill="0" applyAlignment="0" applyProtection="0"/>
    <xf numFmtId="186" fontId="42" fillId="44" borderId="242" applyNumberForma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2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30">
      <alignment vertical="center"/>
    </xf>
    <xf numFmtId="186" fontId="44" fillId="0" borderId="229" applyNumberFormat="0" applyFill="0" applyAlignment="0" applyProtection="0"/>
    <xf numFmtId="193" fontId="28" fillId="12" borderId="197">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4" fontId="59" fillId="53" borderId="224" applyNumberFormat="0" applyProtection="0">
      <alignment vertical="center"/>
    </xf>
    <xf numFmtId="191" fontId="28" fillId="51" borderId="230">
      <alignment horizontal="right" vertical="center"/>
      <protection locked="0"/>
    </xf>
    <xf numFmtId="191" fontId="28" fillId="51" borderId="23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28" applyNumberFormat="0" applyProtection="0">
      <alignment horizontal="left" vertical="center" indent="1"/>
    </xf>
    <xf numFmtId="4" fontId="56" fillId="60" borderId="224" applyNumberFormat="0" applyProtection="0">
      <alignment horizontal="right" vertical="center"/>
    </xf>
    <xf numFmtId="186" fontId="42" fillId="44" borderId="224" applyNumberFormat="0" applyAlignment="0" applyProtection="0"/>
    <xf numFmtId="186" fontId="56" fillId="21" borderId="261" applyNumberFormat="0" applyProtection="0">
      <alignment horizontal="left" vertical="top" indent="1"/>
    </xf>
    <xf numFmtId="4" fontId="63" fillId="66" borderId="228" applyNumberFormat="0" applyProtection="0">
      <alignment horizontal="left" vertical="center" indent="1"/>
    </xf>
    <xf numFmtId="186" fontId="28" fillId="49" borderId="230">
      <alignment vertical="center"/>
    </xf>
    <xf numFmtId="186" fontId="56" fillId="64" borderId="211" applyNumberFormat="0">
      <protection locked="0"/>
    </xf>
    <xf numFmtId="186" fontId="56" fillId="21" borderId="261"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56" fillId="14" borderId="261" applyNumberFormat="0" applyProtection="0">
      <alignment horizontal="left" vertical="top" indent="1"/>
    </xf>
    <xf numFmtId="4" fontId="59" fillId="53" borderId="263" applyNumberFormat="0" applyProtection="0">
      <alignment vertical="center"/>
    </xf>
    <xf numFmtId="186" fontId="56" fillId="40" borderId="26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63" borderId="261" applyNumberFormat="0" applyProtection="0">
      <alignment horizontal="left" vertical="top" indent="1"/>
    </xf>
    <xf numFmtId="4" fontId="27" fillId="21" borderId="228" applyNumberFormat="0" applyProtection="0">
      <alignment horizontal="left" vertical="center" indent="1"/>
    </xf>
    <xf numFmtId="186" fontId="50" fillId="41" borderId="263" applyNumberFormat="0" applyAlignment="0" applyProtection="0"/>
    <xf numFmtId="186" fontId="56" fillId="14" borderId="252" applyNumberFormat="0" applyProtection="0">
      <alignment horizontal="left" vertical="top" indent="1"/>
    </xf>
    <xf numFmtId="0" fontId="5" fillId="7" borderId="8">
      <alignment vertical="center"/>
      <protection locked="0"/>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4" fontId="56" fillId="53" borderId="263"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62" fillId="11" borderId="261" applyNumberFormat="0" applyProtection="0">
      <alignment horizontal="left" vertical="center" indent="1"/>
    </xf>
    <xf numFmtId="186" fontId="56" fillId="63" borderId="263" applyNumberFormat="0" applyProtection="0">
      <alignment horizontal="left" vertical="center" indent="1"/>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62" borderId="263" applyNumberFormat="0" applyProtection="0">
      <alignment horizontal="left" vertical="center" indent="1"/>
    </xf>
    <xf numFmtId="186" fontId="56" fillId="14" borderId="263" applyNumberFormat="0" applyProtection="0">
      <alignment horizontal="left" vertical="center" indent="1"/>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61" fillId="21" borderId="265" applyBorder="0"/>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4" fontId="56" fillId="15" borderId="224"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15" borderId="263" applyNumberFormat="0" applyProtection="0">
      <alignment horizontal="right" vertical="center"/>
    </xf>
    <xf numFmtId="4" fontId="56" fillId="54" borderId="263" applyNumberFormat="0" applyProtection="0">
      <alignment horizontal="left" vertical="center" indent="1"/>
    </xf>
    <xf numFmtId="172" fontId="28" fillId="12" borderId="230">
      <alignment vertical="center"/>
      <protection locked="0"/>
    </xf>
    <xf numFmtId="4" fontId="56" fillId="16" borderId="263" applyNumberFormat="0" applyProtection="0">
      <alignment horizontal="right" vertical="center"/>
    </xf>
    <xf numFmtId="4" fontId="27" fillId="21" borderId="228" applyNumberFormat="0" applyProtection="0">
      <alignment horizontal="left" vertical="center" indent="1"/>
    </xf>
    <xf numFmtId="4" fontId="62" fillId="11" borderId="261" applyNumberFormat="0" applyProtection="0">
      <alignment horizontal="left" vertical="center" indent="1"/>
    </xf>
    <xf numFmtId="191" fontId="28" fillId="50" borderId="230">
      <alignment vertical="center"/>
    </xf>
    <xf numFmtId="4" fontId="56" fillId="57" borderId="267" applyNumberFormat="0" applyProtection="0">
      <alignment horizontal="right" vertical="center"/>
    </xf>
    <xf numFmtId="193"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40" borderId="263" applyNumberFormat="0" applyFont="0" applyAlignment="0" applyProtection="0"/>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63" applyNumberFormat="0" applyAlignment="0" applyProtection="0"/>
    <xf numFmtId="186" fontId="27" fillId="15" borderId="261" applyNumberFormat="0" applyProtection="0">
      <alignment horizontal="left" vertical="top" indent="1"/>
    </xf>
    <xf numFmtId="186" fontId="27" fillId="21" borderId="261"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3" borderId="261"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0" fontId="27" fillId="15" borderId="261" applyNumberFormat="0" applyProtection="0">
      <alignment horizontal="left" vertical="center" indent="1"/>
    </xf>
    <xf numFmtId="0" fontId="5" fillId="69" borderId="8">
      <alignment vertical="center"/>
    </xf>
    <xf numFmtId="186" fontId="56" fillId="15" borderId="252" applyNumberFormat="0" applyProtection="0">
      <alignment horizontal="left" vertical="top" indent="1"/>
    </xf>
    <xf numFmtId="186" fontId="56" fillId="63" borderId="222" applyNumberFormat="0" applyProtection="0">
      <alignment horizontal="left" vertical="top" indent="1"/>
    </xf>
    <xf numFmtId="186" fontId="56" fillId="14" borderId="25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63" applyNumberFormat="0" applyFont="0" applyAlignment="0" applyProtection="0"/>
    <xf numFmtId="191" fontId="28" fillId="51" borderId="197">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14" borderId="267" applyNumberFormat="0" applyProtection="0">
      <alignment horizontal="left" vertical="center" indent="1"/>
    </xf>
    <xf numFmtId="186" fontId="56" fillId="21" borderId="222" applyNumberFormat="0" applyProtection="0">
      <alignment horizontal="left" vertical="top" indent="1"/>
    </xf>
    <xf numFmtId="186" fontId="56" fillId="63"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190" fontId="5" fillId="69" borderId="230">
      <alignment vertical="center"/>
    </xf>
    <xf numFmtId="4" fontId="27" fillId="21" borderId="228" applyNumberFormat="0" applyProtection="0">
      <alignment horizontal="left" vertical="center" indent="1"/>
    </xf>
    <xf numFmtId="191" fontId="28" fillId="12" borderId="197">
      <alignment vertical="center"/>
      <protection locked="0"/>
    </xf>
    <xf numFmtId="164" fontId="35" fillId="0" borderId="0" applyFont="0" applyFill="0" applyBorder="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197">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2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63" applyNumberFormat="0" applyAlignment="0" applyProtection="0"/>
    <xf numFmtId="186" fontId="56" fillId="62" borderId="263" applyNumberFormat="0" applyProtection="0">
      <alignment horizontal="left" vertical="center" indent="1"/>
    </xf>
    <xf numFmtId="186" fontId="61" fillId="21" borderId="226" applyBorder="0"/>
    <xf numFmtId="4" fontId="59" fillId="53" borderId="263" applyNumberFormat="0" applyProtection="0">
      <alignment vertical="center"/>
    </xf>
    <xf numFmtId="37" fontId="33" fillId="0" borderId="227" applyNumberFormat="0"/>
    <xf numFmtId="194" fontId="33" fillId="0" borderId="231" applyFill="0"/>
    <xf numFmtId="186" fontId="61" fillId="21" borderId="226" applyBorder="0"/>
    <xf numFmtId="186" fontId="56" fillId="64" borderId="211" applyNumberFormat="0">
      <protection locked="0"/>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59">
      <alignment vertical="center"/>
      <protection locked="0"/>
    </xf>
    <xf numFmtId="4" fontId="64" fillId="64" borderId="224" applyNumberFormat="0" applyProtection="0">
      <alignment horizontal="right" vertical="center"/>
    </xf>
    <xf numFmtId="186" fontId="42" fillId="44" borderId="263" applyNumberFormat="0" applyAlignment="0" applyProtection="0"/>
    <xf numFmtId="191" fontId="5" fillId="70" borderId="230">
      <alignment horizontal="right" vertical="center"/>
      <protection locked="0"/>
    </xf>
    <xf numFmtId="0" fontId="27" fillId="14" borderId="261" applyNumberFormat="0" applyProtection="0">
      <alignment horizontal="left" vertical="top" indent="1"/>
    </xf>
    <xf numFmtId="4" fontId="56" fillId="14" borderId="228" applyNumberFormat="0" applyProtection="0">
      <alignment horizontal="left" vertical="center" indent="1"/>
    </xf>
    <xf numFmtId="191" fontId="28" fillId="50" borderId="230">
      <alignment vertical="center"/>
    </xf>
    <xf numFmtId="186" fontId="56" fillId="14" borderId="261" applyNumberFormat="0" applyProtection="0">
      <alignment horizontal="left" vertical="top" indent="1"/>
    </xf>
    <xf numFmtId="186" fontId="57" fillId="44" borderId="225" applyNumberFormat="0" applyAlignment="0" applyProtection="0"/>
    <xf numFmtId="186" fontId="56" fillId="14" borderId="261"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4" fontId="56" fillId="19" borderId="263" applyNumberFormat="0" applyProtection="0">
      <alignment horizontal="right" vertical="center"/>
    </xf>
    <xf numFmtId="190" fontId="5" fillId="70" borderId="23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4" fontId="56" fillId="19" borderId="263" applyNumberFormat="0" applyProtection="0">
      <alignment horizontal="right" vertical="center"/>
    </xf>
    <xf numFmtId="186" fontId="56" fillId="21" borderId="222"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62" borderId="263" applyNumberFormat="0" applyProtection="0">
      <alignment horizontal="left" vertical="center" indent="1"/>
    </xf>
    <xf numFmtId="4" fontId="56" fillId="60"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3" fontId="28" fillId="50" borderId="230">
      <alignment vertical="center"/>
    </xf>
    <xf numFmtId="4" fontId="72" fillId="53" borderId="261" applyNumberFormat="0" applyProtection="0">
      <alignment horizontal="left" vertical="center" indent="1"/>
    </xf>
    <xf numFmtId="193" fontId="5" fillId="69" borderId="8">
      <alignment vertical="center"/>
    </xf>
    <xf numFmtId="188" fontId="5" fillId="69" borderId="8">
      <alignment vertical="center"/>
    </xf>
    <xf numFmtId="4" fontId="62" fillId="48" borderId="252" applyNumberFormat="0" applyProtection="0">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27" fillId="21" borderId="244"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23" borderId="224" applyNumberFormat="0" applyProtection="0">
      <alignment horizontal="right" vertical="center"/>
    </xf>
    <xf numFmtId="4" fontId="59" fillId="65" borderId="224" applyNumberFormat="0" applyProtection="0">
      <alignment horizontal="right" vertical="center"/>
    </xf>
    <xf numFmtId="186" fontId="50" fillId="41" borderId="224" applyNumberFormat="0" applyAlignment="0" applyProtection="0"/>
    <xf numFmtId="186" fontId="50" fillId="41" borderId="263" applyNumberFormat="0" applyAlignment="0" applyProtection="0"/>
    <xf numFmtId="164" fontId="35" fillId="0" borderId="0" applyFont="0" applyFill="0" applyBorder="0" applyAlignment="0" applyProtection="0"/>
    <xf numFmtId="4" fontId="56" fillId="60" borderId="224" applyNumberFormat="0" applyProtection="0">
      <alignment horizontal="right" vertical="center"/>
    </xf>
    <xf numFmtId="4" fontId="62" fillId="11" borderId="222" applyNumberFormat="0" applyProtection="0">
      <alignment horizontal="left" vertical="center" indent="1"/>
    </xf>
    <xf numFmtId="4" fontId="56" fillId="15" borderId="224" applyNumberFormat="0" applyProtection="0">
      <alignment horizontal="right" vertical="center"/>
    </xf>
    <xf numFmtId="186" fontId="56" fillId="15" borderId="222" applyNumberFormat="0" applyProtection="0">
      <alignment horizontal="left" vertical="top" indent="1"/>
    </xf>
    <xf numFmtId="186" fontId="50" fillId="41" borderId="263" applyNumberFormat="0" applyAlignment="0" applyProtection="0"/>
    <xf numFmtId="186" fontId="56" fillId="40" borderId="263" applyNumberFormat="0" applyFont="0" applyAlignment="0" applyProtection="0"/>
    <xf numFmtId="4" fontId="63" fillId="66" borderId="267" applyNumberFormat="0" applyProtection="0">
      <alignment horizontal="left" vertical="center" indent="1"/>
    </xf>
    <xf numFmtId="4" fontId="56" fillId="52" borderId="263" applyNumberFormat="0" applyProtection="0">
      <alignment vertical="center"/>
    </xf>
    <xf numFmtId="186" fontId="56" fillId="64" borderId="211" applyNumberFormat="0">
      <protection locked="0"/>
    </xf>
    <xf numFmtId="186" fontId="56" fillId="64" borderId="211" applyNumberFormat="0">
      <protection locked="0"/>
    </xf>
    <xf numFmtId="186" fontId="42" fillId="44" borderId="242"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4" fontId="56" fillId="0" borderId="263" applyNumberFormat="0" applyProtection="0">
      <alignment horizontal="right" vertical="center"/>
    </xf>
    <xf numFmtId="188" fontId="28" fillId="51" borderId="197">
      <alignment horizontal="right" vertical="center"/>
      <protection locked="0"/>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93" fontId="28" fillId="12" borderId="197">
      <alignment vertical="center"/>
      <protection locked="0"/>
    </xf>
    <xf numFmtId="186" fontId="56" fillId="15" borderId="222" applyNumberFormat="0" applyProtection="0">
      <alignment horizontal="left" vertical="top" indent="1"/>
    </xf>
    <xf numFmtId="191" fontId="28" fillId="49" borderId="197">
      <alignmen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7" fillId="44" borderId="264" applyNumberFormat="0" applyAlignment="0" applyProtection="0"/>
    <xf numFmtId="186" fontId="42" fillId="44" borderId="224"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2" borderId="230">
      <alignment vertical="center"/>
      <protection locked="0"/>
    </xf>
    <xf numFmtId="4" fontId="27" fillId="21" borderId="228" applyNumberFormat="0" applyProtection="0">
      <alignment horizontal="left" vertical="center" indent="1"/>
    </xf>
    <xf numFmtId="4" fontId="56" fillId="55" borderId="224" applyNumberFormat="0" applyProtection="0">
      <alignment horizontal="right" vertical="center"/>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4" fontId="56" fillId="54" borderId="263" applyNumberFormat="0" applyProtection="0">
      <alignment horizontal="left" vertical="center" indent="1"/>
    </xf>
    <xf numFmtId="186" fontId="27" fillId="21" borderId="261" applyNumberFormat="0" applyProtection="0">
      <alignment horizontal="left" vertical="center" indent="1"/>
    </xf>
    <xf numFmtId="188" fontId="28" fillId="49" borderId="230">
      <alignment vertical="center"/>
    </xf>
    <xf numFmtId="4" fontId="56" fillId="56" borderId="263" applyNumberFormat="0" applyProtection="0">
      <alignment horizontal="right" vertical="center"/>
    </xf>
    <xf numFmtId="186" fontId="56" fillId="40" borderId="253" applyNumberFormat="0" applyFont="0" applyAlignment="0" applyProtection="0"/>
    <xf numFmtId="4" fontId="56" fillId="61" borderId="267" applyNumberFormat="0" applyProtection="0">
      <alignment horizontal="left" vertical="center" indent="1"/>
    </xf>
    <xf numFmtId="4" fontId="56" fillId="19"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63" borderId="252"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56" fillId="15" borderId="261" applyNumberFormat="0" applyProtection="0">
      <alignment horizontal="left" vertical="top" indent="1"/>
    </xf>
    <xf numFmtId="4" fontId="72" fillId="83" borderId="261" applyNumberFormat="0" applyProtection="0">
      <alignment horizontal="right" vertical="center"/>
    </xf>
    <xf numFmtId="191" fontId="5" fillId="7" borderId="8">
      <alignment vertical="center"/>
      <protection locked="0"/>
    </xf>
    <xf numFmtId="4" fontId="27" fillId="21" borderId="245" applyNumberFormat="0" applyProtection="0">
      <alignment horizontal="left" vertical="center" indent="1"/>
    </xf>
    <xf numFmtId="186" fontId="56" fillId="21" borderId="244"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11" borderId="263" applyNumberFormat="0" applyProtection="0">
      <alignment horizontal="left" vertical="center" indent="1"/>
    </xf>
    <xf numFmtId="186" fontId="57" fillId="44" borderId="264" applyNumberFormat="0" applyAlignment="0" applyProtection="0"/>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27" fillId="63" borderId="261" applyNumberFormat="0" applyProtection="0">
      <alignment horizontal="left" vertical="center" indent="1"/>
    </xf>
    <xf numFmtId="191" fontId="28" fillId="50" borderId="197">
      <alignment vertical="center"/>
    </xf>
    <xf numFmtId="191" fontId="28" fillId="50" borderId="197">
      <alignment vertical="center"/>
    </xf>
    <xf numFmtId="172" fontId="28" fillId="12" borderId="197">
      <alignment vertical="center"/>
      <protection locked="0"/>
    </xf>
    <xf numFmtId="172" fontId="28" fillId="12" borderId="197">
      <alignment vertical="center"/>
      <protection locked="0"/>
    </xf>
    <xf numFmtId="186" fontId="56" fillId="14" borderId="222" applyNumberFormat="0" applyProtection="0">
      <alignment horizontal="left" vertical="top" indent="1"/>
    </xf>
    <xf numFmtId="186" fontId="28" fillId="49" borderId="197">
      <alignment vertical="center"/>
    </xf>
    <xf numFmtId="186" fontId="28" fillId="12" borderId="197">
      <alignment vertical="center"/>
      <protection locked="0"/>
    </xf>
    <xf numFmtId="186" fontId="61" fillId="21" borderId="226" applyBorder="0"/>
    <xf numFmtId="191" fontId="28" fillId="49" borderId="197">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5" borderId="25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8" fillId="49" borderId="230">
      <alignment vertical="center"/>
    </xf>
    <xf numFmtId="186" fontId="56" fillId="40" borderId="224" applyNumberFormat="0" applyFont="0" applyAlignment="0" applyProtection="0"/>
    <xf numFmtId="190" fontId="28" fillId="49" borderId="23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2" borderId="263" applyNumberFormat="0" applyProtection="0">
      <alignment vertical="center"/>
    </xf>
    <xf numFmtId="4" fontId="76" fillId="87" borderId="222" applyNumberFormat="0" applyProtection="0">
      <alignment horizontal="right" vertical="center"/>
    </xf>
    <xf numFmtId="186" fontId="27" fillId="15" borderId="222"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61" fillId="21" borderId="265" applyBorder="0"/>
    <xf numFmtId="186" fontId="56" fillId="15" borderId="261" applyNumberFormat="0" applyProtection="0">
      <alignment horizontal="left" vertical="top" indent="1"/>
    </xf>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4" fontId="70" fillId="86" borderId="262"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186" fontId="56" fillId="14" borderId="252" applyNumberFormat="0" applyProtection="0">
      <alignment horizontal="left" vertical="top" indent="1"/>
    </xf>
    <xf numFmtId="190" fontId="5" fillId="70" borderId="259">
      <alignment horizontal="right" vertical="center"/>
      <protection locked="0"/>
    </xf>
    <xf numFmtId="186" fontId="56" fillId="15" borderId="252" applyNumberFormat="0" applyProtection="0">
      <alignment horizontal="left" vertical="top" indent="1"/>
    </xf>
    <xf numFmtId="4" fontId="62" fillId="48" borderId="252" applyNumberFormat="0" applyProtection="0">
      <alignment vertical="center"/>
    </xf>
    <xf numFmtId="4" fontId="56" fillId="58" borderId="242" applyNumberFormat="0" applyProtection="0">
      <alignment horizontal="right" vertical="center"/>
    </xf>
    <xf numFmtId="186" fontId="56" fillId="21" borderId="261" applyNumberFormat="0" applyProtection="0">
      <alignment horizontal="left" vertical="top" indent="1"/>
    </xf>
    <xf numFmtId="4" fontId="62" fillId="48" borderId="261" applyNumberFormat="0" applyProtection="0">
      <alignment vertical="center"/>
    </xf>
    <xf numFmtId="186" fontId="56" fillId="64" borderId="211" applyNumberFormat="0">
      <protection locked="0"/>
    </xf>
    <xf numFmtId="4" fontId="64" fillId="64"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5" borderId="222" applyNumberFormat="0" applyProtection="0">
      <alignment horizontal="left" vertical="top" indent="1"/>
    </xf>
    <xf numFmtId="186" fontId="44" fillId="0" borderId="268" applyNumberFormat="0" applyFill="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4" applyNumberFormat="0" applyProtection="0">
      <alignment horizontal="left" vertical="center" indent="1"/>
    </xf>
    <xf numFmtId="186" fontId="27"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86" fontId="56"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63"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40" borderId="263" applyNumberFormat="0" applyFon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40" borderId="263" applyNumberFormat="0" applyFont="0" applyAlignment="0" applyProtection="0"/>
    <xf numFmtId="172" fontId="28" fillId="12" borderId="197">
      <alignment vertical="center"/>
      <protection locked="0"/>
    </xf>
    <xf numFmtId="186" fontId="56" fillId="40" borderId="263" applyNumberFormat="0" applyFont="0" applyAlignment="0" applyProtection="0"/>
    <xf numFmtId="4" fontId="59" fillId="65" borderId="224" applyNumberFormat="0" applyProtection="0">
      <alignment horizontal="right" vertical="center"/>
    </xf>
    <xf numFmtId="191" fontId="28" fillId="12" borderId="197">
      <alignment vertical="center"/>
      <protection locked="0"/>
    </xf>
    <xf numFmtId="4" fontId="56" fillId="53" borderId="224" applyNumberFormat="0" applyProtection="0">
      <alignment horizontal="left" vertical="center" indent="1"/>
    </xf>
    <xf numFmtId="4" fontId="56" fillId="53" borderId="224" applyNumberFormat="0" applyProtection="0">
      <alignment horizontal="left" vertical="center" indent="1"/>
    </xf>
    <xf numFmtId="186" fontId="57" fillId="44" borderId="264" applyNumberFormat="0" applyAlignment="0" applyProtection="0"/>
    <xf numFmtId="186" fontId="56" fillId="15" borderId="261" applyNumberFormat="0" applyProtection="0">
      <alignment horizontal="left" vertical="top" indent="1"/>
    </xf>
    <xf numFmtId="186" fontId="56" fillId="14" borderId="222" applyNumberFormat="0" applyProtection="0">
      <alignment horizontal="left" vertical="top" indent="1"/>
    </xf>
    <xf numFmtId="172" fontId="28" fillId="12" borderId="197">
      <alignment vertical="center"/>
      <protection locked="0"/>
    </xf>
    <xf numFmtId="186" fontId="42" fillId="44" borderId="224" applyNumberFormat="0" applyAlignment="0" applyProtection="0"/>
    <xf numFmtId="186" fontId="27" fillId="14" borderId="261" applyNumberFormat="0" applyProtection="0">
      <alignment horizontal="left" vertical="top" indent="1"/>
    </xf>
    <xf numFmtId="4" fontId="56" fillId="23" borderId="263" applyNumberFormat="0" applyProtection="0">
      <alignment horizontal="righ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60" borderId="263" applyNumberFormat="0" applyProtection="0">
      <alignment horizontal="right" vertical="center"/>
    </xf>
    <xf numFmtId="4" fontId="56" fillId="52" borderId="263" applyNumberFormat="0" applyProtection="0">
      <alignmen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42" fillId="44" borderId="263" applyNumberFormat="0" applyAlignment="0" applyProtection="0"/>
    <xf numFmtId="4" fontId="56" fillId="16" borderId="253" applyNumberFormat="0" applyProtection="0">
      <alignment horizontal="right" vertical="center"/>
    </xf>
    <xf numFmtId="186" fontId="56" fillId="62" borderId="263" applyNumberFormat="0" applyProtection="0">
      <alignment horizontal="left" vertical="center" indent="1"/>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44" fillId="0" borderId="268" applyNumberFormat="0" applyFill="0" applyAlignment="0" applyProtection="0"/>
    <xf numFmtId="186" fontId="56" fillId="21" borderId="261" applyNumberFormat="0" applyProtection="0">
      <alignment horizontal="left" vertical="top" indent="1"/>
    </xf>
    <xf numFmtId="188" fontId="28" fillId="50" borderId="269">
      <alignment vertical="center"/>
    </xf>
    <xf numFmtId="4" fontId="56" fillId="52" borderId="263" applyNumberFormat="0" applyProtection="0">
      <alignment vertical="center"/>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right" vertical="center"/>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0" borderId="263" applyNumberFormat="0" applyProtection="0">
      <alignment horizontal="right" vertical="center"/>
    </xf>
    <xf numFmtId="186" fontId="56" fillId="40" borderId="263" applyNumberFormat="0" applyFont="0" applyAlignment="0" applyProtection="0"/>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4" fontId="56" fillId="57" borderId="267"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4" fontId="56" fillId="14" borderId="267"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56" borderId="263" applyNumberFormat="0" applyProtection="0">
      <alignment horizontal="right" vertical="center"/>
    </xf>
    <xf numFmtId="186" fontId="56" fillId="40" borderId="263" applyNumberFormat="0" applyFont="0" applyAlignment="0" applyProtection="0"/>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63" applyNumberFormat="0" applyProtection="0">
      <alignment horizontal="left" vertical="center" indent="1"/>
    </xf>
    <xf numFmtId="4" fontId="56" fillId="15" borderId="267" applyNumberFormat="0" applyProtection="0">
      <alignment horizontal="left" vertical="center" indent="1"/>
    </xf>
    <xf numFmtId="186" fontId="27" fillId="63" borderId="261"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61" borderId="228" applyNumberFormat="0" applyProtection="0">
      <alignment horizontal="left" vertical="center"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8" fillId="50" borderId="230">
      <alignment vertical="center"/>
    </xf>
    <xf numFmtId="191" fontId="28" fillId="51" borderId="230">
      <alignment horizontal="right" vertical="center"/>
      <protection locked="0"/>
    </xf>
    <xf numFmtId="188" fontId="28" fillId="50" borderId="230">
      <alignment vertical="center"/>
    </xf>
    <xf numFmtId="191" fontId="28" fillId="50" borderId="230">
      <alignment vertical="center"/>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6" borderId="224" applyNumberFormat="0" applyProtection="0">
      <alignment horizontal="right" vertical="center"/>
    </xf>
    <xf numFmtId="37" fontId="33" fillId="0" borderId="227" applyNumberFormat="0"/>
    <xf numFmtId="186" fontId="56" fillId="64" borderId="211" applyNumberFormat="0">
      <protection locked="0"/>
    </xf>
    <xf numFmtId="186" fontId="44" fillId="0" borderId="22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186" fontId="61" fillId="21" borderId="265" applyBorder="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3" borderId="263" applyNumberFormat="0" applyProtection="0">
      <alignment horizontal="left" vertical="center" indent="1"/>
    </xf>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54" borderId="263"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186" fontId="27" fillId="15" borderId="261" applyNumberFormat="0" applyProtection="0">
      <alignment horizontal="left" vertical="center" indent="1"/>
    </xf>
    <xf numFmtId="4" fontId="56" fillId="59" borderId="263" applyNumberFormat="0" applyProtection="0">
      <alignment horizontal="right" vertical="center"/>
    </xf>
    <xf numFmtId="4" fontId="62" fillId="11" borderId="261" applyNumberFormat="0" applyProtection="0">
      <alignment horizontal="left" vertical="center" indent="1"/>
    </xf>
    <xf numFmtId="4" fontId="56" fillId="56" borderId="263" applyNumberFormat="0" applyProtection="0">
      <alignment horizontal="righ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4" fontId="56" fillId="16" borderId="263" applyNumberFormat="0" applyProtection="0">
      <alignment horizontal="right" vertical="center"/>
    </xf>
    <xf numFmtId="4" fontId="56" fillId="57" borderId="267" applyNumberFormat="0" applyProtection="0">
      <alignment horizontal="right" vertical="center"/>
    </xf>
    <xf numFmtId="4" fontId="63" fillId="66" borderId="267"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61" fillId="21" borderId="265" applyBorder="0"/>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186" fontId="61" fillId="21" borderId="265" applyBorder="0"/>
    <xf numFmtId="4" fontId="56" fillId="55" borderId="263" applyNumberFormat="0" applyProtection="0">
      <alignment horizontal="right" vertical="center"/>
    </xf>
    <xf numFmtId="186" fontId="27" fillId="63"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62" fillId="15" borderId="25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42" fillId="44" borderId="22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30">
      <alignment vertical="center"/>
    </xf>
    <xf numFmtId="191" fontId="5" fillId="7" borderId="23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56" fillId="40" borderId="224" applyNumberFormat="0" applyFont="0" applyAlignment="0" applyProtection="0"/>
    <xf numFmtId="186" fontId="27" fillId="21" borderId="222" applyNumberFormat="0" applyProtection="0">
      <alignment horizontal="left" vertical="top" indent="1"/>
    </xf>
    <xf numFmtId="186" fontId="57" fillId="44" borderId="225" applyNumberFormat="0" applyAlignment="0" applyProtection="0"/>
    <xf numFmtId="4" fontId="56" fillId="15" borderId="228" applyNumberFormat="0" applyProtection="0">
      <alignment horizontal="left" vertical="center" indent="1"/>
    </xf>
    <xf numFmtId="186" fontId="56" fillId="40" borderId="224" applyNumberFormat="0" applyFont="0" applyAlignment="0" applyProtection="0"/>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62" fillId="48" borderId="222"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7" borderId="228"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27" fillId="21" borderId="228" applyNumberFormat="0" applyProtection="0">
      <alignment horizontal="left" vertical="center"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4" borderId="211" applyNumberFormat="0">
      <protection locked="0"/>
    </xf>
    <xf numFmtId="4" fontId="62" fillId="48" borderId="222" applyNumberFormat="0" applyProtection="0">
      <alignmen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4" fontId="59" fillId="65" borderId="224"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0" fillId="41" borderId="224" applyNumberFormat="0" applyAlignment="0" applyProtection="0"/>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37" fontId="33" fillId="0" borderId="227" applyNumberFormat="0"/>
    <xf numFmtId="194" fontId="33" fillId="0" borderId="231" applyFill="0"/>
    <xf numFmtId="186" fontId="56" fillId="63" borderId="222" applyNumberFormat="0" applyProtection="0">
      <alignment horizontal="left" vertical="top" indent="1"/>
    </xf>
    <xf numFmtId="186" fontId="57" fillId="44" borderId="225" applyNumberFormat="0" applyAlignment="0" applyProtection="0"/>
    <xf numFmtId="186" fontId="56" fillId="63" borderId="222" applyNumberFormat="0" applyProtection="0">
      <alignment horizontal="left" vertical="top" indent="1"/>
    </xf>
    <xf numFmtId="193" fontId="28" fillId="12" borderId="230">
      <alignment vertical="center"/>
      <protection locked="0"/>
    </xf>
    <xf numFmtId="186" fontId="27" fillId="14" borderId="222" applyNumberFormat="0" applyProtection="0">
      <alignment horizontal="left" vertical="top" indent="1"/>
    </xf>
    <xf numFmtId="172" fontId="28" fillId="12" borderId="230">
      <alignment vertical="center"/>
      <protection locked="0"/>
    </xf>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28" fillId="12" borderId="230">
      <alignment vertical="center"/>
      <protection locked="0"/>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24" applyNumberFormat="0" applyProtection="0">
      <alignment horizontal="right" vertical="center"/>
    </xf>
    <xf numFmtId="4" fontId="56" fillId="0"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86" fontId="56" fillId="40" borderId="224" applyNumberFormat="0" applyFont="0" applyAlignment="0" applyProtection="0"/>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4" fontId="64" fillId="64"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186" fontId="56" fillId="64" borderId="211" applyNumberFormat="0">
      <protection locked="0"/>
    </xf>
    <xf numFmtId="186" fontId="27" fillId="63" borderId="222" applyNumberFormat="0" applyProtection="0">
      <alignment horizontal="left" vertical="top" indent="1"/>
    </xf>
    <xf numFmtId="186" fontId="44" fillId="0" borderId="229" applyNumberFormat="0" applyFill="0" applyAlignment="0" applyProtection="0"/>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4" fontId="56" fillId="16" borderId="263" applyNumberFormat="0" applyProtection="0">
      <alignment horizontal="right" vertical="center"/>
    </xf>
    <xf numFmtId="164" fontId="69" fillId="0" borderId="0" applyFont="0" applyFill="0" applyBorder="0" applyAlignment="0" applyProtection="0"/>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0" fontId="3" fillId="0" borderId="0"/>
    <xf numFmtId="164" fontId="5" fillId="0" borderId="0" applyFont="0" applyFill="0" applyBorder="0" applyAlignment="0" applyProtection="0"/>
    <xf numFmtId="186" fontId="56" fillId="63" borderId="252" applyNumberFormat="0" applyProtection="0">
      <alignment horizontal="left" vertical="top" indent="1"/>
    </xf>
    <xf numFmtId="193" fontId="5" fillId="7" borderId="8">
      <alignment vertical="center"/>
      <protection locked="0"/>
    </xf>
    <xf numFmtId="186" fontId="56" fillId="40" borderId="263" applyNumberFormat="0" applyFont="0" applyAlignment="0" applyProtection="0"/>
    <xf numFmtId="186" fontId="56" fillId="21" borderId="252" applyNumberFormat="0" applyProtection="0">
      <alignment horizontal="left" vertical="top" indent="1"/>
    </xf>
    <xf numFmtId="4" fontId="56" fillId="0" borderId="263" applyNumberFormat="0" applyProtection="0">
      <alignment horizontal="right" vertical="center"/>
    </xf>
    <xf numFmtId="186" fontId="27" fillId="63" borderId="261" applyNumberFormat="0" applyProtection="0">
      <alignment horizontal="left" vertical="center"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86" fontId="56" fillId="21" borderId="244"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186" fontId="56" fillId="14" borderId="263" applyNumberFormat="0" applyProtection="0">
      <alignment horizontal="left" vertical="center" indent="1"/>
    </xf>
    <xf numFmtId="186" fontId="56" fillId="40" borderId="242" applyNumberFormat="0" applyFont="0" applyAlignment="0" applyProtection="0"/>
    <xf numFmtId="186" fontId="56" fillId="15" borderId="261" applyNumberFormat="0" applyProtection="0">
      <alignment horizontal="left" vertical="top" indent="1"/>
    </xf>
    <xf numFmtId="4" fontId="72" fillId="86" borderId="244" applyNumberFormat="0" applyProtection="0">
      <alignment horizontal="right" vertical="center"/>
    </xf>
    <xf numFmtId="186" fontId="56" fillId="40" borderId="242" applyNumberFormat="0" applyFont="0" applyAlignment="0" applyProtection="0"/>
    <xf numFmtId="186" fontId="56" fillId="21" borderId="261" applyNumberFormat="0" applyProtection="0">
      <alignment horizontal="left" vertical="top" indent="1"/>
    </xf>
    <xf numFmtId="4" fontId="72" fillId="79" borderId="244" applyNumberFormat="0" applyProtection="0">
      <alignment horizontal="right" vertical="center"/>
    </xf>
    <xf numFmtId="186" fontId="56" fillId="40" borderId="242" applyNumberFormat="0" applyFont="0" applyAlignment="0" applyProtection="0"/>
    <xf numFmtId="186" fontId="56" fillId="14" borderId="26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3" borderId="197">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8" fontId="28" fillId="49" borderId="197">
      <alignment vertical="center"/>
    </xf>
    <xf numFmtId="190" fontId="28" fillId="49" borderId="197">
      <alignment vertical="center"/>
    </xf>
    <xf numFmtId="191"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91" fontId="28" fillId="50" borderId="197">
      <alignment vertical="center"/>
    </xf>
    <xf numFmtId="191"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88" fontId="28" fillId="50" borderId="197">
      <alignment vertical="center"/>
    </xf>
    <xf numFmtId="190"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1" borderId="197">
      <alignment horizontal="right" vertical="center"/>
      <protection locked="0"/>
    </xf>
    <xf numFmtId="186" fontId="28" fillId="51" borderId="197">
      <alignment horizontal="right" vertical="center"/>
      <protection locked="0"/>
    </xf>
    <xf numFmtId="186" fontId="28" fillId="51" borderId="197">
      <alignment horizontal="right" vertical="center"/>
      <protection locked="0"/>
    </xf>
    <xf numFmtId="190" fontId="28" fillId="51" borderId="197">
      <alignment horizontal="right" vertical="center"/>
      <protection locked="0"/>
    </xf>
    <xf numFmtId="188" fontId="28" fillId="51" borderId="197">
      <alignment horizontal="right" vertical="center"/>
      <protection locked="0"/>
    </xf>
    <xf numFmtId="190"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27" fillId="64" borderId="197" applyNumberFormat="0">
      <protection locked="0"/>
    </xf>
    <xf numFmtId="4" fontId="62" fillId="48" borderId="222" applyNumberFormat="0" applyProtection="0">
      <alignment vertical="center"/>
    </xf>
    <xf numFmtId="4" fontId="59" fillId="12" borderId="197"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56" fillId="67" borderId="197"/>
    <xf numFmtId="4" fontId="64" fillId="64" borderId="224" applyNumberFormat="0" applyProtection="0">
      <alignment horizontal="right" vertical="center"/>
    </xf>
    <xf numFmtId="194" fontId="33" fillId="0" borderId="22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197">
      <alignment vertical="center"/>
    </xf>
    <xf numFmtId="188" fontId="5" fillId="13" borderId="197">
      <alignment vertical="center"/>
    </xf>
    <xf numFmtId="190" fontId="5" fillId="13" borderId="197">
      <alignment vertical="center"/>
    </xf>
    <xf numFmtId="191" fontId="5" fillId="7" borderId="197">
      <alignment vertical="center"/>
      <protection locked="0"/>
    </xf>
    <xf numFmtId="188" fontId="5" fillId="7" borderId="197">
      <alignment vertical="center"/>
      <protection locked="0"/>
    </xf>
    <xf numFmtId="196" fontId="5" fillId="69" borderId="197">
      <alignment vertical="center"/>
    </xf>
    <xf numFmtId="188" fontId="5" fillId="69" borderId="197">
      <alignment vertical="center"/>
    </xf>
    <xf numFmtId="190" fontId="5" fillId="69" borderId="197">
      <alignment vertical="center"/>
    </xf>
    <xf numFmtId="191" fontId="5" fillId="69" borderId="197">
      <alignment vertical="center"/>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94" fontId="33" fillId="0" borderId="221" applyFill="0"/>
    <xf numFmtId="164" fontId="5" fillId="0" borderId="0" applyFont="0" applyFill="0" applyBorder="0" applyAlignment="0" applyProtection="0"/>
    <xf numFmtId="191" fontId="5" fillId="69" borderId="197">
      <alignment vertical="center"/>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3" fillId="0" borderId="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4" applyNumberFormat="0" applyProtection="0">
      <alignment horizontal="left" vertical="center" indent="1"/>
    </xf>
    <xf numFmtId="194" fontId="33" fillId="0" borderId="221" applyFill="0"/>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64" fontId="5" fillId="0" borderId="0" applyFont="0" applyFill="0" applyBorder="0" applyAlignment="0" applyProtection="0"/>
    <xf numFmtId="186" fontId="56" fillId="14" borderId="222" applyNumberFormat="0" applyProtection="0">
      <alignment horizontal="left" vertical="top" indent="1"/>
    </xf>
    <xf numFmtId="164" fontId="34" fillId="0" borderId="0" applyFont="0" applyFill="0" applyBorder="0" applyAlignment="0" applyProtection="0"/>
    <xf numFmtId="186" fontId="61" fillId="21" borderId="226" applyBorder="0"/>
    <xf numFmtId="4" fontId="56" fillId="58" borderId="224" applyNumberFormat="0" applyProtection="0">
      <alignment horizontal="right" vertical="center"/>
    </xf>
    <xf numFmtId="186" fontId="56" fillId="40" borderId="224" applyNumberFormat="0" applyFont="0" applyAlignment="0" applyProtection="0"/>
    <xf numFmtId="4" fontId="56" fillId="15" borderId="228" applyNumberFormat="0" applyProtection="0">
      <alignment horizontal="left" vertical="center" indent="1"/>
    </xf>
    <xf numFmtId="4" fontId="56" fillId="59" borderId="224" applyNumberFormat="0" applyProtection="0">
      <alignment horizontal="right" vertical="center"/>
    </xf>
    <xf numFmtId="186" fontId="56" fillId="11"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94" fontId="33" fillId="0" borderId="221" applyFill="0"/>
    <xf numFmtId="186" fontId="56" fillId="62" borderId="224" applyNumberFormat="0" applyProtection="0">
      <alignment horizontal="left" vertical="center" indent="1"/>
    </xf>
    <xf numFmtId="4" fontId="56" fillId="23" borderId="224" applyNumberFormat="0" applyProtection="0">
      <alignment horizontal="right" vertical="center"/>
    </xf>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64" fontId="39" fillId="0" borderId="0" applyFont="0" applyFill="0" applyBorder="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22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4" fontId="56" fillId="19" borderId="224" applyNumberFormat="0" applyProtection="0">
      <alignment horizontal="right" vertical="center"/>
    </xf>
    <xf numFmtId="194" fontId="33" fillId="0" borderId="221" applyFill="0"/>
    <xf numFmtId="186" fontId="56" fillId="62" borderId="224" applyNumberFormat="0" applyProtection="0">
      <alignment horizontal="left" vertical="center" indent="1"/>
    </xf>
    <xf numFmtId="4" fontId="56" fillId="58" borderId="224" applyNumberFormat="0" applyProtection="0">
      <alignment horizontal="right" vertical="center"/>
    </xf>
    <xf numFmtId="4" fontId="56" fillId="23"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94" fontId="33" fillId="0" borderId="221" applyFill="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64" fontId="35" fillId="0" borderId="0" applyFont="0" applyFill="0" applyBorder="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4" fontId="56" fillId="6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40" borderId="224" applyNumberFormat="0" applyFont="0" applyAlignment="0" applyProtection="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16" borderId="224" applyNumberFormat="0" applyProtection="0">
      <alignment horizontal="right" vertical="center"/>
    </xf>
    <xf numFmtId="4" fontId="56" fillId="59" borderId="224" applyNumberFormat="0" applyProtection="0">
      <alignment horizontal="right" vertical="center"/>
    </xf>
    <xf numFmtId="186" fontId="57" fillId="44" borderId="225" applyNumberFormat="0" applyAlignment="0" applyProtection="0"/>
    <xf numFmtId="186" fontId="56" fillId="11" borderId="224" applyNumberFormat="0" applyProtection="0">
      <alignment horizontal="left" vertical="center" indent="1"/>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52" borderId="224" applyNumberFormat="0" applyProtection="0">
      <alignment vertical="center"/>
    </xf>
    <xf numFmtId="4" fontId="56" fillId="58" borderId="224" applyNumberFormat="0" applyProtection="0">
      <alignment horizontal="right" vertical="center"/>
    </xf>
    <xf numFmtId="4" fontId="59" fillId="53" borderId="224" applyNumberFormat="0" applyProtection="0">
      <alignment vertical="center"/>
    </xf>
    <xf numFmtId="164" fontId="35" fillId="0" borderId="0" applyFont="0" applyFill="0" applyBorder="0" applyAlignment="0" applyProtection="0"/>
    <xf numFmtId="186" fontId="50" fillId="41" borderId="224" applyNumberForma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4" fontId="59" fillId="53" borderId="224" applyNumberFormat="0" applyProtection="0">
      <alignment vertical="center"/>
    </xf>
    <xf numFmtId="164" fontId="35" fillId="0" borderId="0" applyFont="0" applyFill="0" applyBorder="0" applyAlignment="0" applyProtection="0"/>
    <xf numFmtId="4" fontId="56" fillId="15" borderId="224" applyNumberFormat="0" applyProtection="0">
      <alignment horizontal="right" vertical="center"/>
    </xf>
    <xf numFmtId="4" fontId="56" fillId="52" borderId="224" applyNumberFormat="0" applyProtection="0">
      <alignment vertical="center"/>
    </xf>
    <xf numFmtId="4" fontId="56" fillId="52" borderId="224" applyNumberFormat="0" applyProtection="0">
      <alignment vertical="center"/>
    </xf>
    <xf numFmtId="4" fontId="56" fillId="15" borderId="224" applyNumberFormat="0" applyProtection="0">
      <alignment horizontal="right" vertical="center"/>
    </xf>
    <xf numFmtId="4" fontId="56" fillId="23"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186" fontId="56" fillId="63" borderId="224" applyNumberFormat="0" applyProtection="0">
      <alignment horizontal="left" vertical="center" indent="1"/>
    </xf>
    <xf numFmtId="186" fontId="56" fillId="40" borderId="224" applyNumberFormat="0" applyFont="0" applyAlignment="0" applyProtection="0"/>
    <xf numFmtId="186" fontId="61" fillId="21" borderId="226" applyBorder="0"/>
    <xf numFmtId="186" fontId="44" fillId="0" borderId="229" applyNumberFormat="0" applyFill="0" applyAlignment="0" applyProtection="0"/>
    <xf numFmtId="164" fontId="35" fillId="0" borderId="0" applyFont="0" applyFill="0" applyBorder="0" applyAlignment="0" applyProtection="0"/>
    <xf numFmtId="186" fontId="42" fillId="44" borderId="224" applyNumberFormat="0" applyAlignment="0" applyProtection="0"/>
    <xf numFmtId="4" fontId="56" fillId="58" borderId="224" applyNumberFormat="0" applyProtection="0">
      <alignment horizontal="right" vertical="center"/>
    </xf>
    <xf numFmtId="186" fontId="56" fillId="40" borderId="224" applyNumberFormat="0" applyFont="0" applyAlignment="0" applyProtection="0"/>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4" fontId="59" fillId="53" borderId="224" applyNumberFormat="0" applyProtection="0">
      <alignment vertical="center"/>
    </xf>
    <xf numFmtId="186" fontId="56" fillId="62" borderId="224"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59" fillId="53" borderId="224" applyNumberFormat="0" applyProtection="0">
      <alignment vertical="center"/>
    </xf>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4" fontId="56" fillId="54" borderId="224" applyNumberFormat="0" applyProtection="0">
      <alignment horizontal="left" vertical="center" indent="1"/>
    </xf>
    <xf numFmtId="4" fontId="62" fillId="11" borderId="222"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186" fontId="42" fillId="44" borderId="224"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222" applyNumberFormat="0" applyProtection="0">
      <alignment horizontal="left" vertical="top" indent="1"/>
    </xf>
    <xf numFmtId="4" fontId="59" fillId="53" borderId="224" applyNumberFormat="0" applyProtection="0">
      <alignment vertical="center"/>
    </xf>
    <xf numFmtId="4" fontId="56" fillId="55" borderId="224" applyNumberFormat="0" applyProtection="0">
      <alignment horizontal="right" vertical="center"/>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16" borderId="224" applyNumberFormat="0" applyProtection="0">
      <alignment horizontal="right" vertical="center"/>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7" fillId="44" borderId="225" applyNumberFormat="0" applyAlignment="0" applyProtection="0"/>
    <xf numFmtId="4" fontId="56" fillId="15" borderId="224" applyNumberFormat="0" applyProtection="0">
      <alignment horizontal="right" vertical="center"/>
    </xf>
    <xf numFmtId="164" fontId="5" fillId="0" borderId="0" applyFont="0" applyFill="0" applyBorder="0" applyAlignment="0" applyProtection="0"/>
    <xf numFmtId="4" fontId="56" fillId="23" borderId="224" applyNumberFormat="0" applyProtection="0">
      <alignment horizontal="right" vertical="center"/>
    </xf>
    <xf numFmtId="186" fontId="50" fillId="41" borderId="224" applyNumberFormat="0" applyAlignment="0" applyProtection="0"/>
    <xf numFmtId="186" fontId="44" fillId="0" borderId="229" applyNumberFormat="0" applyFill="0" applyAlignment="0" applyProtection="0"/>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4" fontId="62" fillId="48" borderId="222" applyNumberFormat="0" applyProtection="0">
      <alignment vertical="center"/>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4" fontId="63" fillId="66" borderId="228" applyNumberFormat="0" applyProtection="0">
      <alignment horizontal="left" vertical="center" indent="1"/>
    </xf>
    <xf numFmtId="186" fontId="50" fillId="41"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4" fontId="56" fillId="55"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0" borderId="224" applyNumberFormat="0" applyFont="0" applyAlignment="0" applyProtection="0"/>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42" fillId="44" borderId="224" applyNumberFormat="0" applyAlignment="0" applyProtection="0"/>
    <xf numFmtId="4" fontId="62" fillId="11" borderId="222" applyNumberFormat="0" applyProtection="0">
      <alignment horizontal="left" vertical="center" indent="1"/>
    </xf>
    <xf numFmtId="186" fontId="44" fillId="0" borderId="229" applyNumberFormat="0" applyFill="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42" fillId="44" borderId="224" applyNumberFormat="0" applyAlignment="0" applyProtection="0"/>
    <xf numFmtId="4" fontId="64" fillId="64" borderId="224" applyNumberFormat="0" applyProtection="0">
      <alignment horizontal="right" vertical="center"/>
    </xf>
    <xf numFmtId="186" fontId="61" fillId="21" borderId="226" applyBorder="0"/>
    <xf numFmtId="186" fontId="56" fillId="40" borderId="224" applyNumberFormat="0" applyFont="0" applyAlignment="0" applyProtection="0"/>
    <xf numFmtId="4" fontId="56" fillId="54" borderId="224"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4" fontId="56" fillId="55" borderId="224" applyNumberFormat="0" applyProtection="0">
      <alignment horizontal="right" vertical="center"/>
    </xf>
    <xf numFmtId="4" fontId="56" fillId="60"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56" fillId="0" borderId="224" applyNumberFormat="0" applyProtection="0">
      <alignment horizontal="right" vertical="center"/>
    </xf>
    <xf numFmtId="186" fontId="42" fillId="44" borderId="224" applyNumberFormat="0" applyAlignment="0" applyProtection="0"/>
    <xf numFmtId="186" fontId="50" fillId="41" borderId="224" applyNumberFormat="0" applyAlignment="0" applyProtection="0"/>
    <xf numFmtId="4" fontId="56" fillId="53" borderId="224" applyNumberFormat="0" applyProtection="0">
      <alignment horizontal="left" vertical="center" indent="1"/>
    </xf>
    <xf numFmtId="4" fontId="62" fillId="11" borderId="222" applyNumberFormat="0" applyProtection="0">
      <alignment horizontal="left" vertical="center" indent="1"/>
    </xf>
    <xf numFmtId="4" fontId="56" fillId="60" borderId="224" applyNumberFormat="0" applyProtection="0">
      <alignment horizontal="right" vertical="center"/>
    </xf>
    <xf numFmtId="4" fontId="59" fillId="6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64" fillId="64"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64" fontId="35" fillId="0" borderId="0" applyFont="0" applyFill="0" applyBorder="0" applyAlignment="0" applyProtection="0"/>
    <xf numFmtId="186" fontId="56" fillId="40" borderId="224" applyNumberFormat="0" applyFon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14" borderId="222"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2" borderId="224" applyNumberFormat="0" applyProtection="0">
      <alignment horizontal="left" vertical="center" indent="1"/>
    </xf>
    <xf numFmtId="4" fontId="56" fillId="55" borderId="224" applyNumberFormat="0" applyProtection="0">
      <alignment horizontal="right" vertical="center"/>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63" borderId="224" applyNumberFormat="0" applyProtection="0">
      <alignment horizontal="left" vertical="center" indent="1"/>
    </xf>
    <xf numFmtId="186" fontId="56" fillId="14" borderId="222" applyNumberFormat="0" applyProtection="0">
      <alignment horizontal="left" vertical="top" indent="1"/>
    </xf>
    <xf numFmtId="4" fontId="56" fillId="15" borderId="224" applyNumberFormat="0" applyProtection="0">
      <alignment horizontal="right" vertical="center"/>
    </xf>
    <xf numFmtId="186" fontId="62" fillId="48"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2" fillId="48" borderId="222" applyNumberFormat="0" applyProtection="0">
      <alignment vertical="center"/>
    </xf>
    <xf numFmtId="37" fontId="33" fillId="0" borderId="227" applyNumberFormat="0"/>
    <xf numFmtId="186" fontId="56" fillId="40" borderId="224" applyNumberFormat="0" applyFont="0" applyAlignment="0" applyProtection="0"/>
    <xf numFmtId="186" fontId="56" fillId="21" borderId="222" applyNumberFormat="0" applyProtection="0">
      <alignment horizontal="left" vertical="top" indent="1"/>
    </xf>
    <xf numFmtId="4" fontId="56" fillId="55" borderId="22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4" fontId="63" fillId="66" borderId="228"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186" fontId="62" fillId="48" borderId="222" applyNumberFormat="0" applyProtection="0">
      <alignment horizontal="left" vertical="top" indent="1"/>
    </xf>
    <xf numFmtId="186" fontId="56" fillId="21" borderId="222" applyNumberFormat="0" applyProtection="0">
      <alignment horizontal="left" vertical="top" indent="1"/>
    </xf>
    <xf numFmtId="4" fontId="56" fillId="52" borderId="224" applyNumberFormat="0" applyProtection="0">
      <alignment vertical="center"/>
    </xf>
    <xf numFmtId="4" fontId="56" fillId="54" borderId="224" applyNumberFormat="0" applyProtection="0">
      <alignment horizontal="left" vertical="center" indent="1"/>
    </xf>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4" fontId="62" fillId="11" borderId="222"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40" borderId="224" applyNumberFormat="0" applyFont="0" applyAlignment="0" applyProtection="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62"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14" borderId="224" applyNumberFormat="0" applyProtection="0">
      <alignment horizontal="left" vertical="center" indent="1"/>
    </xf>
    <xf numFmtId="194" fontId="33" fillId="0" borderId="221" applyFill="0"/>
    <xf numFmtId="4" fontId="62" fillId="48" borderId="222" applyNumberFormat="0" applyProtection="0">
      <alignment vertical="center"/>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2"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14" borderId="224" applyNumberFormat="0" applyProtection="0">
      <alignment horizontal="left" vertical="center" indent="1"/>
    </xf>
    <xf numFmtId="186" fontId="56" fillId="63" borderId="222" applyNumberFormat="0" applyProtection="0">
      <alignment horizontal="left" vertical="top" indent="1"/>
    </xf>
    <xf numFmtId="37" fontId="33" fillId="0" borderId="227" applyNumberFormat="0"/>
    <xf numFmtId="186" fontId="56" fillId="40" borderId="224" applyNumberFormat="0" applyFont="0" applyAlignment="0" applyProtection="0"/>
    <xf numFmtId="4" fontId="63" fillId="66" borderId="228" applyNumberFormat="0" applyProtection="0">
      <alignment horizontal="left" vertical="center" indent="1"/>
    </xf>
    <xf numFmtId="164" fontId="35" fillId="0" borderId="0" applyFont="0" applyFill="0" applyBorder="0" applyAlignment="0" applyProtection="0"/>
    <xf numFmtId="186" fontId="56" fillId="40" borderId="224" applyNumberFormat="0" applyFont="0" applyAlignment="0" applyProtection="0"/>
    <xf numFmtId="4" fontId="62" fillId="48" borderId="222" applyNumberFormat="0" applyProtection="0">
      <alignmen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top" indent="1"/>
    </xf>
    <xf numFmtId="4" fontId="56" fillId="19" borderId="224" applyNumberFormat="0" applyProtection="0">
      <alignment horizontal="righ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center" indent="1"/>
    </xf>
    <xf numFmtId="186" fontId="56" fillId="15" borderId="222" applyNumberFormat="0" applyProtection="0">
      <alignment horizontal="left" vertical="top" indent="1"/>
    </xf>
    <xf numFmtId="186" fontId="42" fillId="44" borderId="224" applyNumberFormat="0" applyAlignment="0" applyProtection="0"/>
    <xf numFmtId="4" fontId="56" fillId="58" borderId="224" applyNumberFormat="0" applyProtection="0">
      <alignment horizontal="right" vertical="center"/>
    </xf>
    <xf numFmtId="194" fontId="33" fillId="0" borderId="221" applyFill="0"/>
    <xf numFmtId="186" fontId="56" fillId="40" borderId="224" applyNumberFormat="0" applyFont="0" applyAlignment="0" applyProtection="0"/>
    <xf numFmtId="186" fontId="62" fillId="48"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37" fontId="33" fillId="0" borderId="227" applyNumberFormat="0"/>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61" borderId="228" applyNumberFormat="0" applyProtection="0">
      <alignment horizontal="left" vertical="center" indent="1"/>
    </xf>
    <xf numFmtId="186" fontId="50" fillId="41" borderId="224" applyNumberFormat="0" applyAlignment="0" applyProtection="0"/>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27" fillId="14" borderId="222" applyNumberFormat="0" applyProtection="0">
      <alignment horizontal="left" vertical="center" indent="1"/>
    </xf>
    <xf numFmtId="4" fontId="56" fillId="54" borderId="224" applyNumberFormat="0" applyProtection="0">
      <alignment horizontal="left" vertical="center" indent="1"/>
    </xf>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56" fillId="16" borderId="224" applyNumberFormat="0" applyProtection="0">
      <alignment horizontal="right" vertical="center"/>
    </xf>
    <xf numFmtId="4" fontId="56" fillId="14" borderId="228" applyNumberFormat="0" applyProtection="0">
      <alignment horizontal="left" vertical="center" indent="1"/>
    </xf>
    <xf numFmtId="4" fontId="56" fillId="54" borderId="224" applyNumberFormat="0" applyProtection="0">
      <alignment horizontal="left" vertical="center" indent="1"/>
    </xf>
    <xf numFmtId="4" fontId="56" fillId="16"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64" fontId="35" fillId="0" borderId="0" applyFont="0" applyFill="0" applyBorder="0" applyAlignment="0" applyProtection="0"/>
    <xf numFmtId="4" fontId="56" fillId="23" borderId="224" applyNumberFormat="0" applyProtection="0">
      <alignment horizontal="right" vertical="center"/>
    </xf>
    <xf numFmtId="164" fontId="35" fillId="0" borderId="0" applyFont="0" applyFill="0" applyBorder="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6"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94" fontId="33" fillId="0" borderId="221" applyFill="0"/>
    <xf numFmtId="186" fontId="56" fillId="63" borderId="222" applyNumberFormat="0" applyProtection="0">
      <alignment horizontal="left" vertical="top" indent="1"/>
    </xf>
    <xf numFmtId="4" fontId="56" fillId="1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6" fillId="11" borderId="224"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23"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94" fontId="33" fillId="0" borderId="221" applyFill="0"/>
    <xf numFmtId="186" fontId="56" fillId="14"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0" fillId="41" borderId="224" applyNumberFormat="0" applyAlignment="0" applyProtection="0"/>
    <xf numFmtId="186" fontId="27" fillId="63" borderId="222" applyNumberFormat="0" applyProtection="0">
      <alignment horizontal="left" vertical="top" indent="1"/>
    </xf>
    <xf numFmtId="186" fontId="50" fillId="41" borderId="224" applyNumberFormat="0" applyAlignment="0" applyProtection="0"/>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56" fillId="5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4"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56" fillId="0" borderId="224" applyNumberFormat="0" applyProtection="0">
      <alignment horizontal="right" vertical="center"/>
    </xf>
    <xf numFmtId="186" fontId="27" fillId="63" borderId="222" applyNumberFormat="0" applyProtection="0">
      <alignment horizontal="left" vertical="top" indent="1"/>
    </xf>
    <xf numFmtId="37" fontId="33" fillId="0" borderId="227" applyNumberFormat="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40" borderId="224" applyNumberFormat="0" applyFont="0" applyAlignment="0" applyProtection="0"/>
    <xf numFmtId="4" fontId="56" fillId="23" borderId="224" applyNumberFormat="0" applyProtection="0">
      <alignment horizontal="right" vertical="center"/>
    </xf>
    <xf numFmtId="4" fontId="56" fillId="23" borderId="224" applyNumberFormat="0" applyProtection="0">
      <alignment horizontal="right" vertical="center"/>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5" borderId="224" applyNumberFormat="0" applyProtection="0">
      <alignment horizontal="right" vertical="center"/>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64" fontId="35" fillId="0" borderId="0" applyFont="0" applyFill="0" applyBorder="0" applyAlignment="0" applyProtection="0"/>
    <xf numFmtId="186" fontId="60" fillId="52"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6" borderId="224"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5" borderId="224" applyNumberFormat="0" applyProtection="0">
      <alignment horizontal="right" vertical="center"/>
    </xf>
    <xf numFmtId="4" fontId="56" fillId="56" borderId="224"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4" fontId="63" fillId="66" borderId="228" applyNumberFormat="0" applyProtection="0">
      <alignment horizontal="left" vertical="center"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23"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42" fillId="44" borderId="224" applyNumberFormat="0" applyAlignment="0" applyProtection="0"/>
    <xf numFmtId="4" fontId="56" fillId="56" borderId="224" applyNumberFormat="0" applyProtection="0">
      <alignment horizontal="righ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9" borderId="224" applyNumberFormat="0" applyProtection="0">
      <alignment horizontal="right" vertical="center"/>
    </xf>
    <xf numFmtId="4" fontId="27" fillId="2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42" fillId="44" borderId="224" applyNumberFormat="0" applyAlignment="0" applyProtection="0"/>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0" borderId="224" applyNumberFormat="0" applyProtection="0">
      <alignment horizontal="right" vertical="center"/>
    </xf>
    <xf numFmtId="186" fontId="60" fillId="52" borderId="222" applyNumberFormat="0" applyProtection="0">
      <alignment horizontal="left" vertical="top" indent="1"/>
    </xf>
    <xf numFmtId="186" fontId="61" fillId="21" borderId="226" applyBorder="0"/>
    <xf numFmtId="186" fontId="56" fillId="63" borderId="224" applyNumberFormat="0" applyProtection="0">
      <alignment horizontal="left" vertical="center" indent="1"/>
    </xf>
    <xf numFmtId="186" fontId="50" fillId="41" borderId="224" applyNumberFormat="0" applyAlignment="0" applyProtection="0"/>
    <xf numFmtId="4" fontId="62" fillId="11" borderId="222"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56" fillId="53" borderId="224" applyNumberFormat="0" applyProtection="0">
      <alignment horizontal="left" vertical="center" indent="1"/>
    </xf>
    <xf numFmtId="4" fontId="56" fillId="58" borderId="224" applyNumberFormat="0" applyProtection="0">
      <alignment horizontal="right" vertical="center"/>
    </xf>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4" fontId="33" fillId="0" borderId="221" applyFill="0"/>
    <xf numFmtId="4" fontId="56" fillId="60"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right" vertical="center"/>
    </xf>
    <xf numFmtId="4" fontId="56" fillId="60"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8"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58" borderId="224" applyNumberFormat="0" applyProtection="0">
      <alignment horizontal="right" vertical="center"/>
    </xf>
    <xf numFmtId="4" fontId="56" fillId="52" borderId="224" applyNumberFormat="0" applyProtection="0">
      <alignmen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57" borderId="228" applyNumberFormat="0" applyProtection="0">
      <alignment horizontal="right" vertical="center"/>
    </xf>
    <xf numFmtId="4" fontId="56" fillId="14" borderId="228" applyNumberFormat="0" applyProtection="0">
      <alignment horizontal="left" vertical="center"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4" fontId="56" fillId="52" borderId="224" applyNumberFormat="0" applyProtection="0">
      <alignment vertical="center"/>
    </xf>
    <xf numFmtId="186" fontId="27" fillId="21" borderId="222" applyNumberFormat="0" applyProtection="0">
      <alignment horizontal="left" vertical="center"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60" fillId="52" borderId="222" applyNumberFormat="0" applyProtection="0">
      <alignment horizontal="left" vertical="top" indent="1"/>
    </xf>
    <xf numFmtId="4" fontId="56" fillId="15" borderId="224" applyNumberFormat="0" applyProtection="0">
      <alignment horizontal="right" vertical="center"/>
    </xf>
    <xf numFmtId="4" fontId="56" fillId="19" borderId="224" applyNumberFormat="0" applyProtection="0">
      <alignment horizontal="righ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9" fillId="65" borderId="224" applyNumberFormat="0" applyProtection="0">
      <alignment horizontal="right" vertical="center"/>
    </xf>
    <xf numFmtId="186" fontId="44" fillId="0" borderId="229" applyNumberFormat="0" applyFill="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61" fillId="21" borderId="226" applyBorder="0"/>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0" fillId="41" borderId="224" applyNumberFormat="0" applyAlignment="0" applyProtection="0"/>
    <xf numFmtId="186" fontId="56" fillId="63" borderId="222" applyNumberFormat="0" applyProtection="0">
      <alignment horizontal="left" vertical="top" indent="1"/>
    </xf>
    <xf numFmtId="186" fontId="50" fillId="41" borderId="224" applyNumberFormat="0" applyAlignment="0" applyProtection="0"/>
    <xf numFmtId="186" fontId="56" fillId="62" borderId="224" applyNumberFormat="0" applyProtection="0">
      <alignment horizontal="left" vertical="center"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61" fillId="21" borderId="226" applyBorder="0"/>
    <xf numFmtId="4" fontId="56" fillId="57" borderId="228" applyNumberFormat="0" applyProtection="0">
      <alignment horizontal="right" vertical="center"/>
    </xf>
    <xf numFmtId="186" fontId="56" fillId="14"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9" fillId="65"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56" fillId="15" borderId="222"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4" fontId="59" fillId="65" borderId="224" applyNumberFormat="0" applyProtection="0">
      <alignment horizontal="right" vertical="center"/>
    </xf>
    <xf numFmtId="186" fontId="27" fillId="14" borderId="222" applyNumberFormat="0" applyProtection="0">
      <alignment horizontal="left" vertical="top" indent="1"/>
    </xf>
    <xf numFmtId="186" fontId="56" fillId="15" borderId="222" applyNumberFormat="0" applyProtection="0">
      <alignment horizontal="left" vertical="top" indent="1"/>
    </xf>
    <xf numFmtId="4" fontId="56" fillId="61" borderId="228" applyNumberFormat="0" applyProtection="0">
      <alignment horizontal="left" vertical="center" indent="1"/>
    </xf>
    <xf numFmtId="4" fontId="56" fillId="57" borderId="228" applyNumberFormat="0" applyProtection="0">
      <alignment horizontal="right" vertical="center"/>
    </xf>
    <xf numFmtId="4" fontId="62" fillId="11" borderId="222" applyNumberFormat="0" applyProtection="0">
      <alignment horizontal="left" vertical="center" indent="1"/>
    </xf>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62" fillId="48"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4" fontId="27" fillId="21" borderId="228" applyNumberFormat="0" applyProtection="0">
      <alignment horizontal="left" vertical="center" indent="1"/>
    </xf>
    <xf numFmtId="4" fontId="56" fillId="19" borderId="224" applyNumberFormat="0" applyProtection="0">
      <alignment horizontal="right" vertical="center"/>
    </xf>
    <xf numFmtId="186" fontId="56" fillId="40" borderId="224" applyNumberFormat="0" applyFont="0" applyAlignment="0" applyProtection="0"/>
    <xf numFmtId="4" fontId="56" fillId="52" borderId="224" applyNumberFormat="0" applyProtection="0">
      <alignmen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194" fontId="33" fillId="0" borderId="221" applyFill="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3" borderId="224" applyNumberFormat="0" applyProtection="0">
      <alignment horizontal="left" vertical="center" indent="1"/>
    </xf>
    <xf numFmtId="4" fontId="59" fillId="65" borderId="224" applyNumberFormat="0" applyProtection="0">
      <alignment horizontal="right" vertical="center"/>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64" fillId="64" borderId="224" applyNumberFormat="0" applyProtection="0">
      <alignment horizontal="right" vertical="center"/>
    </xf>
    <xf numFmtId="4" fontId="62" fillId="11" borderId="222" applyNumberFormat="0" applyProtection="0">
      <alignment horizontal="left" vertical="center"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4" fontId="27" fillId="21" borderId="228" applyNumberFormat="0" applyProtection="0">
      <alignment horizontal="left" vertical="center" indent="1"/>
    </xf>
    <xf numFmtId="186" fontId="27" fillId="21" borderId="222" applyNumberFormat="0" applyProtection="0">
      <alignment horizontal="left" vertical="top" indent="1"/>
    </xf>
    <xf numFmtId="4" fontId="56" fillId="57" borderId="228" applyNumberFormat="0" applyProtection="0">
      <alignment horizontal="right" vertical="center"/>
    </xf>
    <xf numFmtId="186" fontId="56" fillId="11" borderId="224" applyNumberFormat="0" applyProtection="0">
      <alignment horizontal="left" vertical="center"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224" applyNumberFormat="0" applyAlignment="0" applyProtection="0"/>
    <xf numFmtId="4" fontId="59" fillId="65" borderId="224" applyNumberFormat="0" applyProtection="0">
      <alignment horizontal="right" vertical="center"/>
    </xf>
    <xf numFmtId="186" fontId="50" fillId="41" borderId="224" applyNumberFormat="0" applyAlignment="0" applyProtection="0"/>
    <xf numFmtId="164" fontId="35" fillId="0" borderId="0" applyFont="0" applyFill="0" applyBorder="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0" fillId="41" borderId="224" applyNumberFormat="0" applyAlignment="0" applyProtection="0"/>
    <xf numFmtId="4" fontId="56" fillId="54" borderId="224" applyNumberFormat="0" applyProtection="0">
      <alignment horizontal="left" vertical="center" indent="1"/>
    </xf>
    <xf numFmtId="4" fontId="56" fillId="19" borderId="224" applyNumberFormat="0" applyProtection="0">
      <alignment horizontal="right" vertical="center"/>
    </xf>
    <xf numFmtId="164" fontId="35" fillId="0" borderId="0" applyFont="0" applyFill="0" applyBorder="0" applyAlignment="0" applyProtection="0"/>
    <xf numFmtId="4" fontId="64" fillId="64" borderId="224" applyNumberFormat="0" applyProtection="0">
      <alignment horizontal="right" vertical="center"/>
    </xf>
    <xf numFmtId="4" fontId="56" fillId="23" borderId="224" applyNumberFormat="0" applyProtection="0">
      <alignment horizontal="right" vertical="center"/>
    </xf>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164"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4" applyNumberFormat="0" applyAlignment="0" applyProtection="0"/>
    <xf numFmtId="186" fontId="56" fillId="63" borderId="252" applyNumberFormat="0" applyProtection="0">
      <alignment horizontal="left" vertical="top" indent="1"/>
    </xf>
    <xf numFmtId="191" fontId="5" fillId="70" borderId="259">
      <alignment horizontal="right" vertical="center"/>
      <protection locked="0"/>
    </xf>
    <xf numFmtId="4" fontId="59" fillId="65" borderId="263" applyNumberFormat="0" applyProtection="0">
      <alignment horizontal="right" vertical="center"/>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0" fontId="3" fillId="103" borderId="165" applyNumberFormat="0" applyFont="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1"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3" applyNumberFormat="0" applyProtection="0">
      <alignment horizontal="right" vertical="center"/>
    </xf>
    <xf numFmtId="4" fontId="74" fillId="87" borderId="244"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1" applyNumberFormat="0" applyProtection="0">
      <alignment horizontal="left" vertical="top" indent="1"/>
    </xf>
    <xf numFmtId="4" fontId="72" fillId="50" borderId="244"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1" applyNumberFormat="0" applyProtection="0">
      <alignment horizontal="left" vertical="top" indent="1"/>
    </xf>
    <xf numFmtId="4" fontId="56" fillId="52" borderId="253"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1" applyNumberFormat="0" applyProtection="0">
      <alignment horizontal="left" vertical="top" indent="1"/>
    </xf>
    <xf numFmtId="186" fontId="62" fillId="15" borderId="244"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27" fillId="21" borderId="261" applyNumberFormat="0" applyProtection="0">
      <alignment horizontal="left" vertical="center" indent="1"/>
    </xf>
    <xf numFmtId="186" fontId="50" fillId="41" borderId="242" applyNumberFormat="0" applyAlignment="0" applyProtection="0"/>
    <xf numFmtId="186" fontId="56" fillId="63" borderId="261" applyNumberFormat="0" applyProtection="0">
      <alignment horizontal="left" vertical="top" indent="1"/>
    </xf>
    <xf numFmtId="4" fontId="59" fillId="53" borderId="263" applyNumberFormat="0" applyProtection="0">
      <alignment vertical="center"/>
    </xf>
    <xf numFmtId="4" fontId="63" fillId="66" borderId="267" applyNumberFormat="0" applyProtection="0">
      <alignment horizontal="left" vertical="center" indent="1"/>
    </xf>
    <xf numFmtId="186" fontId="56" fillId="63" borderId="261" applyNumberFormat="0" applyProtection="0">
      <alignment horizontal="left" vertical="top" indent="1"/>
    </xf>
    <xf numFmtId="4" fontId="56" fillId="57" borderId="267"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42" fillId="44" borderId="242" applyNumberFormat="0" applyAlignment="0" applyProtection="0"/>
    <xf numFmtId="0" fontId="27" fillId="21" borderId="244" applyNumberFormat="0" applyProtection="0">
      <alignment horizontal="left" vertical="center" indent="1"/>
    </xf>
    <xf numFmtId="4" fontId="72" fillId="49" borderId="244" applyNumberFormat="0" applyProtection="0">
      <alignment horizontal="right" vertical="center"/>
    </xf>
    <xf numFmtId="186" fontId="56" fillId="21" borderId="252" applyNumberFormat="0" applyProtection="0">
      <alignment horizontal="left" vertical="top" indent="1"/>
    </xf>
    <xf numFmtId="186" fontId="42" fillId="44" borderId="22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4" borderId="253"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4" applyNumberFormat="0" applyAlignment="0" applyProtection="0"/>
    <xf numFmtId="186" fontId="27" fillId="15" borderId="261" applyNumberFormat="0" applyProtection="0">
      <alignment horizontal="left" vertical="top" indent="1"/>
    </xf>
    <xf numFmtId="186" fontId="42" fillId="44" borderId="263" applyNumberFormat="0" applyAlignment="0" applyProtection="0"/>
    <xf numFmtId="186" fontId="56" fillId="62" borderId="242" applyNumberFormat="0" applyProtection="0">
      <alignment horizontal="left" vertical="center" indent="1"/>
    </xf>
    <xf numFmtId="186" fontId="56" fillId="40" borderId="224" applyNumberFormat="0" applyFont="0" applyAlignment="0" applyProtection="0"/>
    <xf numFmtId="0" fontId="3" fillId="0" borderId="0"/>
    <xf numFmtId="164" fontId="5" fillId="0" borderId="0" applyFont="0" applyFill="0" applyBorder="0" applyAlignment="0" applyProtection="0"/>
    <xf numFmtId="186" fontId="56" fillId="14" borderId="25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60" fillId="52" borderId="222" applyNumberFormat="0" applyProtection="0">
      <alignment horizontal="left" vertical="top" indent="1"/>
    </xf>
    <xf numFmtId="186" fontId="57" fillId="44" borderId="225" applyNumberFormat="0" applyAlignment="0" applyProtection="0"/>
    <xf numFmtId="186" fontId="57" fillId="44" borderId="225" applyNumberFormat="0" applyAlignment="0" applyProtection="0"/>
    <xf numFmtId="186" fontId="42" fillId="44" borderId="224" applyNumberFormat="0" applyAlignment="0" applyProtection="0"/>
    <xf numFmtId="186" fontId="42" fillId="44" borderId="224" applyNumberFormat="0" applyAlignment="0" applyProtection="0"/>
    <xf numFmtId="186" fontId="56" fillId="21" borderId="25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6" fillId="21" borderId="244" applyNumberFormat="0" applyProtection="0">
      <alignment horizontal="left" vertical="top" indent="1"/>
    </xf>
    <xf numFmtId="186" fontId="27" fillId="14"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94" fontId="33" fillId="0" borderId="221" applyFill="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21" applyFill="0"/>
    <xf numFmtId="164" fontId="5" fillId="0" borderId="0" applyFont="0" applyFill="0" applyBorder="0" applyAlignment="0" applyProtection="0"/>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3" borderId="224" applyNumberFormat="0" applyProtection="0">
      <alignment horizontal="left" vertical="center" indent="1"/>
    </xf>
    <xf numFmtId="186" fontId="61" fillId="21"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6" fillId="63"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4"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64" fillId="64" borderId="224"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14" borderId="224"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4" fontId="35" fillId="0" borderId="0" applyFont="0" applyFill="0" applyBorder="0" applyAlignment="0" applyProtection="0"/>
    <xf numFmtId="164" fontId="27" fillId="0" borderId="0" applyFont="0" applyFill="0" applyBorder="0" applyAlignment="0" applyProtection="0"/>
    <xf numFmtId="191" fontId="28" fillId="12" borderId="249">
      <alignment vertical="center"/>
      <protection locked="0"/>
    </xf>
    <xf numFmtId="186" fontId="56" fillId="63" borderId="242" applyNumberFormat="0" applyProtection="0">
      <alignment horizontal="left" vertical="center" indent="1"/>
    </xf>
    <xf numFmtId="4" fontId="59" fillId="53" borderId="242" applyNumberFormat="0" applyProtection="0">
      <alignment vertical="center"/>
    </xf>
    <xf numFmtId="186" fontId="62" fillId="48" borderId="244" applyNumberFormat="0" applyProtection="0">
      <alignment horizontal="left" vertical="top" indent="1"/>
    </xf>
    <xf numFmtId="186" fontId="57" fillId="44" borderId="243" applyNumberFormat="0" applyAlignment="0" applyProtection="0"/>
    <xf numFmtId="4" fontId="56" fillId="23" borderId="242" applyNumberFormat="0" applyProtection="0">
      <alignment horizontal="right" vertical="center"/>
    </xf>
    <xf numFmtId="186" fontId="56" fillId="14" borderId="244" applyNumberFormat="0" applyProtection="0">
      <alignment horizontal="left" vertical="top" indent="1"/>
    </xf>
    <xf numFmtId="4" fontId="63" fillId="66" borderId="245" applyNumberFormat="0" applyProtection="0">
      <alignment horizontal="left" vertical="center" indent="1"/>
    </xf>
    <xf numFmtId="0" fontId="5" fillId="13" borderId="249">
      <alignment vertical="center"/>
    </xf>
    <xf numFmtId="186" fontId="42" fillId="44" borderId="242" applyNumberFormat="0" applyAlignment="0" applyProtection="0"/>
    <xf numFmtId="37" fontId="33" fillId="0" borderId="247" applyNumberFormat="0"/>
    <xf numFmtId="191" fontId="28" fillId="50" borderId="259">
      <alignment vertical="center"/>
    </xf>
    <xf numFmtId="186" fontId="56" fillId="63" borderId="242" applyNumberFormat="0" applyProtection="0">
      <alignment horizontal="left" vertical="center" indent="1"/>
    </xf>
    <xf numFmtId="186" fontId="28" fillId="50" borderId="259">
      <alignment vertical="center"/>
    </xf>
    <xf numFmtId="4" fontId="56" fillId="60"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186" fontId="56" fillId="40" borderId="253" applyNumberFormat="0" applyFont="0" applyAlignment="0" applyProtection="0"/>
    <xf numFmtId="186" fontId="27" fillId="15" borderId="244" applyNumberFormat="0" applyProtection="0">
      <alignment horizontal="left" vertical="top"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72" fontId="28" fillId="12" borderId="259">
      <alignment vertical="center"/>
      <protection locked="0"/>
    </xf>
    <xf numFmtId="186" fontId="56" fillId="63" borderId="244" applyNumberFormat="0" applyProtection="0">
      <alignment horizontal="left" vertical="top" indent="1"/>
    </xf>
    <xf numFmtId="186" fontId="27" fillId="15" borderId="244" applyNumberFormat="0" applyProtection="0">
      <alignment horizontal="left" vertical="top" indent="1"/>
    </xf>
    <xf numFmtId="4" fontId="59" fillId="53" borderId="242" applyNumberFormat="0" applyProtection="0">
      <alignment vertical="center"/>
    </xf>
    <xf numFmtId="186" fontId="62" fillId="48" borderId="244" applyNumberFormat="0" applyProtection="0">
      <alignment horizontal="left" vertical="top" indent="1"/>
    </xf>
    <xf numFmtId="196" fontId="5" fillId="69" borderId="249">
      <alignment vertical="center"/>
    </xf>
    <xf numFmtId="4" fontId="56" fillId="16" borderId="25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0" fontId="5" fillId="70" borderId="8">
      <alignment horizontal="right" vertical="center"/>
      <protection locked="0"/>
    </xf>
    <xf numFmtId="193" fontId="28" fillId="12" borderId="259">
      <alignment vertical="center"/>
      <protection locked="0"/>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27" fillId="15" borderId="252" applyNumberFormat="0" applyProtection="0">
      <alignment horizontal="left" vertical="top" indent="1"/>
    </xf>
    <xf numFmtId="186" fontId="56" fillId="63" borderId="253" applyNumberFormat="0" applyProtection="0">
      <alignment horizontal="left" vertical="center" indent="1"/>
    </xf>
    <xf numFmtId="4" fontId="27" fillId="21" borderId="267" applyNumberFormat="0" applyProtection="0">
      <alignment horizontal="left" vertical="center" indent="1"/>
    </xf>
    <xf numFmtId="186" fontId="56" fillId="40" borderId="253" applyNumberFormat="0" applyFont="0" applyAlignment="0" applyProtection="0"/>
    <xf numFmtId="186" fontId="56" fillId="11" borderId="263" applyNumberFormat="0" applyProtection="0">
      <alignment horizontal="left" vertical="center" indent="1"/>
    </xf>
    <xf numFmtId="186" fontId="56" fillId="63" borderId="252" applyNumberFormat="0" applyProtection="0">
      <alignment horizontal="left" vertical="top" indent="1"/>
    </xf>
    <xf numFmtId="186" fontId="27" fillId="14" borderId="252" applyNumberFormat="0" applyProtection="0">
      <alignment horizontal="left" vertical="center"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93"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86" fontId="62" fillId="15" borderId="261"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0" fontId="27" fillId="21" borderId="261" applyNumberFormat="0" applyProtection="0">
      <alignment horizontal="left" vertical="top" indent="1"/>
    </xf>
    <xf numFmtId="186" fontId="27" fillId="63" borderId="252" applyNumberFormat="0" applyProtection="0">
      <alignment horizontal="left" vertical="top" indent="1"/>
    </xf>
    <xf numFmtId="186" fontId="28" fillId="50" borderId="249">
      <alignment vertical="center"/>
    </xf>
    <xf numFmtId="186" fontId="27" fillId="63" borderId="244" applyNumberFormat="0" applyProtection="0">
      <alignment horizontal="left" vertical="center" indent="1"/>
    </xf>
    <xf numFmtId="186" fontId="27"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5" borderId="244" applyNumberFormat="0" applyProtection="0">
      <alignment horizontal="left" vertical="top" indent="1"/>
    </xf>
    <xf numFmtId="4" fontId="56" fillId="16" borderId="253" applyNumberFormat="0" applyProtection="0">
      <alignment horizontal="right" vertical="center"/>
    </xf>
    <xf numFmtId="4" fontId="59" fillId="53" borderId="242" applyNumberFormat="0" applyProtection="0">
      <alignment vertical="center"/>
    </xf>
    <xf numFmtId="191" fontId="28" fillId="50"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56" fillId="21" borderId="244" applyNumberFormat="0" applyProtection="0">
      <alignment horizontal="left" vertical="top" indent="1"/>
    </xf>
    <xf numFmtId="188" fontId="5" fillId="70" borderId="249">
      <alignment horizontal="right" vertical="center"/>
      <protection locked="0"/>
    </xf>
    <xf numFmtId="186" fontId="56" fillId="40" borderId="242" applyNumberFormat="0" applyFont="0" applyAlignment="0" applyProtection="0"/>
    <xf numFmtId="186" fontId="57" fillId="44"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0" borderId="263" applyNumberFormat="0" applyFont="0" applyAlignment="0" applyProtection="0"/>
    <xf numFmtId="4" fontId="56" fillId="52" borderId="253" applyNumberFormat="0" applyProtection="0">
      <alignment vertical="center"/>
    </xf>
    <xf numFmtId="186" fontId="27"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91" fontId="28" fillId="12" borderId="249">
      <alignment vertical="center"/>
      <protection locked="0"/>
    </xf>
    <xf numFmtId="191" fontId="5" fillId="70" borderId="249">
      <alignment horizontal="right" vertical="center"/>
      <protection locked="0"/>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96" fontId="5" fillId="69" borderId="8">
      <alignment vertical="center"/>
    </xf>
    <xf numFmtId="186" fontId="56" fillId="14" borderId="244" applyNumberFormat="0" applyProtection="0">
      <alignment horizontal="left" vertical="top" indent="1"/>
    </xf>
    <xf numFmtId="4" fontId="56" fillId="58" borderId="263" applyNumberFormat="0" applyProtection="0">
      <alignment horizontal="right" vertical="center"/>
    </xf>
    <xf numFmtId="4" fontId="27" fillId="21" borderId="257" applyNumberFormat="0" applyProtection="0">
      <alignment horizontal="left" vertical="center" indent="1"/>
    </xf>
    <xf numFmtId="4" fontId="56" fillId="0" borderId="253" applyNumberFormat="0" applyProtection="0">
      <alignment horizontal="right" vertical="center"/>
    </xf>
    <xf numFmtId="186" fontId="27" fillId="63" borderId="252" applyNumberFormat="0" applyProtection="0">
      <alignment horizontal="left" vertical="top" indent="1"/>
    </xf>
    <xf numFmtId="194" fontId="33" fillId="0" borderId="260" applyFill="0"/>
    <xf numFmtId="0" fontId="5" fillId="13" borderId="8">
      <alignment vertical="center"/>
    </xf>
    <xf numFmtId="4" fontId="72" fillId="53" borderId="252" applyNumberFormat="0" applyProtection="0">
      <alignment horizontal="left" vertical="center" indent="1"/>
    </xf>
    <xf numFmtId="186" fontId="27" fillId="14" borderId="261" applyNumberFormat="0" applyProtection="0">
      <alignment horizontal="left" vertical="center" indent="1"/>
    </xf>
    <xf numFmtId="186" fontId="56" fillId="11" borderId="263"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186" fontId="27" fillId="15" borderId="252" applyNumberFormat="0" applyProtection="0">
      <alignment horizontal="left" vertical="center" indent="1"/>
    </xf>
    <xf numFmtId="186" fontId="61" fillId="21" borderId="255" applyBorder="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62" fillId="11" borderId="261" applyNumberFormat="0" applyProtection="0">
      <alignment horizontal="left" vertical="center" indent="1"/>
    </xf>
    <xf numFmtId="4" fontId="56" fillId="54" borderId="253" applyNumberFormat="0" applyProtection="0">
      <alignment horizontal="left" vertical="center" indent="1"/>
    </xf>
    <xf numFmtId="186" fontId="27" fillId="14" borderId="244" applyNumberFormat="0" applyProtection="0">
      <alignment horizontal="left" vertical="center" indent="1"/>
    </xf>
    <xf numFmtId="186" fontId="56" fillId="15" borderId="252" applyNumberFormat="0" applyProtection="0">
      <alignment horizontal="left" vertical="top" indent="1"/>
    </xf>
    <xf numFmtId="186" fontId="56" fillId="40" borderId="242" applyNumberFormat="0" applyFont="0" applyAlignment="0" applyProtection="0"/>
    <xf numFmtId="194" fontId="33" fillId="0" borderId="260" applyFill="0"/>
    <xf numFmtId="4" fontId="59" fillId="65" borderId="263"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15" borderId="244" applyNumberFormat="0" applyProtection="0">
      <alignment horizontal="left" vertical="top" indent="1"/>
    </xf>
    <xf numFmtId="4" fontId="56" fillId="58" borderId="253" applyNumberFormat="0" applyProtection="0">
      <alignment horizontal="right" vertical="center"/>
    </xf>
    <xf numFmtId="186" fontId="56" fillId="14" borderId="244" applyNumberFormat="0" applyProtection="0">
      <alignment horizontal="left" vertical="top" indent="1"/>
    </xf>
    <xf numFmtId="172" fontId="28" fillId="12" borderId="249">
      <alignment vertical="center"/>
      <protection locked="0"/>
    </xf>
    <xf numFmtId="186" fontId="60" fillId="52" borderId="252" applyNumberFormat="0" applyProtection="0">
      <alignment horizontal="left" vertical="top" indent="1"/>
    </xf>
    <xf numFmtId="4" fontId="56" fillId="54" borderId="253"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86" fontId="61" fillId="21" borderId="265" applyBorder="0"/>
    <xf numFmtId="4" fontId="56" fillId="55" borderId="263" applyNumberFormat="0" applyProtection="0">
      <alignment horizontal="right" vertical="center"/>
    </xf>
    <xf numFmtId="186" fontId="57" fillId="44" borderId="264" applyNumberFormat="0" applyAlignment="0" applyProtection="0"/>
    <xf numFmtId="186" fontId="27" fillId="21" borderId="261" applyNumberFormat="0" applyProtection="0">
      <alignment horizontal="left" vertical="center" indent="1"/>
    </xf>
    <xf numFmtId="186" fontId="28" fillId="49" borderId="8">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7" fillId="44" borderId="243" applyNumberFormat="0" applyAlignment="0" applyProtection="0"/>
    <xf numFmtId="186" fontId="57" fillId="44" borderId="254" applyNumberFormat="0" applyAlignment="0" applyProtection="0"/>
    <xf numFmtId="186" fontId="62" fillId="15" borderId="252" applyNumberFormat="0" applyProtection="0">
      <alignment horizontal="left" vertical="top" indent="1"/>
    </xf>
    <xf numFmtId="191"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4" fontId="56" fillId="14" borderId="245" applyNumberFormat="0" applyProtection="0">
      <alignment horizontal="left" vertical="center" indent="1"/>
    </xf>
    <xf numFmtId="186" fontId="50" fillId="41" borderId="242" applyNumberFormat="0" applyAlignment="0" applyProtection="0"/>
    <xf numFmtId="186" fontId="42" fillId="44" borderId="253" applyNumberFormat="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27" fillId="15" borderId="244" applyNumberFormat="0" applyProtection="0">
      <alignment horizontal="left" vertical="top" indent="1"/>
    </xf>
    <xf numFmtId="186" fontId="56" fillId="15"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4" fontId="56" fillId="16" borderId="253" applyNumberFormat="0" applyProtection="0">
      <alignment horizontal="right" vertical="center"/>
    </xf>
    <xf numFmtId="186" fontId="27" fillId="63" borderId="261" applyNumberFormat="0" applyProtection="0">
      <alignment horizontal="left" vertical="top" indent="1"/>
    </xf>
    <xf numFmtId="188" fontId="28" fillId="50" borderId="249">
      <alignment vertical="center"/>
    </xf>
    <xf numFmtId="4" fontId="27" fillId="21" borderId="257"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4" fontId="59" fillId="53" borderId="253" applyNumberFormat="0" applyProtection="0">
      <alignment vertical="center"/>
    </xf>
    <xf numFmtId="186" fontId="27" fillId="63" borderId="252" applyNumberFormat="0" applyProtection="0">
      <alignment horizontal="left" vertical="center" indent="1"/>
    </xf>
    <xf numFmtId="4" fontId="56" fillId="59" borderId="253" applyNumberFormat="0" applyProtection="0">
      <alignment horizontal="right" vertical="center"/>
    </xf>
    <xf numFmtId="186" fontId="56" fillId="63" borderId="244" applyNumberFormat="0" applyProtection="0">
      <alignment horizontal="left" vertical="top" indent="1"/>
    </xf>
    <xf numFmtId="0" fontId="5" fillId="13" borderId="249">
      <alignment vertical="center"/>
    </xf>
    <xf numFmtId="4" fontId="56" fillId="0" borderId="242" applyNumberFormat="0" applyProtection="0">
      <alignment horizontal="right" vertical="center"/>
    </xf>
    <xf numFmtId="186" fontId="56" fillId="21" borderId="261" applyNumberFormat="0" applyProtection="0">
      <alignment horizontal="left" vertical="top" indent="1"/>
    </xf>
    <xf numFmtId="188" fontId="28" fillId="49" borderId="249">
      <alignment vertical="center"/>
    </xf>
    <xf numFmtId="186" fontId="56" fillId="40" borderId="253" applyNumberFormat="0" applyFont="0" applyAlignment="0" applyProtection="0"/>
    <xf numFmtId="4" fontId="56" fillId="59" borderId="263" applyNumberFormat="0" applyProtection="0">
      <alignment horizontal="right" vertical="center"/>
    </xf>
    <xf numFmtId="191" fontId="28" fillId="50" borderId="259">
      <alignment vertical="center"/>
    </xf>
    <xf numFmtId="4" fontId="56" fillId="15" borderId="253" applyNumberFormat="0" applyProtection="0">
      <alignment horizontal="right" vertical="center"/>
    </xf>
    <xf numFmtId="196" fontId="5" fillId="69" borderId="259">
      <alignmen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8" fontId="28" fillId="51" borderId="249">
      <alignment horizontal="right" vertical="center"/>
      <protection locked="0"/>
    </xf>
    <xf numFmtId="186" fontId="56" fillId="63" borderId="242" applyNumberFormat="0" applyProtection="0">
      <alignment horizontal="left" vertical="center" indent="1"/>
    </xf>
    <xf numFmtId="4" fontId="56" fillId="57" borderId="267" applyNumberFormat="0" applyProtection="0">
      <alignment horizontal="right" vertical="center"/>
    </xf>
    <xf numFmtId="186" fontId="56" fillId="21" borderId="252" applyNumberFormat="0" applyProtection="0">
      <alignment horizontal="left" vertical="top" indent="1"/>
    </xf>
    <xf numFmtId="186" fontId="56" fillId="14" borderId="263" applyNumberFormat="0" applyProtection="0">
      <alignment horizontal="left" vertical="center" indent="1"/>
    </xf>
    <xf numFmtId="4" fontId="62" fillId="48" borderId="261" applyNumberFormat="0" applyProtection="0">
      <alignment vertical="center"/>
    </xf>
    <xf numFmtId="4" fontId="56" fillId="52" borderId="253"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27" fillId="15" borderId="261" applyNumberFormat="0" applyProtection="0">
      <alignment horizontal="left" vertical="center" indent="1"/>
    </xf>
    <xf numFmtId="4" fontId="62" fillId="48" borderId="261" applyNumberFormat="0" applyProtection="0">
      <alignment vertical="center"/>
    </xf>
    <xf numFmtId="186" fontId="27"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28" fillId="49" borderId="249">
      <alignment vertical="center"/>
    </xf>
    <xf numFmtId="186" fontId="56" fillId="15" borderId="252" applyNumberFormat="0" applyProtection="0">
      <alignment horizontal="left" vertical="top" indent="1"/>
    </xf>
    <xf numFmtId="186" fontId="62" fillId="48" borderId="261" applyNumberFormat="0" applyProtection="0">
      <alignment horizontal="left" vertical="top" indent="1"/>
    </xf>
    <xf numFmtId="186" fontId="27" fillId="15" borderId="261" applyNumberFormat="0" applyProtection="0">
      <alignment horizontal="left" vertical="center" indent="1"/>
    </xf>
    <xf numFmtId="4" fontId="56" fillId="61" borderId="267" applyNumberFormat="0" applyProtection="0">
      <alignment horizontal="left" vertical="center" indent="1"/>
    </xf>
    <xf numFmtId="188" fontId="5" fillId="13" borderId="259">
      <alignment vertical="center"/>
    </xf>
    <xf numFmtId="186" fontId="57" fillId="44" borderId="264" applyNumberFormat="0" applyAlignment="0" applyProtection="0"/>
    <xf numFmtId="4" fontId="56" fillId="56" borderId="263" applyNumberFormat="0" applyProtection="0">
      <alignment horizontal="right" vertical="center"/>
    </xf>
    <xf numFmtId="186" fontId="56" fillId="11"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186" fontId="27" fillId="15" borderId="261" applyNumberFormat="0" applyProtection="0">
      <alignment horizontal="left" vertical="center" indent="1"/>
    </xf>
    <xf numFmtId="4" fontId="56" fillId="53"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191" fontId="5" fillId="70" borderId="8">
      <alignment horizontal="right" vertical="center"/>
      <protection locked="0"/>
    </xf>
    <xf numFmtId="186" fontId="57" fillId="44" borderId="254" applyNumberFormat="0" applyAlignment="0" applyProtection="0"/>
    <xf numFmtId="4" fontId="56" fillId="23" borderId="242" applyNumberFormat="0" applyProtection="0">
      <alignment horizontal="right" vertical="center"/>
    </xf>
    <xf numFmtId="4" fontId="27" fillId="21" borderId="245"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191" fontId="28" fillId="51" borderId="259">
      <alignment horizontal="right" vertical="center"/>
      <protection locked="0"/>
    </xf>
    <xf numFmtId="186" fontId="56" fillId="40" borderId="253" applyNumberFormat="0" applyFont="0" applyAlignment="0" applyProtection="0"/>
    <xf numFmtId="186" fontId="27" fillId="15" borderId="252" applyNumberFormat="0" applyProtection="0">
      <alignment horizontal="left" vertical="top" indent="1"/>
    </xf>
    <xf numFmtId="186" fontId="56" fillId="67" borderId="249"/>
    <xf numFmtId="186" fontId="44" fillId="0" borderId="248" applyNumberFormat="0" applyFill="0" applyAlignment="0" applyProtection="0"/>
    <xf numFmtId="193" fontId="28" fillId="12" borderId="249">
      <alignment vertical="center"/>
      <protection locked="0"/>
    </xf>
    <xf numFmtId="186" fontId="56" fillId="21" borderId="252" applyNumberFormat="0" applyProtection="0">
      <alignment horizontal="left" vertical="top" indent="1"/>
    </xf>
    <xf numFmtId="4" fontId="56" fillId="57" borderId="245" applyNumberFormat="0" applyProtection="0">
      <alignment horizontal="right" vertical="center"/>
    </xf>
    <xf numFmtId="186" fontId="56" fillId="21" borderId="261" applyNumberFormat="0" applyProtection="0">
      <alignment horizontal="left" vertical="top" indent="1"/>
    </xf>
    <xf numFmtId="186" fontId="27" fillId="15" borderId="252" applyNumberFormat="0" applyProtection="0">
      <alignment horizontal="left" vertical="center" indent="1"/>
    </xf>
    <xf numFmtId="186" fontId="56" fillId="21" borderId="261" applyNumberFormat="0" applyProtection="0">
      <alignment horizontal="left" vertical="top" indent="1"/>
    </xf>
    <xf numFmtId="4" fontId="70" fillId="53" borderId="261" applyNumberFormat="0" applyProtection="0">
      <alignment vertical="center"/>
    </xf>
    <xf numFmtId="186" fontId="56" fillId="63" borderId="253"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0" fontId="27" fillId="15" borderId="252" applyNumberFormat="0" applyProtection="0">
      <alignment horizontal="left" vertical="center" indent="1"/>
    </xf>
    <xf numFmtId="188" fontId="5" fillId="7" borderId="259">
      <alignment vertical="center"/>
      <protection locked="0"/>
    </xf>
    <xf numFmtId="186" fontId="62" fillId="48" borderId="261" applyNumberFormat="0" applyProtection="0">
      <alignment horizontal="left" vertical="top" indent="1"/>
    </xf>
    <xf numFmtId="4" fontId="56" fillId="14" borderId="267" applyNumberFormat="0" applyProtection="0">
      <alignment horizontal="left" vertical="center" indent="1"/>
    </xf>
    <xf numFmtId="186" fontId="56" fillId="14" borderId="252" applyNumberFormat="0" applyProtection="0">
      <alignment horizontal="left" vertical="top" indent="1"/>
    </xf>
    <xf numFmtId="188" fontId="5" fillId="69" borderId="249">
      <alignment vertical="center"/>
    </xf>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44" fillId="0" borderId="258" applyNumberFormat="0" applyFill="0" applyAlignment="0" applyProtection="0"/>
    <xf numFmtId="188" fontId="5" fillId="13" borderId="24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14" borderId="257"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21" borderId="252" applyNumberFormat="0" applyProtection="0">
      <alignment horizontal="left" vertical="top" indent="1"/>
    </xf>
    <xf numFmtId="186" fontId="27" fillId="15" borderId="252" applyNumberFormat="0" applyProtection="0">
      <alignment horizontal="left" vertical="top" indent="1"/>
    </xf>
    <xf numFmtId="0" fontId="5" fillId="13" borderId="259">
      <alignment vertical="center"/>
    </xf>
    <xf numFmtId="0" fontId="5" fillId="69" borderId="259">
      <alignment vertical="center"/>
    </xf>
    <xf numFmtId="0" fontId="5" fillId="7" borderId="259">
      <alignment vertical="center"/>
      <protection locked="0"/>
    </xf>
    <xf numFmtId="4" fontId="56" fillId="23" borderId="253" applyNumberFormat="0" applyProtection="0">
      <alignment horizontal="right" vertical="center"/>
    </xf>
    <xf numFmtId="186" fontId="56" fillId="40" borderId="263" applyNumberFormat="0" applyFont="0" applyAlignment="0" applyProtection="0"/>
    <xf numFmtId="186" fontId="56" fillId="40" borderId="253" applyNumberFormat="0" applyFont="0" applyAlignment="0" applyProtection="0"/>
    <xf numFmtId="186" fontId="56" fillId="40" borderId="253" applyNumberFormat="0" applyFont="0" applyAlignment="0" applyProtection="0"/>
    <xf numFmtId="191" fontId="5" fillId="69" borderId="249">
      <alignment vertical="center"/>
    </xf>
    <xf numFmtId="0" fontId="27" fillId="15" borderId="261" applyNumberFormat="0" applyProtection="0">
      <alignment horizontal="left" vertical="center" indent="1"/>
    </xf>
    <xf numFmtId="186" fontId="42" fillId="44" borderId="253" applyNumberFormat="0" applyAlignment="0" applyProtection="0"/>
    <xf numFmtId="186" fontId="56" fillId="62" borderId="253" applyNumberFormat="0" applyProtection="0">
      <alignment horizontal="left" vertical="center" indent="1"/>
    </xf>
    <xf numFmtId="186" fontId="27" fillId="14" borderId="252" applyNumberFormat="0" applyProtection="0">
      <alignment horizontal="left" vertical="center" indent="1"/>
    </xf>
    <xf numFmtId="186" fontId="28" fillId="12" borderId="259">
      <alignment vertical="center"/>
      <protection locked="0"/>
    </xf>
    <xf numFmtId="186" fontId="27" fillId="21" borderId="252" applyNumberFormat="0" applyProtection="0">
      <alignment horizontal="left" vertical="top" indent="1"/>
    </xf>
    <xf numFmtId="186" fontId="56" fillId="40" borderId="242" applyNumberFormat="0" applyFont="0" applyAlignment="0" applyProtection="0"/>
    <xf numFmtId="4" fontId="56" fillId="53" borderId="242" applyNumberFormat="0" applyProtection="0">
      <alignment horizontal="left" vertical="center" indent="1"/>
    </xf>
    <xf numFmtId="186" fontId="56" fillId="15" borderId="252" applyNumberFormat="0" applyProtection="0">
      <alignment horizontal="left" vertical="top" indent="1"/>
    </xf>
    <xf numFmtId="4" fontId="27" fillId="21" borderId="257"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62" fillId="48" borderId="252" applyNumberFormat="0" applyProtection="0">
      <alignment horizontal="left" vertical="top" indent="1"/>
    </xf>
    <xf numFmtId="186" fontId="28" fillId="12" borderId="259">
      <alignment vertical="center"/>
      <protection locked="0"/>
    </xf>
    <xf numFmtId="4" fontId="56" fillId="52" borderId="253" applyNumberFormat="0" applyProtection="0">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8" fontId="5" fillId="70" borderId="249">
      <alignment horizontal="right" vertical="center"/>
      <protection locked="0"/>
    </xf>
    <xf numFmtId="186" fontId="50" fillId="41" borderId="263" applyNumberFormat="0" applyAlignment="0" applyProtection="0"/>
    <xf numFmtId="4" fontId="56" fillId="15" borderId="263" applyNumberFormat="0" applyProtection="0">
      <alignment horizontal="right" vertical="center"/>
    </xf>
    <xf numFmtId="196" fontId="5" fillId="13" borderId="8">
      <alignment vertical="center"/>
    </xf>
    <xf numFmtId="4" fontId="70" fillId="86" borderId="252" applyNumberFormat="0" applyProtection="0">
      <alignment horizontal="left" vertical="center" indent="1"/>
    </xf>
    <xf numFmtId="191" fontId="5" fillId="70" borderId="259">
      <alignment horizontal="right" vertical="center"/>
      <protection locked="0"/>
    </xf>
    <xf numFmtId="186" fontId="27" fillId="21" borderId="261" applyNumberFormat="0" applyProtection="0">
      <alignment horizontal="left" vertical="center" indent="1"/>
    </xf>
    <xf numFmtId="186" fontId="56" fillId="14" borderId="261" applyNumberFormat="0" applyProtection="0">
      <alignment horizontal="left" vertical="top" indent="1"/>
    </xf>
    <xf numFmtId="4" fontId="56" fillId="53" borderId="253" applyNumberFormat="0" applyProtection="0">
      <alignment horizontal="left" vertical="center"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40" borderId="253" applyNumberFormat="0" applyFont="0" applyAlignment="0" applyProtection="0"/>
    <xf numFmtId="0" fontId="27" fillId="63" borderId="252" applyNumberFormat="0" applyProtection="0">
      <alignment horizontal="left" vertical="center" indent="1"/>
    </xf>
    <xf numFmtId="4" fontId="64" fillId="64" borderId="253" applyNumberFormat="0" applyProtection="0">
      <alignment horizontal="right" vertical="center"/>
    </xf>
    <xf numFmtId="188" fontId="5" fillId="69" borderId="259">
      <alignment vertical="center"/>
    </xf>
    <xf numFmtId="0" fontId="5" fillId="70" borderId="259">
      <alignment horizontal="right" vertical="center"/>
      <protection locked="0"/>
    </xf>
    <xf numFmtId="186" fontId="56" fillId="40" borderId="253" applyNumberFormat="0" applyFont="0" applyAlignment="0" applyProtection="0"/>
    <xf numFmtId="4" fontId="56" fillId="53" borderId="263" applyNumberFormat="0" applyProtection="0">
      <alignment horizontal="left" vertical="center" indent="1"/>
    </xf>
    <xf numFmtId="4" fontId="56" fillId="59" borderId="263" applyNumberFormat="0" applyProtection="0">
      <alignment horizontal="right" vertical="center"/>
    </xf>
    <xf numFmtId="186" fontId="27" fillId="14" borderId="261" applyNumberFormat="0" applyProtection="0">
      <alignment horizontal="left" vertical="top" indent="1"/>
    </xf>
    <xf numFmtId="186" fontId="56" fillId="21" borderId="261" applyNumberFormat="0" applyProtection="0">
      <alignment horizontal="left" vertical="top" indent="1"/>
    </xf>
    <xf numFmtId="186" fontId="27" fillId="63"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91" fontId="5" fillId="13" borderId="8">
      <alignment vertical="center"/>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28" fillId="51" borderId="259">
      <alignment horizontal="right" vertical="center"/>
      <protection locked="0"/>
    </xf>
    <xf numFmtId="186" fontId="50" fillId="41" borderId="253" applyNumberFormat="0" applyAlignment="0" applyProtection="0"/>
    <xf numFmtId="186" fontId="56" fillId="14" borderId="252" applyNumberFormat="0" applyProtection="0">
      <alignment horizontal="left" vertical="top" indent="1"/>
    </xf>
    <xf numFmtId="190" fontId="28" fillId="51" borderId="259">
      <alignment horizontal="right" vertical="center"/>
      <protection locked="0"/>
    </xf>
    <xf numFmtId="4" fontId="62" fillId="11" borderId="244" applyNumberFormat="0" applyProtection="0">
      <alignment horizontal="left" vertical="center" indent="1"/>
    </xf>
    <xf numFmtId="0" fontId="5" fillId="70" borderId="249">
      <alignment horizontal="right" vertical="center"/>
      <protection locked="0"/>
    </xf>
    <xf numFmtId="4" fontId="56" fillId="60" borderId="24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50" fillId="41" borderId="253" applyNumberFormat="0" applyAlignment="0" applyProtection="0"/>
    <xf numFmtId="186" fontId="42" fillId="44" borderId="253" applyNumberFormat="0" applyAlignment="0" applyProtection="0"/>
    <xf numFmtId="186" fontId="56" fillId="21" borderId="244" applyNumberFormat="0" applyProtection="0">
      <alignment horizontal="left" vertical="top" indent="1"/>
    </xf>
    <xf numFmtId="190" fontId="28" fillId="49" borderId="249">
      <alignment vertical="center"/>
    </xf>
    <xf numFmtId="186" fontId="42" fillId="44" borderId="253" applyNumberFormat="0" applyAlignment="0" applyProtection="0"/>
    <xf numFmtId="4" fontId="56" fillId="0" borderId="25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4" fontId="62" fillId="11" borderId="252" applyNumberFormat="0" applyProtection="0">
      <alignment horizontal="left" vertical="center" indent="1"/>
    </xf>
    <xf numFmtId="186" fontId="50" fillId="41" borderId="253" applyNumberFormat="0" applyAlignment="0" applyProtection="0"/>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12" borderId="259">
      <alignment vertical="center"/>
      <protection locked="0"/>
    </xf>
    <xf numFmtId="186" fontId="61" fillId="21" borderId="246" applyBorder="0"/>
    <xf numFmtId="0" fontId="5" fillId="69" borderId="249">
      <alignment vertical="center"/>
    </xf>
    <xf numFmtId="4" fontId="56" fillId="54" borderId="242" applyNumberFormat="0" applyProtection="0">
      <alignment horizontal="left" vertical="center"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27" fillId="14" borderId="261" applyNumberFormat="0" applyProtection="0">
      <alignment horizontal="left" vertical="center" indent="1"/>
    </xf>
    <xf numFmtId="186" fontId="27" fillId="15" borderId="261" applyNumberFormat="0" applyProtection="0">
      <alignment horizontal="left" vertical="top" indent="1"/>
    </xf>
    <xf numFmtId="186" fontId="56" fillId="63" borderId="253" applyNumberFormat="0" applyProtection="0">
      <alignment horizontal="left" vertical="center" indent="1"/>
    </xf>
    <xf numFmtId="186" fontId="42" fillId="44" borderId="242" applyNumberFormat="0" applyAlignment="0" applyProtection="0"/>
    <xf numFmtId="4" fontId="63" fillId="66" borderId="257" applyNumberFormat="0" applyProtection="0">
      <alignment horizontal="left" vertical="center" indent="1"/>
    </xf>
    <xf numFmtId="191" fontId="28" fillId="49" borderId="8">
      <alignment vertical="center"/>
    </xf>
    <xf numFmtId="186" fontId="27" fillId="63" borderId="244" applyNumberFormat="0" applyProtection="0">
      <alignment horizontal="left" vertical="center" indent="1"/>
    </xf>
    <xf numFmtId="4" fontId="56" fillId="15" borderId="267"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15" borderId="253" applyNumberFormat="0" applyProtection="0">
      <alignment horizontal="right" vertical="center"/>
    </xf>
    <xf numFmtId="4" fontId="56" fillId="15" borderId="267" applyNumberFormat="0" applyProtection="0">
      <alignment horizontal="left" vertical="center" indent="1"/>
    </xf>
    <xf numFmtId="186" fontId="56" fillId="21" borderId="261" applyNumberFormat="0" applyProtection="0">
      <alignment horizontal="left" vertical="top" indent="1"/>
    </xf>
    <xf numFmtId="4" fontId="72" fillId="53" borderId="261"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1" fontId="28" fillId="50" borderId="269">
      <alignment vertical="center"/>
    </xf>
    <xf numFmtId="186" fontId="56" fillId="40" borderId="253" applyNumberFormat="0" applyFont="0" applyAlignment="0" applyProtection="0"/>
    <xf numFmtId="186" fontId="56" fillId="63" borderId="252" applyNumberFormat="0" applyProtection="0">
      <alignment horizontal="left" vertical="top" indent="1"/>
    </xf>
    <xf numFmtId="4" fontId="56" fillId="19" borderId="253" applyNumberFormat="0" applyProtection="0">
      <alignment horizontal="right" vertical="center"/>
    </xf>
    <xf numFmtId="4" fontId="56" fillId="60" borderId="263" applyNumberFormat="0" applyProtection="0">
      <alignment horizontal="right" vertical="center"/>
    </xf>
    <xf numFmtId="191" fontId="28" fillId="50" borderId="269">
      <alignment vertical="center"/>
    </xf>
    <xf numFmtId="4" fontId="76" fillId="87" borderId="252" applyNumberFormat="0" applyProtection="0">
      <alignment horizontal="right" vertical="center"/>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56" fillId="21" borderId="252" applyNumberFormat="0" applyProtection="0">
      <alignment horizontal="left" vertical="top" indent="1"/>
    </xf>
    <xf numFmtId="4" fontId="56" fillId="52" borderId="263" applyNumberFormat="0" applyProtection="0">
      <alignment vertical="center"/>
    </xf>
    <xf numFmtId="4" fontId="56" fillId="56" borderId="253" applyNumberFormat="0" applyProtection="0">
      <alignment horizontal="right" vertical="center"/>
    </xf>
    <xf numFmtId="186" fontId="56" fillId="21" borderId="252"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4" fontId="72" fillId="49" borderId="261" applyNumberFormat="0" applyProtection="0">
      <alignment horizontal="right" vertical="center"/>
    </xf>
    <xf numFmtId="186" fontId="56" fillId="14" borderId="252" applyNumberFormat="0" applyProtection="0">
      <alignment horizontal="left" vertical="top" indent="1"/>
    </xf>
    <xf numFmtId="4" fontId="56" fillId="57" borderId="245" applyNumberFormat="0" applyProtection="0">
      <alignment horizontal="right" vertical="center"/>
    </xf>
    <xf numFmtId="186" fontId="27" fillId="63" borderId="25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40" borderId="242" applyNumberFormat="0" applyFont="0" applyAlignment="0" applyProtection="0"/>
    <xf numFmtId="193" fontId="28" fillId="12" borderId="259">
      <alignment vertical="center"/>
      <protection locked="0"/>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93" fontId="5" fillId="7" borderId="8">
      <alignmen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72" fillId="81"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5" fillId="88" borderId="262" applyNumberFormat="0" applyProtection="0">
      <alignment horizontal="left" vertical="center" indent="1"/>
    </xf>
    <xf numFmtId="186" fontId="27" fillId="63" borderId="261" applyNumberFormat="0" applyProtection="0">
      <alignment horizontal="left" vertical="top" indent="1"/>
    </xf>
    <xf numFmtId="186" fontId="44" fillId="0" borderId="258" applyNumberFormat="0" applyFill="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4" fontId="56" fillId="54" borderId="253" applyNumberFormat="0" applyProtection="0">
      <alignment horizontal="left" vertical="center" indent="1"/>
    </xf>
    <xf numFmtId="4" fontId="56" fillId="52" borderId="242" applyNumberFormat="0" applyProtection="0">
      <alignment vertical="center"/>
    </xf>
    <xf numFmtId="186" fontId="27" fillId="14" borderId="244" applyNumberFormat="0" applyProtection="0">
      <alignment horizontal="left" vertical="center" indent="1"/>
    </xf>
    <xf numFmtId="186" fontId="56" fillId="15" borderId="261" applyNumberFormat="0" applyProtection="0">
      <alignment horizontal="left" vertical="top" indent="1"/>
    </xf>
    <xf numFmtId="186" fontId="56" fillId="63" borderId="244" applyNumberFormat="0" applyProtection="0">
      <alignment horizontal="left" vertical="top" indent="1"/>
    </xf>
    <xf numFmtId="4" fontId="56" fillId="52" borderId="253" applyNumberFormat="0" applyProtection="0">
      <alignment vertical="center"/>
    </xf>
    <xf numFmtId="188" fontId="28" fillId="49" borderId="259">
      <alignment vertical="center"/>
    </xf>
    <xf numFmtId="188" fontId="5" fillId="7" borderId="259">
      <alignment vertical="center"/>
      <protection locked="0"/>
    </xf>
    <xf numFmtId="4" fontId="56" fillId="15" borderId="253" applyNumberFormat="0" applyProtection="0">
      <alignment horizontal="right" vertical="center"/>
    </xf>
    <xf numFmtId="186" fontId="56" fillId="15" borderId="252" applyNumberFormat="0" applyProtection="0">
      <alignment horizontal="left" vertical="top" indent="1"/>
    </xf>
    <xf numFmtId="4" fontId="56" fillId="58" borderId="242" applyNumberFormat="0" applyProtection="0">
      <alignment horizontal="right" vertical="center"/>
    </xf>
    <xf numFmtId="4" fontId="56" fillId="60" borderId="253" applyNumberFormat="0" applyProtection="0">
      <alignment horizontal="right" vertical="center"/>
    </xf>
    <xf numFmtId="186" fontId="56" fillId="15" borderId="244" applyNumberFormat="0" applyProtection="0">
      <alignment horizontal="left" vertical="top" indent="1"/>
    </xf>
    <xf numFmtId="4" fontId="72" fillId="80" borderId="244" applyNumberFormat="0" applyProtection="0">
      <alignment horizontal="right" vertical="center"/>
    </xf>
    <xf numFmtId="191" fontId="5" fillId="7" borderId="249">
      <alignment vertical="center"/>
      <protection locked="0"/>
    </xf>
    <xf numFmtId="186" fontId="56" fillId="62" borderId="242" applyNumberFormat="0" applyProtection="0">
      <alignment horizontal="left" vertical="center" indent="1"/>
    </xf>
    <xf numFmtId="186" fontId="56" fillId="15" borderId="244" applyNumberFormat="0" applyProtection="0">
      <alignment horizontal="left" vertical="top" indent="1"/>
    </xf>
    <xf numFmtId="186" fontId="56" fillId="67" borderId="249"/>
    <xf numFmtId="186" fontId="56" fillId="40" borderId="242" applyNumberFormat="0" applyFont="0" applyAlignment="0" applyProtection="0"/>
    <xf numFmtId="186" fontId="56" fillId="14" borderId="252" applyNumberFormat="0" applyProtection="0">
      <alignment horizontal="left" vertical="top" indent="1"/>
    </xf>
    <xf numFmtId="4" fontId="56" fillId="53" borderId="253" applyNumberFormat="0" applyProtection="0">
      <alignment horizontal="left" vertical="center"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12" borderId="259" applyNumberFormat="0" applyProtection="0">
      <alignmen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63" fillId="66" borderId="257" applyNumberFormat="0" applyProtection="0">
      <alignment horizontal="left" vertical="center" indent="1"/>
    </xf>
    <xf numFmtId="186" fontId="61" fillId="21" borderId="255" applyBorder="0"/>
    <xf numFmtId="4" fontId="56" fillId="53" borderId="253" applyNumberFormat="0" applyProtection="0">
      <alignment horizontal="left" vertical="center" indent="1"/>
    </xf>
    <xf numFmtId="186" fontId="56" fillId="21"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7" fillId="44" borderId="254" applyNumberForma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90" fontId="28" fillId="50" borderId="259">
      <alignment vertical="center"/>
    </xf>
    <xf numFmtId="191" fontId="5" fillId="70" borderId="249">
      <alignment horizontal="right" vertical="center"/>
      <protection locked="0"/>
    </xf>
    <xf numFmtId="186" fontId="44" fillId="0" borderId="258" applyNumberFormat="0" applyFill="0" applyAlignment="0" applyProtection="0"/>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62" fillId="15" borderId="244"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27" fillId="15" borderId="252" applyNumberFormat="0" applyProtection="0">
      <alignment horizontal="left" vertical="center" indent="1"/>
    </xf>
    <xf numFmtId="186" fontId="28" fillId="12" borderId="8">
      <alignment vertical="center"/>
      <protection locked="0"/>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27" fillId="15" borderId="244" applyNumberFormat="0" applyProtection="0">
      <alignment horizontal="left" vertical="center" indent="1"/>
    </xf>
    <xf numFmtId="186" fontId="56" fillId="40" borderId="242" applyNumberFormat="0" applyFont="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91" fontId="28" fillId="51" borderId="249">
      <alignment horizontal="righ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8" fontId="5" fillId="69" borderId="8">
      <alignment vertical="center"/>
    </xf>
    <xf numFmtId="186" fontId="56" fillId="14" borderId="252" applyNumberFormat="0" applyProtection="0">
      <alignment horizontal="left" vertical="top" indent="1"/>
    </xf>
    <xf numFmtId="186" fontId="50" fillId="41" borderId="253" applyNumberFormat="0" applyAlignment="0" applyProtection="0"/>
    <xf numFmtId="194" fontId="33" fillId="0" borderId="260" applyFill="0"/>
    <xf numFmtId="186" fontId="56" fillId="40" borderId="253" applyNumberFormat="0" applyFont="0" applyAlignment="0" applyProtection="0"/>
    <xf numFmtId="186" fontId="56" fillId="14" borderId="252" applyNumberFormat="0" applyProtection="0">
      <alignment horizontal="left" vertical="top" indent="1"/>
    </xf>
    <xf numFmtId="186" fontId="44" fillId="0" borderId="258" applyNumberFormat="0" applyFill="0" applyAlignment="0" applyProtection="0"/>
    <xf numFmtId="186" fontId="56" fillId="14" borderId="261" applyNumberFormat="0" applyProtection="0">
      <alignment horizontal="left" vertical="top" indent="1"/>
    </xf>
    <xf numFmtId="0" fontId="5" fillId="7" borderId="249">
      <alignment vertical="center"/>
      <protection locked="0"/>
    </xf>
    <xf numFmtId="186" fontId="56" fillId="21" borderId="252"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2" applyNumberFormat="0" applyProtection="0">
      <alignment horizontal="right" vertical="center"/>
    </xf>
    <xf numFmtId="37" fontId="33" fillId="0" borderId="247" applyNumberFormat="0"/>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42" applyNumberFormat="0" applyFont="0" applyAlignment="0" applyProtection="0"/>
    <xf numFmtId="4" fontId="62" fillId="11" borderId="252" applyNumberFormat="0" applyProtection="0">
      <alignment horizontal="left" vertical="center" indent="1"/>
    </xf>
    <xf numFmtId="4" fontId="56" fillId="60" borderId="253" applyNumberFormat="0" applyProtection="0">
      <alignment horizontal="right" vertical="center"/>
    </xf>
    <xf numFmtId="186" fontId="27" fillId="63" borderId="244" applyNumberFormat="0" applyProtection="0">
      <alignment horizontal="left" vertical="top" indent="1"/>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93" fontId="5" fillId="69" borderId="249">
      <alignment vertical="center"/>
    </xf>
    <xf numFmtId="0" fontId="5" fillId="7" borderId="249">
      <alignment vertical="center"/>
      <protection locked="0"/>
    </xf>
    <xf numFmtId="186" fontId="62" fillId="48" borderId="261"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28" fillId="49" borderId="249">
      <alignment vertical="center"/>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14" borderId="252" applyNumberFormat="0" applyProtection="0">
      <alignment horizontal="left" vertical="top" indent="1"/>
    </xf>
    <xf numFmtId="191" fontId="28" fillId="51" borderId="249">
      <alignment horizontal="right" vertical="center"/>
      <protection locked="0"/>
    </xf>
    <xf numFmtId="186" fontId="56" fillId="40" borderId="253" applyNumberFormat="0" applyFont="0" applyAlignment="0" applyProtection="0"/>
    <xf numFmtId="4" fontId="56" fillId="53" borderId="242" applyNumberFormat="0" applyProtection="0">
      <alignment horizontal="left" vertical="center" indent="1"/>
    </xf>
    <xf numFmtId="186" fontId="56" fillId="63" borderId="244" applyNumberFormat="0" applyProtection="0">
      <alignment horizontal="left" vertical="top" indent="1"/>
    </xf>
    <xf numFmtId="4" fontId="56" fillId="58" borderId="242" applyNumberFormat="0" applyProtection="0">
      <alignment horizontal="right" vertical="center"/>
    </xf>
    <xf numFmtId="186" fontId="28" fillId="12" borderId="8">
      <alignment vertical="center"/>
      <protection locked="0"/>
    </xf>
    <xf numFmtId="186" fontId="57" fillId="44" borderId="254"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27" fillId="21" borderId="252" applyNumberFormat="0" applyProtection="0">
      <alignment horizontal="left" vertical="top" indent="1"/>
    </xf>
    <xf numFmtId="186" fontId="56" fillId="21" borderId="261" applyNumberFormat="0" applyProtection="0">
      <alignment horizontal="left" vertical="top" indent="1"/>
    </xf>
    <xf numFmtId="4" fontId="56" fillId="58" borderId="253" applyNumberFormat="0" applyProtection="0">
      <alignment horizontal="right" vertical="center"/>
    </xf>
    <xf numFmtId="186" fontId="61" fillId="21" borderId="255" applyBorder="0"/>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center" indent="1"/>
    </xf>
    <xf numFmtId="186" fontId="56" fillId="21" borderId="261" applyNumberFormat="0" applyProtection="0">
      <alignment horizontal="left" vertical="top" indent="1"/>
    </xf>
    <xf numFmtId="191" fontId="5" fillId="70" borderId="249">
      <alignment horizontal="right" vertical="center"/>
      <protection locked="0"/>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96" fontId="5" fillId="13" borderId="249">
      <alignmen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57" applyNumberFormat="0" applyProtection="0">
      <alignment horizontal="left" vertical="center" indent="1"/>
    </xf>
    <xf numFmtId="191" fontId="5" fillId="13" borderId="259">
      <alignmen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65" borderId="242" applyNumberFormat="0" applyProtection="0">
      <alignment horizontal="right" vertical="center"/>
    </xf>
    <xf numFmtId="4" fontId="62" fillId="11" borderId="252" applyNumberFormat="0" applyProtection="0">
      <alignment horizontal="left" vertical="center" indent="1"/>
    </xf>
    <xf numFmtId="186" fontId="56" fillId="63" borderId="252" applyNumberFormat="0" applyProtection="0">
      <alignment horizontal="left" vertical="top" indent="1"/>
    </xf>
    <xf numFmtId="186" fontId="57" fillId="44" borderId="264" applyNumberFormat="0" applyAlignment="0" applyProtection="0"/>
    <xf numFmtId="186" fontId="56" fillId="62" borderId="263"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27" fillId="15" borderId="244" applyNumberFormat="0" applyProtection="0">
      <alignment horizontal="left" vertical="top" indent="1"/>
    </xf>
    <xf numFmtId="4" fontId="70" fillId="86" borderId="261" applyNumberFormat="0" applyProtection="0">
      <alignment horizontal="left" vertical="center" indent="1"/>
    </xf>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4" fontId="56" fillId="59" borderId="263" applyNumberFormat="0" applyProtection="0">
      <alignment horizontal="right" vertical="center"/>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3" fontId="5" fillId="7" borderId="259">
      <alignment vertical="center"/>
      <protection locked="0"/>
    </xf>
    <xf numFmtId="186" fontId="27" fillId="63" borderId="244" applyNumberFormat="0" applyProtection="0">
      <alignment horizontal="left" vertical="top" indent="1"/>
    </xf>
    <xf numFmtId="186" fontId="56" fillId="15" borderId="261" applyNumberFormat="0" applyProtection="0">
      <alignment horizontal="left" vertical="top" indent="1"/>
    </xf>
    <xf numFmtId="191" fontId="5" fillId="70" borderId="8">
      <alignment horizontal="right" vertical="center"/>
      <protection locked="0"/>
    </xf>
    <xf numFmtId="37" fontId="33" fillId="0" borderId="256" applyNumberFormat="0"/>
    <xf numFmtId="191" fontId="28" fillId="51" borderId="259">
      <alignment horizontal="right" vertical="center"/>
      <protection locked="0"/>
    </xf>
    <xf numFmtId="4" fontId="56" fillId="15" borderId="263" applyNumberFormat="0" applyProtection="0">
      <alignment horizontal="right" vertical="center"/>
    </xf>
    <xf numFmtId="186" fontId="56" fillId="15" borderId="261" applyNumberFormat="0" applyProtection="0">
      <alignment horizontal="left" vertical="top" indent="1"/>
    </xf>
    <xf numFmtId="193" fontId="5" fillId="7" borderId="249">
      <alignment vertical="center"/>
      <protection locked="0"/>
    </xf>
    <xf numFmtId="4" fontId="59" fillId="53" borderId="263" applyNumberFormat="0" applyProtection="0">
      <alignment vertical="center"/>
    </xf>
    <xf numFmtId="186" fontId="56" fillId="15" borderId="261" applyNumberFormat="0" applyProtection="0">
      <alignment horizontal="left" vertical="top" indent="1"/>
    </xf>
    <xf numFmtId="186" fontId="56" fillId="63" borderId="253" applyNumberFormat="0" applyProtection="0">
      <alignment horizontal="left" vertical="center" indent="1"/>
    </xf>
    <xf numFmtId="4" fontId="56" fillId="55" borderId="253" applyNumberFormat="0" applyProtection="0">
      <alignment horizontal="right" vertical="center"/>
    </xf>
    <xf numFmtId="4" fontId="56" fillId="60" borderId="253" applyNumberFormat="0" applyProtection="0">
      <alignment horizontal="right" vertical="center"/>
    </xf>
    <xf numFmtId="186" fontId="27" fillId="21" borderId="244" applyNumberFormat="0" applyProtection="0">
      <alignment horizontal="left" vertical="center" indent="1"/>
    </xf>
    <xf numFmtId="186" fontId="28" fillId="50" borderId="259">
      <alignment vertical="center"/>
    </xf>
    <xf numFmtId="4" fontId="56" fillId="23" borderId="26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4" fontId="56" fillId="23" borderId="263"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57" fillId="44" borderId="264" applyNumberFormat="0" applyAlignment="0" applyProtection="0"/>
    <xf numFmtId="186" fontId="56" fillId="14" borderId="261" applyNumberFormat="0" applyProtection="0">
      <alignment horizontal="left" vertical="top" indent="1"/>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56" fillId="58" borderId="253" applyNumberFormat="0" applyProtection="0">
      <alignment horizontal="right" vertical="center"/>
    </xf>
    <xf numFmtId="186" fontId="57" fillId="44" borderId="254" applyNumberFormat="0" applyAlignment="0" applyProtection="0"/>
    <xf numFmtId="186" fontId="57" fillId="44" borderId="264" applyNumberFormat="0" applyAlignment="0" applyProtection="0"/>
    <xf numFmtId="37" fontId="33" fillId="0" borderId="266" applyNumberFormat="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4" fontId="56" fillId="15" borderId="267" applyNumberFormat="0" applyProtection="0">
      <alignment horizontal="left" vertical="center" indent="1"/>
    </xf>
    <xf numFmtId="4" fontId="72" fillId="82" borderId="252" applyNumberFormat="0" applyProtection="0">
      <alignment horizontal="right" vertical="center"/>
    </xf>
    <xf numFmtId="4" fontId="56" fillId="57" borderId="267" applyNumberFormat="0" applyProtection="0">
      <alignment horizontal="right" vertical="center"/>
    </xf>
    <xf numFmtId="193" fontId="28" fillId="50" borderId="259">
      <alignment vertical="center"/>
    </xf>
    <xf numFmtId="0" fontId="27" fillId="63" borderId="252" applyNumberFormat="0" applyProtection="0">
      <alignment horizontal="left" vertical="top" indent="1"/>
    </xf>
    <xf numFmtId="186" fontId="56" fillId="67" borderId="269"/>
    <xf numFmtId="188" fontId="5" fillId="69" borderId="259">
      <alignment vertical="center"/>
    </xf>
    <xf numFmtId="196" fontId="5" fillId="70" borderId="259">
      <alignment horizontal="right" vertical="center"/>
      <protection locked="0"/>
    </xf>
    <xf numFmtId="172" fontId="5" fillId="7" borderId="259">
      <alignment vertical="center"/>
      <protection locked="0"/>
    </xf>
    <xf numFmtId="191" fontId="28" fillId="49" borderId="259">
      <alignment vertical="center"/>
    </xf>
    <xf numFmtId="186" fontId="56" fillId="40" borderId="253" applyNumberFormat="0" applyFont="0" applyAlignment="0" applyProtection="0"/>
    <xf numFmtId="186" fontId="60" fillId="52" borderId="252"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91" fontId="28" fillId="49" borderId="259">
      <alignment vertical="center"/>
    </xf>
    <xf numFmtId="186" fontId="60" fillId="52" borderId="261" applyNumberFormat="0" applyProtection="0">
      <alignment horizontal="left" vertical="top" indent="1"/>
    </xf>
    <xf numFmtId="4" fontId="59" fillId="65" borderId="253" applyNumberFormat="0" applyProtection="0">
      <alignment horizontal="right" vertical="center"/>
    </xf>
    <xf numFmtId="186" fontId="27" fillId="14" borderId="252" applyNumberFormat="0" applyProtection="0">
      <alignment horizontal="left" vertical="center"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top" indent="1"/>
    </xf>
    <xf numFmtId="193" fontId="28" fillId="50" borderId="8">
      <alignment vertical="center"/>
    </xf>
    <xf numFmtId="186" fontId="57" fillId="44" borderId="254" applyNumberFormat="0" applyAlignment="0" applyProtection="0"/>
    <xf numFmtId="4" fontId="27" fillId="21" borderId="267" applyNumberFormat="0" applyProtection="0">
      <alignment horizontal="left" vertical="center" indent="1"/>
    </xf>
    <xf numFmtId="4" fontId="72" fillId="87" borderId="261" applyNumberFormat="0" applyProtection="0">
      <alignment horizontal="right" vertical="center"/>
    </xf>
    <xf numFmtId="4" fontId="70" fillId="53" borderId="261" applyNumberFormat="0" applyProtection="0">
      <alignment vertical="center"/>
    </xf>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7" borderId="259"/>
    <xf numFmtId="4" fontId="59" fillId="53" borderId="253" applyNumberFormat="0" applyProtection="0">
      <alignment vertical="center"/>
    </xf>
    <xf numFmtId="186" fontId="27" fillId="14"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64" applyNumberFormat="0" applyAlignment="0" applyProtection="0"/>
    <xf numFmtId="186" fontId="56" fillId="63" borderId="261" applyNumberFormat="0" applyProtection="0">
      <alignment horizontal="left" vertical="top" indent="1"/>
    </xf>
    <xf numFmtId="4" fontId="56" fillId="16" borderId="253" applyNumberFormat="0" applyProtection="0">
      <alignment horizontal="right" vertical="center"/>
    </xf>
    <xf numFmtId="186" fontId="56" fillId="14" borderId="253" applyNumberFormat="0" applyProtection="0">
      <alignment horizontal="left" vertical="center"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0" fillId="41" borderId="253" applyNumberFormat="0" applyAlignment="0" applyProtection="0"/>
    <xf numFmtId="4" fontId="72" fillId="79" borderId="25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42" fillId="44" borderId="263" applyNumberFormat="0" applyAlignment="0" applyProtection="0"/>
    <xf numFmtId="4" fontId="63" fillId="66" borderId="257" applyNumberFormat="0" applyProtection="0">
      <alignment horizontal="left" vertical="center" indent="1"/>
    </xf>
    <xf numFmtId="186" fontId="56" fillId="40" borderId="253" applyNumberFormat="0" applyFont="0" applyAlignment="0" applyProtection="0"/>
    <xf numFmtId="186" fontId="56" fillId="11" borderId="253" applyNumberFormat="0" applyProtection="0">
      <alignment horizontal="left" vertical="center" indent="1"/>
    </xf>
    <xf numFmtId="186" fontId="27" fillId="63" borderId="244" applyNumberFormat="0" applyProtection="0">
      <alignment horizontal="left" vertical="center" indent="1"/>
    </xf>
    <xf numFmtId="4" fontId="56" fillId="23" borderId="253" applyNumberFormat="0" applyProtection="0">
      <alignment horizontal="right" vertical="center"/>
    </xf>
    <xf numFmtId="186" fontId="56" fillId="14" borderId="244" applyNumberFormat="0" applyProtection="0">
      <alignment horizontal="left" vertical="top" indent="1"/>
    </xf>
    <xf numFmtId="4" fontId="56" fillId="23" borderId="253" applyNumberFormat="0" applyProtection="0">
      <alignment horizontal="right" vertical="center"/>
    </xf>
    <xf numFmtId="188" fontId="5" fillId="70" borderId="249">
      <alignment horizontal="right" vertical="center"/>
      <protection locked="0"/>
    </xf>
    <xf numFmtId="186" fontId="56" fillId="14" borderId="252" applyNumberFormat="0" applyProtection="0">
      <alignment horizontal="left" vertical="top" indent="1"/>
    </xf>
    <xf numFmtId="186" fontId="28" fillId="50" borderId="259">
      <alignment vertical="center"/>
    </xf>
    <xf numFmtId="4" fontId="56" fillId="15" borderId="245" applyNumberFormat="0" applyProtection="0">
      <alignment horizontal="left" vertical="center"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4" fontId="56" fillId="0" borderId="242" applyNumberFormat="0" applyProtection="0">
      <alignment horizontal="right" vertical="center"/>
    </xf>
    <xf numFmtId="186" fontId="27" fillId="21" borderId="252" applyNumberFormat="0" applyProtection="0">
      <alignment horizontal="left" vertical="center" indent="1"/>
    </xf>
    <xf numFmtId="186" fontId="27" fillId="63" borderId="261" applyNumberFormat="0" applyProtection="0">
      <alignment horizontal="left" vertical="top" indent="1"/>
    </xf>
    <xf numFmtId="186" fontId="56" fillId="40" borderId="242" applyNumberFormat="0" applyFont="0" applyAlignment="0" applyProtection="0"/>
    <xf numFmtId="193" fontId="28" fillId="12" borderId="8">
      <alignment vertical="center"/>
      <protection locked="0"/>
    </xf>
    <xf numFmtId="193" fontId="28" fillId="50" borderId="249">
      <alignment vertical="center"/>
    </xf>
    <xf numFmtId="191" fontId="5" fillId="69" borderId="269">
      <alignment vertical="center"/>
    </xf>
    <xf numFmtId="186" fontId="50" fillId="41" borderId="253" applyNumberFormat="0" applyAlignment="0" applyProtection="0"/>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37" fontId="33" fillId="0" borderId="256" applyNumberFormat="0"/>
    <xf numFmtId="186" fontId="56" fillId="14" borderId="244" applyNumberFormat="0" applyProtection="0">
      <alignment horizontal="left" vertical="top" indent="1"/>
    </xf>
    <xf numFmtId="4" fontId="62" fillId="48" borderId="252" applyNumberFormat="0" applyProtection="0">
      <alignment vertical="center"/>
    </xf>
    <xf numFmtId="4" fontId="63" fillId="66" borderId="245"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186" fontId="61" fillId="21" borderId="246" applyBorder="0"/>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15" borderId="245" applyNumberFormat="0" applyProtection="0">
      <alignment horizontal="left" vertical="center" indent="1"/>
    </xf>
    <xf numFmtId="186" fontId="42" fillId="44" borderId="242" applyNumberFormat="0" applyAlignment="0" applyProtection="0"/>
    <xf numFmtId="194" fontId="33" fillId="0" borderId="250" applyFill="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63" borderId="261"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91" fontId="28" fillId="51" borderId="259">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86" fontId="27" fillId="64" borderId="8" applyNumberFormat="0">
      <protection locked="0"/>
    </xf>
    <xf numFmtId="4" fontId="72" fillId="83" borderId="261" applyNumberFormat="0" applyProtection="0">
      <alignment horizontal="right" vertical="center"/>
    </xf>
    <xf numFmtId="186" fontId="56" fillId="63" borderId="252" applyNumberFormat="0" applyProtection="0">
      <alignment horizontal="left" vertical="top" indent="1"/>
    </xf>
    <xf numFmtId="186" fontId="62" fillId="48" borderId="261" applyNumberFormat="0" applyProtection="0">
      <alignment horizontal="left" vertical="top" indent="1"/>
    </xf>
    <xf numFmtId="4" fontId="56" fillId="16" borderId="263" applyNumberFormat="0" applyProtection="0">
      <alignment horizontal="right" vertical="center"/>
    </xf>
    <xf numFmtId="4" fontId="56" fillId="59" borderId="263" applyNumberFormat="0" applyProtection="0">
      <alignment horizontal="right" vertical="center"/>
    </xf>
    <xf numFmtId="4" fontId="56" fillId="19" borderId="253" applyNumberFormat="0" applyProtection="0">
      <alignment horizontal="right" vertical="center"/>
    </xf>
    <xf numFmtId="4" fontId="62" fillId="11" borderId="252" applyNumberFormat="0" applyProtection="0">
      <alignment horizontal="left" vertical="center" indent="1"/>
    </xf>
    <xf numFmtId="186" fontId="56" fillId="14" borderId="261" applyNumberFormat="0" applyProtection="0">
      <alignment horizontal="left" vertical="top" indent="1"/>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90" fontId="5" fillId="13" borderId="8">
      <alignment vertical="center"/>
    </xf>
    <xf numFmtId="186" fontId="56" fillId="15"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4" fontId="62" fillId="48" borderId="261" applyNumberFormat="0" applyProtection="0">
      <alignment vertical="center"/>
    </xf>
    <xf numFmtId="186" fontId="56" fillId="21" borderId="261" applyNumberFormat="0" applyProtection="0">
      <alignment horizontal="left" vertical="top" indent="1"/>
    </xf>
    <xf numFmtId="186" fontId="56" fillId="62" borderId="26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8" fontId="5" fillId="70" borderId="8">
      <alignment horizontal="right" vertical="center"/>
      <protection locked="0"/>
    </xf>
    <xf numFmtId="4" fontId="59" fillId="65" borderId="253" applyNumberFormat="0" applyProtection="0">
      <alignment horizontal="righ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4" fontId="56" fillId="57" borderId="257" applyNumberFormat="0" applyProtection="0">
      <alignment horizontal="right" vertical="center"/>
    </xf>
    <xf numFmtId="4" fontId="56" fillId="56" borderId="253" applyNumberFormat="0" applyProtection="0">
      <alignment horizontal="right" vertical="center"/>
    </xf>
    <xf numFmtId="186" fontId="56" fillId="21" borderId="244" applyNumberFormat="0" applyProtection="0">
      <alignment horizontal="left" vertical="top" indent="1"/>
    </xf>
    <xf numFmtId="4" fontId="56" fillId="61"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0" fontId="5" fillId="69" borderId="249">
      <alignment vertical="center"/>
    </xf>
    <xf numFmtId="186" fontId="56" fillId="40" borderId="263" applyNumberFormat="0" applyFont="0" applyAlignment="0" applyProtection="0"/>
    <xf numFmtId="186" fontId="62" fillId="15" borderId="244" applyNumberFormat="0" applyProtection="0">
      <alignment horizontal="left" vertical="top" indent="1"/>
    </xf>
    <xf numFmtId="4" fontId="56" fillId="55"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186" fontId="56" fillId="14" borderId="24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188" fontId="5" fillId="13" borderId="249">
      <alignment vertical="center"/>
    </xf>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44" fillId="0" borderId="258" applyNumberFormat="0" applyFill="0" applyAlignment="0" applyProtection="0"/>
    <xf numFmtId="193" fontId="28" fillId="12" borderId="259">
      <alignment vertical="center"/>
      <protection locked="0"/>
    </xf>
    <xf numFmtId="186" fontId="42" fillId="44" borderId="253" applyNumberFormat="0" applyAlignment="0" applyProtection="0"/>
    <xf numFmtId="186" fontId="44" fillId="0" borderId="258" applyNumberFormat="0" applyFill="0" applyAlignment="0" applyProtection="0"/>
    <xf numFmtId="186" fontId="56"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4" fontId="56" fillId="16" borderId="242" applyNumberFormat="0" applyProtection="0">
      <alignment horizontal="right" vertical="center"/>
    </xf>
    <xf numFmtId="186" fontId="56" fillId="21" borderId="244" applyNumberFormat="0" applyProtection="0">
      <alignment horizontal="left" vertical="top" indent="1"/>
    </xf>
    <xf numFmtId="186" fontId="62" fillId="15" borderId="244" applyNumberFormat="0" applyProtection="0">
      <alignment horizontal="left" vertical="top" indent="1"/>
    </xf>
    <xf numFmtId="4" fontId="56" fillId="55"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8" fontId="5" fillId="13" borderId="249">
      <alignment vertical="center"/>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21" borderId="252" applyNumberFormat="0" applyProtection="0">
      <alignment horizontal="left" vertical="top" indent="1"/>
    </xf>
    <xf numFmtId="186" fontId="56" fillId="40" borderId="242" applyNumberFormat="0" applyFont="0" applyAlignment="0" applyProtection="0"/>
    <xf numFmtId="0" fontId="27" fillId="14" borderId="261" applyNumberFormat="0" applyProtection="0">
      <alignment horizontal="left" vertical="top" indent="1"/>
    </xf>
    <xf numFmtId="186" fontId="56" fillId="63"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27" fillId="14" borderId="252" applyNumberFormat="0" applyProtection="0">
      <alignment horizontal="left" vertical="center" indent="1"/>
    </xf>
    <xf numFmtId="186" fontId="57" fillId="44" borderId="254" applyNumberFormat="0" applyAlignment="0" applyProtection="0"/>
    <xf numFmtId="186" fontId="56" fillId="21" borderId="252"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91" fontId="5" fillId="13" borderId="8">
      <alignment vertical="center"/>
    </xf>
    <xf numFmtId="186" fontId="56" fillId="14" borderId="261" applyNumberFormat="0" applyProtection="0">
      <alignment horizontal="left" vertical="top" indent="1"/>
    </xf>
    <xf numFmtId="186" fontId="56" fillId="40" borderId="253" applyNumberFormat="0" applyFont="0" applyAlignment="0" applyProtection="0"/>
    <xf numFmtId="4" fontId="56" fillId="54" borderId="24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4" fontId="62" fillId="48" borderId="252" applyNumberFormat="0" applyProtection="0">
      <alignment vertical="center"/>
    </xf>
    <xf numFmtId="4" fontId="59" fillId="65" borderId="263" applyNumberFormat="0" applyProtection="0">
      <alignment horizontal="right" vertical="center"/>
    </xf>
    <xf numFmtId="4" fontId="56" fillId="53" borderId="253"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191" fontId="28" fillId="49" borderId="259">
      <alignment vertical="center"/>
    </xf>
    <xf numFmtId="193" fontId="28" fillId="12" borderId="8">
      <alignment vertical="center"/>
      <protection locked="0"/>
    </xf>
    <xf numFmtId="186" fontId="56" fillId="62" borderId="253" applyNumberFormat="0" applyProtection="0">
      <alignment horizontal="left" vertical="center" indent="1"/>
    </xf>
    <xf numFmtId="4" fontId="56" fillId="52" borderId="263" applyNumberFormat="0" applyProtection="0">
      <alignment vertical="center"/>
    </xf>
    <xf numFmtId="4" fontId="56" fillId="55" borderId="253" applyNumberFormat="0" applyProtection="0">
      <alignment horizontal="right" vertical="center"/>
    </xf>
    <xf numFmtId="186" fontId="28" fillId="51" borderId="8">
      <alignment horizontal="right" vertical="center"/>
      <protection locked="0"/>
    </xf>
    <xf numFmtId="186" fontId="44" fillId="0" borderId="248" applyNumberFormat="0" applyFill="0" applyAlignment="0" applyProtection="0"/>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5" fillId="7" borderId="8">
      <alignment vertical="center"/>
      <protection locked="0"/>
    </xf>
    <xf numFmtId="4" fontId="56" fillId="56" borderId="263" applyNumberFormat="0" applyProtection="0">
      <alignment horizontal="right" vertical="center"/>
    </xf>
    <xf numFmtId="186" fontId="57" fillId="44" borderId="254" applyNumberFormat="0" applyAlignment="0" applyProtection="0"/>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0" borderId="263" applyNumberFormat="0" applyFont="0" applyAlignment="0" applyProtection="0"/>
    <xf numFmtId="186" fontId="57" fillId="44" borderId="254" applyNumberFormat="0" applyAlignment="0" applyProtection="0"/>
    <xf numFmtId="186" fontId="56" fillId="40" borderId="242" applyNumberFormat="0" applyFont="0" applyAlignment="0" applyProtection="0"/>
    <xf numFmtId="4" fontId="56" fillId="16" borderId="263" applyNumberFormat="0" applyProtection="0">
      <alignment horizontal="right" vertical="center"/>
    </xf>
    <xf numFmtId="4" fontId="56" fillId="56" borderId="253" applyNumberFormat="0" applyProtection="0">
      <alignment horizontal="right" vertical="center"/>
    </xf>
    <xf numFmtId="186" fontId="27" fillId="14" borderId="252" applyNumberFormat="0" applyProtection="0">
      <alignment horizontal="left" vertical="top" indent="1"/>
    </xf>
    <xf numFmtId="172" fontId="28" fillId="12" borderId="269">
      <alignment vertical="center"/>
      <protection locked="0"/>
    </xf>
    <xf numFmtId="193" fontId="28" fillId="12" borderId="8">
      <alignment vertical="center"/>
      <protection locked="0"/>
    </xf>
    <xf numFmtId="186" fontId="56" fillId="63" borderId="261" applyNumberFormat="0" applyProtection="0">
      <alignment horizontal="left" vertical="top" indent="1"/>
    </xf>
    <xf numFmtId="186" fontId="60" fillId="52" borderId="252" applyNumberFormat="0" applyProtection="0">
      <alignment horizontal="left" vertical="top" indent="1"/>
    </xf>
    <xf numFmtId="4" fontId="76" fillId="87" borderId="252" applyNumberFormat="0" applyProtection="0">
      <alignment horizontal="right" vertical="center"/>
    </xf>
    <xf numFmtId="172" fontId="28" fillId="12" borderId="259">
      <alignment vertical="center"/>
      <protection locked="0"/>
    </xf>
    <xf numFmtId="186" fontId="27" fillId="21" borderId="261" applyNumberFormat="0" applyProtection="0">
      <alignment horizontal="left" vertical="top" indent="1"/>
    </xf>
    <xf numFmtId="186" fontId="56" fillId="63" borderId="252" applyNumberFormat="0" applyProtection="0">
      <alignment horizontal="left" vertical="top" indent="1"/>
    </xf>
    <xf numFmtId="37" fontId="33" fillId="0" borderId="256" applyNumberFormat="0"/>
    <xf numFmtId="4" fontId="56" fillId="58" borderId="263" applyNumberFormat="0" applyProtection="0">
      <alignment horizontal="right" vertical="center"/>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2" borderId="263" applyNumberFormat="0" applyProtection="0">
      <alignment vertical="center"/>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91" fontId="5" fillId="7" borderId="8">
      <alignment vertical="center"/>
      <protection locked="0"/>
    </xf>
    <xf numFmtId="4" fontId="59" fillId="65" borderId="253" applyNumberFormat="0" applyProtection="0">
      <alignment horizontal="right" vertical="center"/>
    </xf>
    <xf numFmtId="186" fontId="61" fillId="21" borderId="255" applyBorder="0"/>
    <xf numFmtId="186" fontId="56" fillId="40"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4" fontId="72" fillId="84" borderId="252"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62" fillId="48" borderId="252" applyNumberFormat="0" applyProtection="0">
      <alignment horizontal="left" vertical="top" indent="1"/>
    </xf>
    <xf numFmtId="186" fontId="42" fillId="44" borderId="26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60" fillId="52" borderId="261" applyNumberFormat="0" applyProtection="0">
      <alignment horizontal="left" vertical="top" indent="1"/>
    </xf>
    <xf numFmtId="4" fontId="56" fillId="16"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186" fontId="60" fillId="52" borderId="244"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63" borderId="244" applyNumberFormat="0" applyProtection="0">
      <alignment horizontal="left" vertical="top" indent="1"/>
    </xf>
    <xf numFmtId="4" fontId="56" fillId="52" borderId="242" applyNumberFormat="0" applyProtection="0">
      <alignment vertical="center"/>
    </xf>
    <xf numFmtId="186" fontId="27" fillId="15" borderId="252" applyNumberFormat="0" applyProtection="0">
      <alignment horizontal="left" vertical="top" indent="1"/>
    </xf>
    <xf numFmtId="4" fontId="56" fillId="61" borderId="257" applyNumberFormat="0" applyProtection="0">
      <alignment horizontal="left" vertical="center" indent="1"/>
    </xf>
    <xf numFmtId="4" fontId="56" fillId="55"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63" fillId="66" borderId="257" applyNumberFormat="0" applyProtection="0">
      <alignment horizontal="left" vertical="center" indent="1"/>
    </xf>
    <xf numFmtId="4" fontId="56" fillId="16"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4" fontId="72" fillId="81" borderId="244" applyNumberFormat="0" applyProtection="0">
      <alignment horizontal="right" vertical="center"/>
    </xf>
    <xf numFmtId="172" fontId="5" fillId="7" borderId="249">
      <alignmen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56" fillId="16" borderId="242" applyNumberFormat="0" applyProtection="0">
      <alignment horizontal="right" vertical="center"/>
    </xf>
    <xf numFmtId="186" fontId="56" fillId="40" borderId="242" applyNumberFormat="0" applyFont="0" applyAlignment="0" applyProtection="0"/>
    <xf numFmtId="186" fontId="27" fillId="63" borderId="261" applyNumberFormat="0" applyProtection="0">
      <alignment horizontal="left" vertical="center" indent="1"/>
    </xf>
    <xf numFmtId="186" fontId="56" fillId="21" borderId="252" applyNumberFormat="0" applyProtection="0">
      <alignment horizontal="left" vertical="top" indent="1"/>
    </xf>
    <xf numFmtId="186" fontId="28" fillId="49" borderId="8">
      <alignment vertical="center"/>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27" fillId="14" borderId="261" applyNumberFormat="0" applyProtection="0">
      <alignment horizontal="left" vertical="top" indent="1"/>
    </xf>
    <xf numFmtId="186" fontId="56" fillId="21"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2" fillId="48" borderId="252" applyNumberFormat="0" applyProtection="0">
      <alignment vertical="center"/>
    </xf>
    <xf numFmtId="0" fontId="5" fillId="69" borderId="8">
      <alignment vertical="center"/>
    </xf>
    <xf numFmtId="191" fontId="28" fillId="12" borderId="8">
      <alignment vertical="center"/>
      <protection locked="0"/>
    </xf>
    <xf numFmtId="186" fontId="56" fillId="11" borderId="253" applyNumberFormat="0" applyProtection="0">
      <alignment horizontal="left" vertical="center" indent="1"/>
    </xf>
    <xf numFmtId="186" fontId="56" fillId="11" borderId="253" applyNumberFormat="0" applyProtection="0">
      <alignment horizontal="left" vertical="center" indent="1"/>
    </xf>
    <xf numFmtId="191" fontId="28" fillId="51" borderId="259">
      <alignment horizontal="right" vertical="center"/>
      <protection locked="0"/>
    </xf>
    <xf numFmtId="186" fontId="27" fillId="14" borderId="252" applyNumberFormat="0" applyProtection="0">
      <alignment horizontal="left" vertical="top" indent="1"/>
    </xf>
    <xf numFmtId="186" fontId="27" fillId="21" borderId="252"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4" fontId="56" fillId="56" borderId="253" applyNumberFormat="0" applyProtection="0">
      <alignment horizontal="right" vertical="center"/>
    </xf>
    <xf numFmtId="186" fontId="56" fillId="40" borderId="253" applyNumberFormat="0" applyFont="0" applyAlignment="0" applyProtection="0"/>
    <xf numFmtId="4" fontId="70" fillId="86" borderId="252" applyNumberFormat="0" applyProtection="0">
      <alignment horizontal="left" vertical="center" indent="1"/>
    </xf>
    <xf numFmtId="191" fontId="5" fillId="7" borderId="249">
      <alignment vertical="center"/>
      <protection locked="0"/>
    </xf>
    <xf numFmtId="191" fontId="28" fillId="50" borderId="259">
      <alignment vertical="center"/>
    </xf>
    <xf numFmtId="186" fontId="56" fillId="14" borderId="244"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center" indent="1"/>
    </xf>
    <xf numFmtId="4" fontId="56" fillId="56" borderId="253" applyNumberFormat="0" applyProtection="0">
      <alignment horizontal="right" vertical="center"/>
    </xf>
    <xf numFmtId="4" fontId="56" fillId="54" borderId="242" applyNumberFormat="0" applyProtection="0">
      <alignment horizontal="left" vertical="center" indent="1"/>
    </xf>
    <xf numFmtId="186" fontId="56" fillId="21" borderId="244" applyNumberFormat="0" applyProtection="0">
      <alignment horizontal="left" vertical="top" indent="1"/>
    </xf>
    <xf numFmtId="191" fontId="28" fillId="49" borderId="249">
      <alignment vertical="center"/>
    </xf>
    <xf numFmtId="193" fontId="28" fillId="12" borderId="8">
      <alignment vertical="center"/>
      <protection locked="0"/>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53" applyNumberFormat="0" applyProtection="0">
      <alignment horizontal="left" vertical="center" indent="1"/>
    </xf>
    <xf numFmtId="4" fontId="56" fillId="56" borderId="253" applyNumberFormat="0" applyProtection="0">
      <alignment horizontal="right" vertical="center"/>
    </xf>
    <xf numFmtId="186" fontId="56" fillId="40" borderId="253" applyNumberFormat="0" applyFont="0" applyAlignment="0" applyProtection="0"/>
    <xf numFmtId="186" fontId="56" fillId="15" borderId="244" applyNumberFormat="0" applyProtection="0">
      <alignment horizontal="left" vertical="top" indent="1"/>
    </xf>
    <xf numFmtId="4" fontId="56" fillId="0" borderId="263" applyNumberFormat="0" applyProtection="0">
      <alignment horizontal="right" vertical="center"/>
    </xf>
    <xf numFmtId="186" fontId="27" fillId="14" borderId="252" applyNumberFormat="0" applyProtection="0">
      <alignment horizontal="left" vertical="center" indent="1"/>
    </xf>
    <xf numFmtId="186" fontId="56" fillId="15" borderId="261" applyNumberFormat="0" applyProtection="0">
      <alignment horizontal="left" vertical="top" indent="1"/>
    </xf>
    <xf numFmtId="0" fontId="37" fillId="48"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40" borderId="242" applyNumberFormat="0" applyFont="0" applyAlignment="0" applyProtection="0"/>
    <xf numFmtId="4" fontId="56" fillId="57" borderId="267" applyNumberFormat="0" applyProtection="0">
      <alignment horizontal="right" vertical="center"/>
    </xf>
    <xf numFmtId="4" fontId="56" fillId="14" borderId="257" applyNumberFormat="0" applyProtection="0">
      <alignment horizontal="left" vertical="center"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70" fillId="86" borderId="251" applyNumberFormat="0" applyProtection="0">
      <alignment horizontal="left" vertical="center" indent="1"/>
    </xf>
    <xf numFmtId="186" fontId="27" fillId="14" borderId="244" applyNumberFormat="0" applyProtection="0">
      <alignment horizontal="left" vertical="center" indent="1"/>
    </xf>
    <xf numFmtId="186" fontId="27" fillId="64" borderId="269" applyNumberFormat="0">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4" fontId="59" fillId="53" borderId="263" applyNumberFormat="0" applyProtection="0">
      <alignment vertical="center"/>
    </xf>
    <xf numFmtId="4" fontId="56" fillId="19" borderId="253" applyNumberFormat="0" applyProtection="0">
      <alignment horizontal="right" vertical="center"/>
    </xf>
    <xf numFmtId="186" fontId="56" fillId="40" borderId="253" applyNumberFormat="0" applyFont="0" applyAlignment="0" applyProtection="0"/>
    <xf numFmtId="186" fontId="27" fillId="63" borderId="261" applyNumberFormat="0" applyProtection="0">
      <alignment horizontal="left" vertical="top" indent="1"/>
    </xf>
    <xf numFmtId="191" fontId="5" fillId="13" borderId="249">
      <alignment vertical="center"/>
    </xf>
    <xf numFmtId="186" fontId="28" fillId="12" borderId="259">
      <alignment vertical="center"/>
      <protection locked="0"/>
    </xf>
    <xf numFmtId="186" fontId="57" fillId="44" borderId="254" applyNumberFormat="0" applyAlignment="0" applyProtection="0"/>
    <xf numFmtId="186" fontId="27" fillId="15" borderId="252" applyNumberFormat="0" applyProtection="0">
      <alignment horizontal="left" vertical="top" indent="1"/>
    </xf>
    <xf numFmtId="0" fontId="5" fillId="69" borderId="249">
      <alignment vertical="center"/>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72" fontId="28" fillId="12" borderId="269">
      <alignment vertical="center"/>
      <protection locked="0"/>
    </xf>
    <xf numFmtId="186" fontId="44" fillId="0" borderId="268" applyNumberFormat="0" applyFill="0" applyAlignment="0" applyProtection="0"/>
    <xf numFmtId="186" fontId="27" fillId="14" borderId="252" applyNumberFormat="0" applyProtection="0">
      <alignment horizontal="left" vertical="center" indent="1"/>
    </xf>
    <xf numFmtId="186" fontId="27" fillId="15" borderId="244" applyNumberFormat="0" applyProtection="0">
      <alignment horizontal="left" vertical="top" indent="1"/>
    </xf>
    <xf numFmtId="186" fontId="56" fillId="14" borderId="252"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28" fillId="50" borderId="259">
      <alignment vertical="center"/>
    </xf>
    <xf numFmtId="190" fontId="28" fillId="50" borderId="8">
      <alignment vertical="center"/>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91" fontId="5" fillId="7" borderId="259">
      <alignment vertical="center"/>
      <protection locked="0"/>
    </xf>
    <xf numFmtId="186" fontId="56" fillId="63" borderId="261" applyNumberFormat="0" applyProtection="0">
      <alignment horizontal="left" vertical="top" indent="1"/>
    </xf>
    <xf numFmtId="186" fontId="56" fillId="14" borderId="242" applyNumberFormat="0" applyProtection="0">
      <alignment horizontal="left" vertical="center"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0" fillId="41" borderId="253" applyNumberFormat="0" applyAlignment="0" applyProtection="0"/>
    <xf numFmtId="4" fontId="56" fillId="59" borderId="253" applyNumberFormat="0" applyProtection="0">
      <alignment horizontal="right" vertical="center"/>
    </xf>
    <xf numFmtId="186" fontId="27" fillId="14" borderId="252" applyNumberFormat="0" applyProtection="0">
      <alignment horizontal="left" vertical="center" indent="1"/>
    </xf>
    <xf numFmtId="4" fontId="56" fillId="0" borderId="263" applyNumberFormat="0" applyProtection="0">
      <alignment horizontal="right" vertical="center"/>
    </xf>
    <xf numFmtId="186" fontId="56" fillId="21" borderId="244" applyNumberFormat="0" applyProtection="0">
      <alignment horizontal="left" vertical="top" indent="1"/>
    </xf>
    <xf numFmtId="186" fontId="56" fillId="63" borderId="252" applyNumberFormat="0" applyProtection="0">
      <alignment horizontal="left" vertical="top" indent="1"/>
    </xf>
    <xf numFmtId="4" fontId="64" fillId="64" borderId="242" applyNumberFormat="0" applyProtection="0">
      <alignment horizontal="right" vertical="center"/>
    </xf>
    <xf numFmtId="186" fontId="56" fillId="21" borderId="252" applyNumberFormat="0" applyProtection="0">
      <alignment horizontal="left" vertical="top" indent="1"/>
    </xf>
    <xf numFmtId="186" fontId="56" fillId="40" borderId="242" applyNumberFormat="0" applyFont="0" applyAlignment="0" applyProtection="0"/>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61" fillId="21" borderId="255" applyBorder="0"/>
    <xf numFmtId="4" fontId="27" fillId="21" borderId="257" applyNumberFormat="0" applyProtection="0">
      <alignment horizontal="left" vertical="center" indent="1"/>
    </xf>
    <xf numFmtId="186" fontId="56" fillId="21" borderId="261" applyNumberFormat="0" applyProtection="0">
      <alignment horizontal="left" vertical="top" indent="1"/>
    </xf>
    <xf numFmtId="186" fontId="56" fillId="21" borderId="244" applyNumberFormat="0" applyProtection="0">
      <alignment horizontal="left" vertical="top" indent="1"/>
    </xf>
    <xf numFmtId="4" fontId="56" fillId="14" borderId="257" applyNumberFormat="0" applyProtection="0">
      <alignment horizontal="left" vertical="center"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42" fillId="44" borderId="253" applyNumberFormat="0" applyAlignment="0" applyProtection="0"/>
    <xf numFmtId="4" fontId="56" fillId="0" borderId="263" applyNumberFormat="0" applyProtection="0">
      <alignment horizontal="right" vertical="center"/>
    </xf>
    <xf numFmtId="4" fontId="27" fillId="21" borderId="267" applyNumberFormat="0" applyProtection="0">
      <alignment horizontal="left" vertical="center" indent="1"/>
    </xf>
    <xf numFmtId="186" fontId="27" fillId="14" borderId="261"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4" fontId="56" fillId="0" borderId="253" applyNumberFormat="0" applyProtection="0">
      <alignment horizontal="right" vertical="center"/>
    </xf>
    <xf numFmtId="4" fontId="59" fillId="53" borderId="253" applyNumberFormat="0" applyProtection="0">
      <alignment vertical="center"/>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21"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15" borderId="261" applyNumberFormat="0" applyProtection="0">
      <alignment horizontal="left" vertical="top"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193" fontId="5" fillId="69" borderId="8">
      <alignment vertical="center"/>
    </xf>
    <xf numFmtId="4" fontId="56" fillId="57" borderId="257" applyNumberFormat="0" applyProtection="0">
      <alignment horizontal="right" vertical="center"/>
    </xf>
    <xf numFmtId="37" fontId="33" fillId="0" borderId="256" applyNumberFormat="0"/>
    <xf numFmtId="4" fontId="56" fillId="54" borderId="253" applyNumberFormat="0" applyProtection="0">
      <alignment horizontal="left" vertical="center" indent="1"/>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42" fillId="44" borderId="242" applyNumberFormat="0" applyAlignment="0" applyProtection="0"/>
    <xf numFmtId="186" fontId="27" fillId="14" borderId="252" applyNumberFormat="0" applyProtection="0">
      <alignment horizontal="left" vertical="top" indent="1"/>
    </xf>
    <xf numFmtId="193" fontId="28" fillId="50" borderId="259">
      <alignment vertical="center"/>
    </xf>
    <xf numFmtId="0" fontId="27" fillId="63" borderId="252" applyNumberFormat="0" applyProtection="0">
      <alignment horizontal="left" vertical="center" indent="1"/>
    </xf>
    <xf numFmtId="193" fontId="5" fillId="7" borderId="249">
      <alignment vertical="center"/>
      <protection locked="0"/>
    </xf>
    <xf numFmtId="186" fontId="56" fillId="11" borderId="253" applyNumberFormat="0" applyProtection="0">
      <alignment horizontal="left" vertical="center" indent="1"/>
    </xf>
    <xf numFmtId="186" fontId="56" fillId="63" borderId="244" applyNumberFormat="0" applyProtection="0">
      <alignment horizontal="left" vertical="top" indent="1"/>
    </xf>
    <xf numFmtId="191" fontId="28" fillId="50" borderId="249">
      <alignment vertical="center"/>
    </xf>
    <xf numFmtId="186" fontId="62" fillId="15" borderId="244" applyNumberFormat="0" applyProtection="0">
      <alignment horizontal="left" vertical="top" indent="1"/>
    </xf>
    <xf numFmtId="4" fontId="56" fillId="61" borderId="245" applyNumberFormat="0" applyProtection="0">
      <alignment horizontal="left" vertical="center" indent="1"/>
    </xf>
    <xf numFmtId="186" fontId="56" fillId="21" borderId="244" applyNumberFormat="0" applyProtection="0">
      <alignment horizontal="left" vertical="top" indent="1"/>
    </xf>
    <xf numFmtId="37" fontId="33" fillId="0" borderId="256" applyNumberFormat="0"/>
    <xf numFmtId="4" fontId="56" fillId="57" borderId="267" applyNumberFormat="0" applyProtection="0">
      <alignment horizontal="right" vertical="center"/>
    </xf>
    <xf numFmtId="186" fontId="56" fillId="14" borderId="244" applyNumberFormat="0" applyProtection="0">
      <alignment horizontal="left" vertical="top" indent="1"/>
    </xf>
    <xf numFmtId="4" fontId="56" fillId="19" borderId="242" applyNumberFormat="0" applyProtection="0">
      <alignment horizontal="right" vertical="center"/>
    </xf>
    <xf numFmtId="186" fontId="56" fillId="40" borderId="242" applyNumberFormat="0" applyFont="0" applyAlignment="0" applyProtection="0"/>
    <xf numFmtId="186" fontId="56" fillId="63" borderId="252" applyNumberFormat="0" applyProtection="0">
      <alignment horizontal="left" vertical="top" indent="1"/>
    </xf>
    <xf numFmtId="4" fontId="56" fillId="0" borderId="242" applyNumberFormat="0" applyProtection="0">
      <alignment horizontal="right" vertical="center"/>
    </xf>
    <xf numFmtId="4" fontId="27" fillId="21" borderId="245" applyNumberFormat="0" applyProtection="0">
      <alignment horizontal="left" vertical="center"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4" fontId="56" fillId="56" borderId="253" applyNumberFormat="0" applyProtection="0">
      <alignment horizontal="right" vertical="center"/>
    </xf>
    <xf numFmtId="186" fontId="27" fillId="21" borderId="244" applyNumberFormat="0" applyProtection="0">
      <alignment horizontal="left" vertical="top" indent="1"/>
    </xf>
    <xf numFmtId="4" fontId="56" fillId="52" borderId="253" applyNumberFormat="0" applyProtection="0">
      <alignment vertical="center"/>
    </xf>
    <xf numFmtId="186" fontId="61" fillId="21" borderId="255" applyBorder="0"/>
    <xf numFmtId="186" fontId="27" fillId="14" borderId="244" applyNumberFormat="0" applyProtection="0">
      <alignment horizontal="left" vertical="center" indent="1"/>
    </xf>
    <xf numFmtId="0" fontId="27" fillId="21" borderId="244" applyNumberFormat="0" applyProtection="0">
      <alignment horizontal="left" vertical="top" indent="1"/>
    </xf>
    <xf numFmtId="191" fontId="5" fillId="69" borderId="249">
      <alignment vertical="center"/>
    </xf>
    <xf numFmtId="186" fontId="56" fillId="14" borderId="244" applyNumberFormat="0" applyProtection="0">
      <alignment horizontal="left" vertical="top" indent="1"/>
    </xf>
    <xf numFmtId="186" fontId="56" fillId="63" borderId="242"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91" fontId="5" fillId="7" borderId="249">
      <alignment vertical="center"/>
      <protection locked="0"/>
    </xf>
    <xf numFmtId="186" fontId="27" fillId="21" borderId="244" applyNumberFormat="0" applyProtection="0">
      <alignment horizontal="left" vertical="top" indent="1"/>
    </xf>
    <xf numFmtId="186" fontId="28" fillId="49" borderId="249">
      <alignment vertical="center"/>
    </xf>
    <xf numFmtId="186" fontId="50" fillId="41" borderId="253" applyNumberFormat="0" applyAlignment="0" applyProtection="0"/>
    <xf numFmtId="186" fontId="44" fillId="0" borderId="248" applyNumberFormat="0" applyFill="0" applyAlignment="0" applyProtection="0"/>
    <xf numFmtId="186" fontId="56" fillId="15" borderId="252" applyNumberFormat="0" applyProtection="0">
      <alignment horizontal="left" vertical="top" indent="1"/>
    </xf>
    <xf numFmtId="190" fontId="5" fillId="13" borderId="259">
      <alignment vertical="center"/>
    </xf>
    <xf numFmtId="186" fontId="44" fillId="0" borderId="268" applyNumberFormat="0" applyFill="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40" borderId="242" applyNumberFormat="0" applyFont="0" applyAlignment="0" applyProtection="0"/>
    <xf numFmtId="186" fontId="56" fillId="40" borderId="253" applyNumberFormat="0" applyFont="0" applyAlignment="0" applyProtection="0"/>
    <xf numFmtId="186" fontId="61" fillId="21" borderId="265" applyBorder="0"/>
    <xf numFmtId="186" fontId="28" fillId="50" borderId="249">
      <alignment vertical="center"/>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61" fillId="21" borderId="255" applyBorder="0"/>
    <xf numFmtId="186" fontId="56" fillId="40" borderId="253" applyNumberFormat="0" applyFont="0" applyAlignment="0" applyProtection="0"/>
    <xf numFmtId="186" fontId="56" fillId="14" borderId="261" applyNumberFormat="0" applyProtection="0">
      <alignment horizontal="left" vertical="top" indent="1"/>
    </xf>
    <xf numFmtId="186" fontId="61" fillId="21" borderId="255" applyBorder="0"/>
    <xf numFmtId="186" fontId="27" fillId="63" borderId="244" applyNumberFormat="0" applyProtection="0">
      <alignment horizontal="left" vertical="top" indent="1"/>
    </xf>
    <xf numFmtId="190" fontId="5" fillId="13" borderId="249">
      <alignment vertical="center"/>
    </xf>
    <xf numFmtId="186" fontId="56" fillId="14" borderId="244" applyNumberFormat="0" applyProtection="0">
      <alignment horizontal="left" vertical="top" indent="1"/>
    </xf>
    <xf numFmtId="186" fontId="28" fillId="49" borderId="259">
      <alignment vertical="center"/>
    </xf>
    <xf numFmtId="186" fontId="27" fillId="14" borderId="252" applyNumberFormat="0" applyProtection="0">
      <alignment horizontal="left" vertical="center" indent="1"/>
    </xf>
    <xf numFmtId="4" fontId="56" fillId="19" borderId="253" applyNumberFormat="0" applyProtection="0">
      <alignment horizontal="right" vertical="center"/>
    </xf>
    <xf numFmtId="186" fontId="28" fillId="49" borderId="8">
      <alignment vertical="center"/>
    </xf>
    <xf numFmtId="4" fontId="56" fillId="19" borderId="263" applyNumberFormat="0" applyProtection="0">
      <alignment horizontal="right" vertical="center"/>
    </xf>
    <xf numFmtId="186" fontId="28" fillId="51" borderId="259">
      <alignment horizontal="right" vertical="center"/>
      <protection locked="0"/>
    </xf>
    <xf numFmtId="193" fontId="28" fillId="12" borderId="8">
      <alignment vertical="center"/>
      <protection locked="0"/>
    </xf>
    <xf numFmtId="0" fontId="5" fillId="70" borderId="249">
      <alignment horizontal="right" vertical="center"/>
      <protection locked="0"/>
    </xf>
    <xf numFmtId="186" fontId="56" fillId="15" borderId="244" applyNumberFormat="0" applyProtection="0">
      <alignment horizontal="left" vertical="top" indent="1"/>
    </xf>
    <xf numFmtId="186" fontId="56" fillId="40" borderId="25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61" applyNumberFormat="0" applyProtection="0">
      <alignment horizontal="left" vertical="top" indent="1"/>
    </xf>
    <xf numFmtId="191" fontId="28" fillId="12" borderId="8">
      <alignment vertical="center"/>
      <protection locked="0"/>
    </xf>
    <xf numFmtId="172" fontId="28" fillId="12" borderId="249">
      <alignment vertical="center"/>
      <protection locked="0"/>
    </xf>
    <xf numFmtId="186" fontId="27" fillId="15" borderId="261" applyNumberFormat="0" applyProtection="0">
      <alignment horizontal="left" vertical="center" indent="1"/>
    </xf>
    <xf numFmtId="0" fontId="5" fillId="13" borderId="259">
      <alignment vertical="center"/>
    </xf>
    <xf numFmtId="4" fontId="56" fillId="58" borderId="253" applyNumberFormat="0" applyProtection="0">
      <alignment horizontal="right" vertical="center"/>
    </xf>
    <xf numFmtId="186" fontId="27" fillId="21" borderId="261" applyNumberFormat="0" applyProtection="0">
      <alignment horizontal="left" vertical="top" indent="1"/>
    </xf>
    <xf numFmtId="4" fontId="56" fillId="19" borderId="242" applyNumberFormat="0" applyProtection="0">
      <alignment horizontal="right" vertical="center"/>
    </xf>
    <xf numFmtId="186" fontId="27" fillId="14" borderId="252" applyNumberFormat="0" applyProtection="0">
      <alignment horizontal="left" vertical="top" indent="1"/>
    </xf>
    <xf numFmtId="0" fontId="5" fillId="13" borderId="249">
      <alignment vertical="center"/>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61" fillId="21" borderId="265" applyBorder="0"/>
    <xf numFmtId="4" fontId="56" fillId="23" borderId="253" applyNumberFormat="0" applyProtection="0">
      <alignment horizontal="right" vertical="center"/>
    </xf>
    <xf numFmtId="4" fontId="59" fillId="65" borderId="263" applyNumberFormat="0" applyProtection="0">
      <alignment horizontal="right" vertical="center"/>
    </xf>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70" fillId="53" borderId="252" applyNumberFormat="0" applyProtection="0">
      <alignment vertical="center"/>
    </xf>
    <xf numFmtId="186" fontId="27" fillId="15" borderId="252"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44" fillId="0" borderId="248" applyNumberFormat="0" applyFill="0" applyAlignment="0" applyProtection="0"/>
    <xf numFmtId="186" fontId="56" fillId="40" borderId="253" applyNumberFormat="0" applyFont="0" applyAlignment="0" applyProtection="0"/>
    <xf numFmtId="186" fontId="42" fillId="44" borderId="253" applyNumberFormat="0" applyAlignment="0" applyProtection="0"/>
    <xf numFmtId="0" fontId="5" fillId="70" borderId="259">
      <alignment horizontal="right" vertical="center"/>
      <protection locked="0"/>
    </xf>
    <xf numFmtId="4" fontId="56" fillId="54" borderId="26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94" fontId="33" fillId="0" borderId="260" applyFill="0"/>
    <xf numFmtId="186" fontId="42" fillId="44" borderId="263" applyNumberFormat="0" applyAlignment="0" applyProtection="0"/>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4" fontId="56" fillId="54" borderId="263" applyNumberFormat="0" applyProtection="0">
      <alignment horizontal="left" vertical="center"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4" fontId="72" fillId="87" borderId="252" applyNumberFormat="0" applyProtection="0">
      <alignment horizontal="right" vertical="center"/>
    </xf>
    <xf numFmtId="4" fontId="27" fillId="21" borderId="257" applyNumberFormat="0" applyProtection="0">
      <alignment horizontal="left" vertical="center" indent="1"/>
    </xf>
    <xf numFmtId="186" fontId="56" fillId="14" borderId="253" applyNumberFormat="0" applyProtection="0">
      <alignment horizontal="left" vertical="center" indent="1"/>
    </xf>
    <xf numFmtId="191" fontId="5" fillId="13" borderId="259">
      <alignment vertical="center"/>
    </xf>
    <xf numFmtId="193" fontId="5" fillId="69" borderId="259">
      <alignment vertical="center"/>
    </xf>
    <xf numFmtId="188" fontId="5" fillId="69" borderId="259">
      <alignment vertical="center"/>
    </xf>
    <xf numFmtId="0" fontId="5" fillId="7" borderId="259">
      <alignment vertical="center"/>
      <protection locked="0"/>
    </xf>
    <xf numFmtId="191" fontId="28" fillId="50" borderId="259">
      <alignment vertical="center"/>
    </xf>
    <xf numFmtId="186" fontId="44" fillId="0" borderId="268" applyNumberFormat="0" applyFill="0" applyAlignment="0" applyProtection="0"/>
    <xf numFmtId="186" fontId="56" fillId="14" borderId="253" applyNumberFormat="0" applyProtection="0">
      <alignment horizontal="left" vertical="center" indent="1"/>
    </xf>
    <xf numFmtId="186" fontId="27" fillId="14" borderId="252" applyNumberFormat="0" applyProtection="0">
      <alignment horizontal="left" vertical="center" indent="1"/>
    </xf>
    <xf numFmtId="191" fontId="5" fillId="69" borderId="259">
      <alignment vertical="center"/>
    </xf>
    <xf numFmtId="186" fontId="56" fillId="14" borderId="261" applyNumberFormat="0" applyProtection="0">
      <alignment horizontal="left" vertical="top" indent="1"/>
    </xf>
    <xf numFmtId="186" fontId="42" fillId="44" borderId="25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8" fontId="28" fillId="51" borderId="259">
      <alignment horizontal="right" vertical="center"/>
      <protection locked="0"/>
    </xf>
    <xf numFmtId="186" fontId="27" fillId="63" borderId="261" applyNumberFormat="0" applyProtection="0">
      <alignment horizontal="left" vertical="center" indent="1"/>
    </xf>
    <xf numFmtId="188" fontId="28" fillId="49" borderId="259">
      <alignment vertical="center"/>
    </xf>
    <xf numFmtId="37" fontId="33" fillId="0" borderId="256" applyNumberFormat="0"/>
    <xf numFmtId="186" fontId="56" fillId="62" borderId="253"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14" borderId="267" applyNumberFormat="0" applyProtection="0">
      <alignment horizontal="left" vertical="center" indent="1"/>
    </xf>
    <xf numFmtId="186" fontId="56" fillId="63" borderId="252" applyNumberFormat="0" applyProtection="0">
      <alignment horizontal="left" vertical="top" indent="1"/>
    </xf>
    <xf numFmtId="4" fontId="56" fillId="15" borderId="25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62" fillId="15" borderId="252" applyNumberFormat="0" applyProtection="0">
      <alignment horizontal="left" vertical="top" indent="1"/>
    </xf>
    <xf numFmtId="4" fontId="56" fillId="16" borderId="263" applyNumberFormat="0" applyProtection="0">
      <alignment horizontal="right" vertical="center"/>
    </xf>
    <xf numFmtId="186" fontId="57" fillId="44" borderId="254" applyNumberFormat="0" applyAlignment="0" applyProtection="0"/>
    <xf numFmtId="4" fontId="56" fillId="0" borderId="253" applyNumberFormat="0" applyProtection="0">
      <alignment horizontal="right" vertical="center"/>
    </xf>
    <xf numFmtId="0" fontId="27" fillId="14" borderId="261" applyNumberFormat="0" applyProtection="0">
      <alignment horizontal="left" vertical="center" indent="1"/>
    </xf>
    <xf numFmtId="4" fontId="76" fillId="87" borderId="261" applyNumberFormat="0" applyProtection="0">
      <alignment horizontal="right" vertical="center"/>
    </xf>
    <xf numFmtId="186" fontId="42" fillId="44" borderId="253" applyNumberFormat="0" applyAlignment="0" applyProtection="0"/>
    <xf numFmtId="4" fontId="72" fillId="78" borderId="261"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27" fillId="64" borderId="259" applyNumberFormat="0">
      <protection locked="0"/>
    </xf>
    <xf numFmtId="4" fontId="64" fillId="64" borderId="253" applyNumberFormat="0" applyProtection="0">
      <alignment horizontal="right" vertical="center"/>
    </xf>
    <xf numFmtId="186" fontId="57" fillId="44" borderId="254" applyNumberForma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1" borderId="253" applyNumberFormat="0" applyProtection="0">
      <alignment horizontal="left" vertical="center"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4" fontId="56" fillId="58" borderId="253" applyNumberFormat="0" applyProtection="0">
      <alignment horizontal="right" vertical="center"/>
    </xf>
    <xf numFmtId="186" fontId="56" fillId="21" borderId="252" applyNumberFormat="0" applyProtection="0">
      <alignment horizontal="left" vertical="top" indent="1"/>
    </xf>
    <xf numFmtId="0" fontId="27" fillId="14" borderId="252" applyNumberFormat="0" applyProtection="0">
      <alignment horizontal="left" vertical="center" indent="1"/>
    </xf>
    <xf numFmtId="186" fontId="28" fillId="51" borderId="8">
      <alignment horizontal="right" vertical="center"/>
      <protection locked="0"/>
    </xf>
    <xf numFmtId="4" fontId="56" fillId="23" borderId="263" applyNumberFormat="0" applyProtection="0">
      <alignment horizontal="right" vertical="center"/>
    </xf>
    <xf numFmtId="186" fontId="56" fillId="21" borderId="252" applyNumberFormat="0" applyProtection="0">
      <alignment horizontal="left" vertical="top" indent="1"/>
    </xf>
    <xf numFmtId="4" fontId="56" fillId="60" borderId="242"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186" fontId="60" fillId="52" borderId="244" applyNumberFormat="0" applyProtection="0">
      <alignment horizontal="left" vertical="top" indent="1"/>
    </xf>
    <xf numFmtId="186" fontId="27" fillId="63" borderId="244" applyNumberFormat="0" applyProtection="0">
      <alignment horizontal="left" vertical="top" indent="1"/>
    </xf>
    <xf numFmtId="186" fontId="56" fillId="21" borderId="244" applyNumberFormat="0" applyProtection="0">
      <alignment horizontal="left" vertical="top" indent="1"/>
    </xf>
    <xf numFmtId="4" fontId="56" fillId="0" borderId="263" applyNumberFormat="0" applyProtection="0">
      <alignment horizontal="right" vertical="center"/>
    </xf>
    <xf numFmtId="186" fontId="56" fillId="14" borderId="261" applyNumberFormat="0" applyProtection="0">
      <alignment horizontal="left" vertical="top" indent="1"/>
    </xf>
    <xf numFmtId="4" fontId="62" fillId="48" borderId="261" applyNumberFormat="0" applyProtection="0">
      <alignment vertical="center"/>
    </xf>
    <xf numFmtId="4" fontId="56" fillId="19" borderId="26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54" applyNumberFormat="0" applyAlignment="0" applyProtection="0"/>
    <xf numFmtId="186" fontId="27" fillId="63" borderId="252" applyNumberFormat="0" applyProtection="0">
      <alignment horizontal="left" vertical="center" indent="1"/>
    </xf>
    <xf numFmtId="186" fontId="62" fillId="48" borderId="252" applyNumberFormat="0" applyProtection="0">
      <alignment horizontal="left" vertical="top" indent="1"/>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14" borderId="252" applyNumberFormat="0" applyProtection="0">
      <alignment horizontal="left" vertical="top" indent="1"/>
    </xf>
    <xf numFmtId="193" fontId="28" fillId="12" borderId="259">
      <alignment vertical="center"/>
      <protection locked="0"/>
    </xf>
    <xf numFmtId="190" fontId="28" fillId="49" borderId="259">
      <alignment vertical="center"/>
    </xf>
    <xf numFmtId="186" fontId="50" fillId="41" borderId="253" applyNumberFormat="0" applyAlignment="0" applyProtection="0"/>
    <xf numFmtId="4" fontId="56" fillId="1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8" fontId="5" fillId="7" borderId="259">
      <alignment vertical="center"/>
      <protection locked="0"/>
    </xf>
    <xf numFmtId="191" fontId="5" fillId="70" borderId="8">
      <alignment horizontal="right" vertical="center"/>
      <protection locked="0"/>
    </xf>
    <xf numFmtId="186" fontId="56" fillId="15" borderId="261" applyNumberFormat="0" applyProtection="0">
      <alignment horizontal="left" vertical="top" indent="1"/>
    </xf>
    <xf numFmtId="4" fontId="64" fillId="64" borderId="263" applyNumberFormat="0" applyProtection="0">
      <alignment horizontal="right" vertical="center"/>
    </xf>
    <xf numFmtId="186" fontId="56" fillId="14" borderId="252" applyNumberFormat="0" applyProtection="0">
      <alignment horizontal="left" vertical="top" indent="1"/>
    </xf>
    <xf numFmtId="186" fontId="27" fillId="21" borderId="244" applyNumberFormat="0" applyProtection="0">
      <alignment horizontal="left" vertical="center" indent="1"/>
    </xf>
    <xf numFmtId="4" fontId="56" fillId="52" borderId="242" applyNumberFormat="0" applyProtection="0">
      <alignment vertical="center"/>
    </xf>
    <xf numFmtId="186" fontId="56" fillId="15" borderId="261" applyNumberFormat="0" applyProtection="0">
      <alignment horizontal="left" vertical="top" indent="1"/>
    </xf>
    <xf numFmtId="4" fontId="72" fillId="79" borderId="244" applyNumberFormat="0" applyProtection="0">
      <alignment horizontal="right" vertical="center"/>
    </xf>
    <xf numFmtId="4" fontId="27" fillId="21" borderId="257" applyNumberFormat="0" applyProtection="0">
      <alignment horizontal="left" vertical="center" indent="1"/>
    </xf>
    <xf numFmtId="190" fontId="28" fillId="51" borderId="249">
      <alignment horizontal="right" vertical="center"/>
      <protection locked="0"/>
    </xf>
    <xf numFmtId="186" fontId="56" fillId="15"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5" borderId="244" applyNumberFormat="0" applyProtection="0">
      <alignment horizontal="left" vertical="top" indent="1"/>
    </xf>
    <xf numFmtId="186" fontId="56" fillId="15" borderId="261" applyNumberFormat="0" applyProtection="0">
      <alignment horizontal="left" vertical="top" indent="1"/>
    </xf>
    <xf numFmtId="191" fontId="5" fillId="13" borderId="8">
      <alignment vertical="center"/>
    </xf>
    <xf numFmtId="186" fontId="56" fillId="21" borderId="252" applyNumberFormat="0" applyProtection="0">
      <alignment horizontal="left" vertical="top" indent="1"/>
    </xf>
    <xf numFmtId="4" fontId="56" fillId="59" borderId="242" applyNumberFormat="0" applyProtection="0">
      <alignment horizontal="right" vertical="center"/>
    </xf>
    <xf numFmtId="4" fontId="56" fillId="59" borderId="263" applyNumberFormat="0" applyProtection="0">
      <alignment horizontal="right" vertical="center"/>
    </xf>
    <xf numFmtId="4" fontId="64" fillId="64" borderId="253" applyNumberFormat="0" applyProtection="0">
      <alignment horizontal="right" vertical="center"/>
    </xf>
    <xf numFmtId="186" fontId="56" fillId="40" borderId="253" applyNumberFormat="0" applyFont="0" applyAlignment="0" applyProtection="0"/>
    <xf numFmtId="193" fontId="28" fillId="12" borderId="259">
      <alignment vertical="center"/>
      <protection locked="0"/>
    </xf>
    <xf numFmtId="186" fontId="28" fillId="12" borderId="269">
      <alignment vertical="center"/>
      <protection locked="0"/>
    </xf>
    <xf numFmtId="4" fontId="56" fillId="14" borderId="257" applyNumberFormat="0" applyProtection="0">
      <alignment horizontal="left" vertical="center" indent="1"/>
    </xf>
    <xf numFmtId="186" fontId="44" fillId="0" borderId="248" applyNumberFormat="0" applyFill="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3" borderId="261" applyNumberFormat="0" applyProtection="0">
      <alignment horizontal="right" vertical="center"/>
    </xf>
    <xf numFmtId="4" fontId="56" fillId="19" borderId="263" applyNumberFormat="0" applyProtection="0">
      <alignment horizontal="right" vertical="center"/>
    </xf>
    <xf numFmtId="186" fontId="56"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62" fillId="48" borderId="244" applyNumberFormat="0" applyProtection="0">
      <alignment horizontal="left" vertical="top" indent="1"/>
    </xf>
    <xf numFmtId="186" fontId="27" fillId="14" borderId="252" applyNumberFormat="0" applyProtection="0">
      <alignment horizontal="left" vertical="center" indent="1"/>
    </xf>
    <xf numFmtId="186" fontId="27" fillId="63" borderId="244" applyNumberFormat="0" applyProtection="0">
      <alignment horizontal="left" vertical="center" indent="1"/>
    </xf>
    <xf numFmtId="191" fontId="28" fillId="51" borderId="249">
      <alignment horizontal="right" vertical="center"/>
      <protection locked="0"/>
    </xf>
    <xf numFmtId="186" fontId="56" fillId="40" borderId="253" applyNumberFormat="0" applyFont="0" applyAlignment="0" applyProtection="0"/>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27" fillId="64" borderId="259" applyNumberFormat="0">
      <protection locked="0"/>
    </xf>
    <xf numFmtId="186" fontId="56" fillId="21" borderId="252" applyNumberFormat="0" applyProtection="0">
      <alignment horizontal="left" vertical="top" indent="1"/>
    </xf>
    <xf numFmtId="191" fontId="5" fillId="7" borderId="259">
      <alignment vertical="center"/>
      <protection locked="0"/>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27" fillId="15" borderId="244" applyNumberFormat="0" applyProtection="0">
      <alignment horizontal="left" vertical="center" indent="1"/>
    </xf>
    <xf numFmtId="4" fontId="71"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186" fontId="62" fillId="48" borderId="244" applyNumberFormat="0" applyProtection="0">
      <alignment horizontal="left" vertical="top" indent="1"/>
    </xf>
    <xf numFmtId="186" fontId="60" fillId="52" borderId="244" applyNumberFormat="0" applyProtection="0">
      <alignment horizontal="left" vertical="top" indent="1"/>
    </xf>
    <xf numFmtId="186" fontId="50" fillId="41" borderId="242" applyNumberFormat="0" applyAlignment="0" applyProtection="0"/>
    <xf numFmtId="4" fontId="56" fillId="61" borderId="245"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72" fontId="5" fillId="7" borderId="249">
      <alignment vertical="center"/>
      <protection locked="0"/>
    </xf>
    <xf numFmtId="4" fontId="64" fillId="64" borderId="253" applyNumberFormat="0" applyProtection="0">
      <alignment horizontal="right" vertical="center"/>
    </xf>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42" applyNumberFormat="0" applyProtection="0">
      <alignment horizontal="left" vertical="center" indent="1"/>
    </xf>
    <xf numFmtId="191" fontId="5" fillId="69" borderId="8">
      <alignment vertical="center"/>
    </xf>
    <xf numFmtId="193" fontId="28" fillId="50" borderId="259">
      <alignment vertical="center"/>
    </xf>
    <xf numFmtId="186" fontId="27" fillId="63" borderId="252" applyNumberFormat="0" applyProtection="0">
      <alignment horizontal="left" vertical="center" indent="1"/>
    </xf>
    <xf numFmtId="190" fontId="5" fillId="70" borderId="8">
      <alignment horizontal="right" vertical="center"/>
      <protection locked="0"/>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62" fillId="48" borderId="244" applyNumberFormat="0" applyProtection="0">
      <alignment vertical="center"/>
    </xf>
    <xf numFmtId="4" fontId="59" fillId="65" borderId="263" applyNumberFormat="0" applyProtection="0">
      <alignment horizontal="right" vertical="center"/>
    </xf>
    <xf numFmtId="4" fontId="62" fillId="48" borderId="261" applyNumberFormat="0" applyProtection="0">
      <alignment vertical="center"/>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91" fontId="5" fillId="69" borderId="259">
      <alignment vertical="center"/>
    </xf>
    <xf numFmtId="186" fontId="56" fillId="63" borderId="252" applyNumberFormat="0" applyProtection="0">
      <alignment horizontal="left" vertical="top" indent="1"/>
    </xf>
    <xf numFmtId="4" fontId="56" fillId="0" borderId="253"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8" fontId="28" fillId="51" borderId="249">
      <alignment horizontal="right" vertical="center"/>
      <protection locked="0"/>
    </xf>
    <xf numFmtId="186" fontId="27" fillId="15" borderId="252" applyNumberFormat="0" applyProtection="0">
      <alignment horizontal="left" vertical="center" indent="1"/>
    </xf>
    <xf numFmtId="188" fontId="28" fillId="49" borderId="8">
      <alignment vertical="center"/>
    </xf>
    <xf numFmtId="191" fontId="5" fillId="69" borderId="249">
      <alignment vertical="center"/>
    </xf>
    <xf numFmtId="4" fontId="56" fillId="54" borderId="253" applyNumberFormat="0" applyProtection="0">
      <alignment horizontal="left" vertical="center" indent="1"/>
    </xf>
    <xf numFmtId="4" fontId="70" fillId="53" borderId="252" applyNumberFormat="0" applyProtection="0">
      <alignment vertical="center"/>
    </xf>
    <xf numFmtId="191" fontId="28" fillId="12" borderId="259">
      <alignment vertical="center"/>
      <protection locked="0"/>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4" fontId="56" fillId="55"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15" borderId="253" applyNumberFormat="0" applyProtection="0">
      <alignment horizontal="right" vertical="center"/>
    </xf>
    <xf numFmtId="188" fontId="5" fillId="69" borderId="8">
      <alignment vertical="center"/>
    </xf>
    <xf numFmtId="4" fontId="63" fillId="66" borderId="245" applyNumberFormat="0" applyProtection="0">
      <alignment horizontal="left" vertical="center" indent="1"/>
    </xf>
    <xf numFmtId="186" fontId="56" fillId="21"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62" borderId="242" applyNumberFormat="0" applyProtection="0">
      <alignment horizontal="left" vertical="center" indent="1"/>
    </xf>
    <xf numFmtId="37" fontId="33" fillId="0" borderId="247" applyNumberFormat="0"/>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27" fillId="21" borderId="244"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72" fillId="84" borderId="252" applyNumberFormat="0" applyProtection="0">
      <alignment horizontal="righ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56" fillId="52" borderId="263" applyNumberFormat="0" applyProtection="0">
      <alignmen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4" fontId="56" fillId="53" borderId="263" applyNumberFormat="0" applyProtection="0">
      <alignment horizontal="left" vertical="center" indent="1"/>
    </xf>
    <xf numFmtId="186" fontId="27" fillId="14" borderId="252" applyNumberFormat="0" applyProtection="0">
      <alignment horizontal="left" vertical="top" indent="1"/>
    </xf>
    <xf numFmtId="4" fontId="56" fillId="16" borderId="263" applyNumberFormat="0" applyProtection="0">
      <alignment horizontal="right" vertical="center"/>
    </xf>
    <xf numFmtId="4" fontId="56" fillId="61" borderId="257" applyNumberFormat="0" applyProtection="0">
      <alignment horizontal="left" vertical="center" indent="1"/>
    </xf>
    <xf numFmtId="4" fontId="62" fillId="11" borderId="252" applyNumberFormat="0" applyProtection="0">
      <alignment horizontal="left" vertical="center" indent="1"/>
    </xf>
    <xf numFmtId="188" fontId="5" fillId="7" borderId="8">
      <alignment vertical="center"/>
      <protection locked="0"/>
    </xf>
    <xf numFmtId="186" fontId="56" fillId="14" borderId="252" applyNumberFormat="0" applyProtection="0">
      <alignment horizontal="left" vertical="top" indent="1"/>
    </xf>
    <xf numFmtId="186" fontId="57" fillId="44" borderId="254" applyNumberForma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8" fontId="5" fillId="13" borderId="269">
      <alignment vertical="center"/>
    </xf>
    <xf numFmtId="4" fontId="72" fillId="82"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15" borderId="26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4" fontId="56" fillId="59"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56" fillId="19" borderId="253" applyNumberFormat="0" applyProtection="0">
      <alignment horizontal="right" vertical="center"/>
    </xf>
    <xf numFmtId="4" fontId="59" fillId="53" borderId="242" applyNumberFormat="0" applyProtection="0">
      <alignment vertical="center"/>
    </xf>
    <xf numFmtId="186" fontId="42" fillId="44" borderId="242" applyNumberFormat="0" applyAlignment="0" applyProtection="0"/>
    <xf numFmtId="186" fontId="27" fillId="63" borderId="261" applyNumberFormat="0" applyProtection="0">
      <alignment horizontal="left" vertical="center" indent="1"/>
    </xf>
    <xf numFmtId="186" fontId="56" fillId="63" borderId="244" applyNumberFormat="0" applyProtection="0">
      <alignment horizontal="left" vertical="top" indent="1"/>
    </xf>
    <xf numFmtId="191" fontId="28" fillId="51" borderId="249">
      <alignment horizontal="right" vertical="center"/>
      <protection locked="0"/>
    </xf>
    <xf numFmtId="186" fontId="44" fillId="0" borderId="268" applyNumberFormat="0" applyFill="0" applyAlignment="0" applyProtection="0"/>
    <xf numFmtId="186" fontId="60" fillId="52" borderId="252" applyNumberFormat="0" applyProtection="0">
      <alignment horizontal="left" vertical="top" indent="1"/>
    </xf>
    <xf numFmtId="186" fontId="60" fillId="52" borderId="244" applyNumberFormat="0" applyProtection="0">
      <alignment horizontal="left" vertical="top" indent="1"/>
    </xf>
    <xf numFmtId="191" fontId="28" fillId="49" borderId="259">
      <alignment vertical="center"/>
    </xf>
    <xf numFmtId="188" fontId="5" fillId="70" borderId="259">
      <alignment horizontal="right" vertical="center"/>
      <protection locked="0"/>
    </xf>
    <xf numFmtId="186" fontId="56" fillId="21" borderId="252" applyNumberFormat="0" applyProtection="0">
      <alignment horizontal="left" vertical="top" indent="1"/>
    </xf>
    <xf numFmtId="186" fontId="42" fillId="44" borderId="253" applyNumberFormat="0" applyAlignment="0" applyProtection="0"/>
    <xf numFmtId="4" fontId="56" fillId="59"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4" fontId="72" fillId="50" borderId="244" applyNumberFormat="0" applyProtection="0">
      <alignment horizontal="right" vertical="center"/>
    </xf>
    <xf numFmtId="186" fontId="27" fillId="15" borderId="244" applyNumberFormat="0" applyProtection="0">
      <alignment horizontal="left" vertical="center"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64" fillId="64" borderId="242" applyNumberFormat="0" applyProtection="0">
      <alignment horizontal="right" vertical="center"/>
    </xf>
    <xf numFmtId="4" fontId="56" fillId="59" borderId="242" applyNumberFormat="0" applyProtection="0">
      <alignment horizontal="right" vertical="center"/>
    </xf>
    <xf numFmtId="186" fontId="56" fillId="40" borderId="242" applyNumberFormat="0" applyFont="0" applyAlignment="0" applyProtection="0"/>
    <xf numFmtId="186" fontId="56" fillId="40" borderId="263" applyNumberFormat="0" applyFont="0" applyAlignment="0" applyProtection="0"/>
    <xf numFmtId="186" fontId="56" fillId="11" borderId="253" applyNumberFormat="0" applyProtection="0">
      <alignment horizontal="left" vertical="center" indent="1"/>
    </xf>
    <xf numFmtId="190" fontId="28" fillId="51" borderId="8">
      <alignment horizontal="right" vertical="center"/>
      <protection locked="0"/>
    </xf>
    <xf numFmtId="186" fontId="56" fillId="15" borderId="252" applyNumberFormat="0" applyProtection="0">
      <alignment horizontal="left" vertical="top" indent="1"/>
    </xf>
    <xf numFmtId="4" fontId="27" fillId="21" borderId="267" applyNumberFormat="0" applyProtection="0">
      <alignment horizontal="left" vertical="center" indent="1"/>
    </xf>
    <xf numFmtId="193" fontId="28" fillId="12" borderId="259">
      <alignment vertical="center"/>
      <protection locked="0"/>
    </xf>
    <xf numFmtId="186" fontId="42" fillId="44" borderId="263" applyNumberFormat="0" applyAlignment="0" applyProtection="0"/>
    <xf numFmtId="4" fontId="56" fillId="52" borderId="263" applyNumberFormat="0" applyProtection="0">
      <alignment vertical="center"/>
    </xf>
    <xf numFmtId="186" fontId="56" fillId="63" borderId="252" applyNumberFormat="0" applyProtection="0">
      <alignment horizontal="left" vertical="top" indent="1"/>
    </xf>
    <xf numFmtId="4" fontId="56" fillId="15" borderId="257" applyNumberFormat="0" applyProtection="0">
      <alignment horizontal="left" vertical="center" indent="1"/>
    </xf>
    <xf numFmtId="4" fontId="56" fillId="53" borderId="25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96" fontId="5" fillId="69" borderId="259">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7" applyNumberFormat="0" applyProtection="0">
      <alignment horizontal="left" vertical="center" indent="1"/>
    </xf>
    <xf numFmtId="4" fontId="56" fillId="57" borderId="257" applyNumberFormat="0" applyProtection="0">
      <alignment horizontal="right" vertical="center"/>
    </xf>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15" borderId="245" applyNumberFormat="0" applyProtection="0">
      <alignment horizontal="left" vertical="center" indent="1"/>
    </xf>
    <xf numFmtId="186" fontId="27" fillId="64" borderId="249" applyNumberFormat="0">
      <protection locked="0"/>
    </xf>
    <xf numFmtId="4" fontId="56" fillId="56" borderId="253" applyNumberFormat="0" applyProtection="0">
      <alignment horizontal="right" vertical="center"/>
    </xf>
    <xf numFmtId="4" fontId="72" fillId="87" borderId="252" applyNumberFormat="0" applyProtection="0">
      <alignment horizontal="right" vertical="center"/>
    </xf>
    <xf numFmtId="172" fontId="5" fillId="7" borderId="249">
      <alignment vertical="center"/>
      <protection locked="0"/>
    </xf>
    <xf numFmtId="193" fontId="28" fillId="12" borderId="249">
      <alignment vertical="center"/>
      <protection locked="0"/>
    </xf>
    <xf numFmtId="186" fontId="27" fillId="14" borderId="244" applyNumberFormat="0" applyProtection="0">
      <alignment horizontal="left" vertical="top" indent="1"/>
    </xf>
    <xf numFmtId="186" fontId="50" fillId="41" borderId="25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27" fillId="15" borderId="244" applyNumberFormat="0" applyProtection="0">
      <alignment horizontal="left" vertical="top" indent="1"/>
    </xf>
    <xf numFmtId="186" fontId="50" fillId="41" borderId="253" applyNumberFormat="0" applyAlignment="0" applyProtection="0"/>
    <xf numFmtId="188" fontId="5" fillId="69" borderId="269">
      <alignment vertical="center"/>
    </xf>
    <xf numFmtId="4" fontId="56" fillId="0" borderId="242" applyNumberFormat="0" applyProtection="0">
      <alignment horizontal="right" vertical="center"/>
    </xf>
    <xf numFmtId="186" fontId="56" fillId="11" borderId="242" applyNumberFormat="0" applyProtection="0">
      <alignment horizontal="left" vertical="center" indent="1"/>
    </xf>
    <xf numFmtId="186" fontId="57" fillId="44" borderId="243" applyNumberFormat="0" applyAlignment="0" applyProtection="0"/>
    <xf numFmtId="191" fontId="28" fillId="50" borderId="259">
      <alignment vertical="center"/>
    </xf>
    <xf numFmtId="186" fontId="56" fillId="21" borderId="261" applyNumberFormat="0" applyProtection="0">
      <alignment horizontal="left" vertical="top" indent="1"/>
    </xf>
    <xf numFmtId="186" fontId="27" fillId="21" borderId="244"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2" borderId="242" applyNumberFormat="0" applyProtection="0">
      <alignment horizontal="left" vertical="center" indent="1"/>
    </xf>
    <xf numFmtId="186" fontId="56" fillId="40" borderId="253" applyNumberFormat="0" applyFont="0" applyAlignment="0" applyProtection="0"/>
    <xf numFmtId="186" fontId="27" fillId="14" borderId="252" applyNumberFormat="0" applyProtection="0">
      <alignment horizontal="left" vertical="top" indent="1"/>
    </xf>
    <xf numFmtId="4" fontId="27" fillId="21" borderId="267" applyNumberFormat="0" applyProtection="0">
      <alignment horizontal="left" vertical="center" indent="1"/>
    </xf>
    <xf numFmtId="186" fontId="56" fillId="14" borderId="244" applyNumberFormat="0" applyProtection="0">
      <alignment horizontal="left" vertical="top" indent="1"/>
    </xf>
    <xf numFmtId="4" fontId="74" fillId="87" borderId="244" applyNumberFormat="0" applyProtection="0">
      <alignment vertical="center"/>
    </xf>
    <xf numFmtId="196" fontId="5" fillId="69" borderId="249">
      <alignment vertical="center"/>
    </xf>
    <xf numFmtId="186" fontId="56" fillId="63" borderId="244" applyNumberFormat="0" applyProtection="0">
      <alignment horizontal="left" vertical="top"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6" fontId="27" fillId="14" borderId="244" applyNumberFormat="0" applyProtection="0">
      <alignment horizontal="left" vertical="top" indent="1"/>
    </xf>
    <xf numFmtId="186" fontId="56" fillId="40" borderId="242" applyNumberFormat="0" applyFont="0" applyAlignment="0" applyProtection="0"/>
    <xf numFmtId="186" fontId="56" fillId="62" borderId="242" applyNumberFormat="0" applyProtection="0">
      <alignment horizontal="left" vertical="center" indent="1"/>
    </xf>
    <xf numFmtId="186"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90" fontId="28" fillId="49" borderId="259">
      <alignment vertical="center"/>
    </xf>
    <xf numFmtId="186" fontId="56" fillId="63" borderId="252" applyNumberFormat="0" applyProtection="0">
      <alignment horizontal="left" vertical="top" indent="1"/>
    </xf>
    <xf numFmtId="186" fontId="56" fillId="67" borderId="249"/>
    <xf numFmtId="191" fontId="28" fillId="49" borderId="259">
      <alignment vertical="center"/>
    </xf>
    <xf numFmtId="186" fontId="57" fillId="44" borderId="264" applyNumberFormat="0" applyAlignment="0" applyProtection="0"/>
    <xf numFmtId="186" fontId="56" fillId="11" borderId="253"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42" applyNumberFormat="0" applyFont="0" applyAlignment="0" applyProtection="0"/>
    <xf numFmtId="186" fontId="56" fillId="14" borderId="242" applyNumberFormat="0" applyProtection="0">
      <alignment horizontal="left" vertical="center" indent="1"/>
    </xf>
    <xf numFmtId="186" fontId="27" fillId="15" borderId="252" applyNumberFormat="0" applyProtection="0">
      <alignment horizontal="left" vertical="center" indent="1"/>
    </xf>
    <xf numFmtId="186" fontId="28" fillId="49" borderId="8">
      <alignment vertical="center"/>
    </xf>
    <xf numFmtId="186" fontId="27" fillId="63" borderId="244" applyNumberFormat="0" applyProtection="0">
      <alignment horizontal="left" vertical="top" indent="1"/>
    </xf>
    <xf numFmtId="191" fontId="5" fillId="70" borderId="249">
      <alignment horizontal="right" vertical="center"/>
      <protection locked="0"/>
    </xf>
    <xf numFmtId="4" fontId="56" fillId="61" borderId="257"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186" fontId="42" fillId="44" borderId="263" applyNumberFormat="0" applyAlignment="0" applyProtection="0"/>
    <xf numFmtId="186" fontId="56" fillId="63" borderId="253" applyNumberFormat="0" applyProtection="0">
      <alignment horizontal="left" vertical="center" indent="1"/>
    </xf>
    <xf numFmtId="4" fontId="59" fillId="65" borderId="263"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61" fillId="21" borderId="265" applyBorder="0"/>
    <xf numFmtId="186" fontId="56" fillId="11" borderId="253" applyNumberFormat="0" applyProtection="0">
      <alignment horizontal="left" vertical="center" indent="1"/>
    </xf>
    <xf numFmtId="4" fontId="56" fillId="54" borderId="263" applyNumberFormat="0" applyProtection="0">
      <alignment horizontal="left" vertical="center" indent="1"/>
    </xf>
    <xf numFmtId="4" fontId="56" fillId="14" borderId="245" applyNumberFormat="0" applyProtection="0">
      <alignment horizontal="left" vertical="center" indent="1"/>
    </xf>
    <xf numFmtId="186" fontId="42" fillId="44" borderId="263" applyNumberFormat="0" applyAlignment="0" applyProtection="0"/>
    <xf numFmtId="186" fontId="56" fillId="14" borderId="252" applyNumberFormat="0" applyProtection="0">
      <alignment horizontal="left" vertical="top" indent="1"/>
    </xf>
    <xf numFmtId="186" fontId="56" fillId="40" borderId="242" applyNumberFormat="0" applyFont="0" applyAlignment="0" applyProtection="0"/>
    <xf numFmtId="4" fontId="56" fillId="19" borderId="253" applyNumberFormat="0" applyProtection="0">
      <alignment horizontal="right" vertical="center"/>
    </xf>
    <xf numFmtId="4" fontId="64" fillId="64"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23" borderId="263" applyNumberFormat="0" applyProtection="0">
      <alignment horizontal="right" vertical="center"/>
    </xf>
    <xf numFmtId="186" fontId="56" fillId="40" borderId="263" applyNumberFormat="0" applyFont="0" applyAlignment="0" applyProtection="0"/>
    <xf numFmtId="186" fontId="62" fillId="48" borderId="261" applyNumberFormat="0" applyProtection="0">
      <alignment horizontal="left" vertical="top" indent="1"/>
    </xf>
    <xf numFmtId="186" fontId="27" fillId="63" borderId="252" applyNumberFormat="0" applyProtection="0">
      <alignment horizontal="left" vertical="top" indent="1"/>
    </xf>
    <xf numFmtId="190" fontId="28" fillId="51" borderId="249">
      <alignment horizontal="right" vertical="center"/>
      <protection locked="0"/>
    </xf>
    <xf numFmtId="186" fontId="56" fillId="21" borderId="244" applyNumberFormat="0" applyProtection="0">
      <alignment horizontal="left" vertical="top" indent="1"/>
    </xf>
    <xf numFmtId="188" fontId="5" fillId="13" borderId="269">
      <alignment vertical="center"/>
    </xf>
    <xf numFmtId="186" fontId="28" fillId="50" borderId="249">
      <alignment vertical="center"/>
    </xf>
    <xf numFmtId="4" fontId="59" fillId="53" borderId="242" applyNumberFormat="0" applyProtection="0">
      <alignment vertical="center"/>
    </xf>
    <xf numFmtId="186" fontId="56" fillId="21" borderId="252" applyNumberFormat="0" applyProtection="0">
      <alignment horizontal="left" vertical="top" indent="1"/>
    </xf>
    <xf numFmtId="188" fontId="5" fillId="13" borderId="8">
      <alignment vertical="center"/>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7" fillId="44" borderId="264" applyNumberFormat="0" applyAlignment="0" applyProtection="0"/>
    <xf numFmtId="186" fontId="27" fillId="63" borderId="261" applyNumberFormat="0" applyProtection="0">
      <alignment horizontal="left" vertical="top" indent="1"/>
    </xf>
    <xf numFmtId="191" fontId="28" fillId="50" borderId="259">
      <alignment vertical="center"/>
    </xf>
    <xf numFmtId="186" fontId="56" fillId="21" borderId="261" applyNumberFormat="0" applyProtection="0">
      <alignment horizontal="left" vertical="top" indent="1"/>
    </xf>
    <xf numFmtId="4" fontId="62" fillId="11" borderId="252" applyNumberFormat="0" applyProtection="0">
      <alignment horizontal="left" vertical="center" indent="1"/>
    </xf>
    <xf numFmtId="186" fontId="57" fillId="44" borderId="254" applyNumberFormat="0" applyAlignment="0" applyProtection="0"/>
    <xf numFmtId="186" fontId="62" fillId="15" borderId="261" applyNumberFormat="0" applyProtection="0">
      <alignment horizontal="left" vertical="top" indent="1"/>
    </xf>
    <xf numFmtId="4" fontId="56" fillId="57" borderId="257" applyNumberFormat="0" applyProtection="0">
      <alignment horizontal="right" vertical="center"/>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62" fillId="48" borderId="261"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8" fontId="5" fillId="69" borderId="8">
      <alignment vertical="center"/>
    </xf>
    <xf numFmtId="4" fontId="56" fillId="54" borderId="253" applyNumberFormat="0" applyProtection="0">
      <alignment horizontal="left" vertical="center" indent="1"/>
    </xf>
    <xf numFmtId="4" fontId="56" fillId="56" borderId="253" applyNumberFormat="0" applyProtection="0">
      <alignment horizontal="right" vertical="center"/>
    </xf>
    <xf numFmtId="186" fontId="56" fillId="14" borderId="252" applyNumberFormat="0" applyProtection="0">
      <alignment horizontal="left" vertical="top" indent="1"/>
    </xf>
    <xf numFmtId="191" fontId="28" fillId="12" borderId="259">
      <alignment vertical="center"/>
      <protection locked="0"/>
    </xf>
    <xf numFmtId="186" fontId="56" fillId="40" borderId="253" applyNumberFormat="0" applyFont="0" applyAlignment="0" applyProtection="0"/>
    <xf numFmtId="4" fontId="70" fillId="86" borderId="252" applyNumberFormat="0" applyProtection="0">
      <alignment horizontal="left" vertical="center" indent="1"/>
    </xf>
    <xf numFmtId="191" fontId="5" fillId="69" borderId="8">
      <alignment vertical="center"/>
    </xf>
    <xf numFmtId="186" fontId="56" fillId="21" borderId="252" applyNumberFormat="0" applyProtection="0">
      <alignment horizontal="left" vertical="top" indent="1"/>
    </xf>
    <xf numFmtId="4" fontId="63" fillId="66" borderId="257" applyNumberFormat="0" applyProtection="0">
      <alignment horizontal="left" vertical="center"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56" fillId="15" borderId="252" applyNumberFormat="0" applyProtection="0">
      <alignment horizontal="left" vertical="top" indent="1"/>
    </xf>
    <xf numFmtId="0" fontId="27" fillId="15" borderId="252" applyNumberFormat="0" applyProtection="0">
      <alignment horizontal="left" vertical="center" indent="1"/>
    </xf>
    <xf numFmtId="0"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63" borderId="252" applyNumberFormat="0" applyProtection="0">
      <alignment horizontal="left" vertical="top" indent="1"/>
    </xf>
    <xf numFmtId="4" fontId="59" fillId="65" borderId="242" applyNumberFormat="0" applyProtection="0">
      <alignment horizontal="right" vertical="center"/>
    </xf>
    <xf numFmtId="4" fontId="56" fillId="16" borderId="242" applyNumberFormat="0" applyProtection="0">
      <alignment horizontal="right" vertical="center"/>
    </xf>
    <xf numFmtId="186" fontId="56" fillId="21" borderId="244" applyNumberFormat="0" applyProtection="0">
      <alignment horizontal="left" vertical="top" indent="1"/>
    </xf>
    <xf numFmtId="186" fontId="60" fillId="52" borderId="261" applyNumberFormat="0" applyProtection="0">
      <alignment horizontal="left" vertical="top" indent="1"/>
    </xf>
    <xf numFmtId="4" fontId="56" fillId="52" borderId="253" applyNumberFormat="0" applyProtection="0">
      <alignment vertical="center"/>
    </xf>
    <xf numFmtId="186" fontId="56" fillId="14" borderId="244" applyNumberFormat="0" applyProtection="0">
      <alignment horizontal="left" vertical="top" indent="1"/>
    </xf>
    <xf numFmtId="4" fontId="56" fillId="58" borderId="242" applyNumberFormat="0" applyProtection="0">
      <alignment horizontal="right" vertical="center"/>
    </xf>
    <xf numFmtId="186" fontId="42" fillId="44" borderId="242" applyNumberFormat="0" applyAlignment="0" applyProtection="0"/>
    <xf numFmtId="4" fontId="27" fillId="21" borderId="257" applyNumberFormat="0" applyProtection="0">
      <alignment horizontal="left" vertical="center" indent="1"/>
    </xf>
    <xf numFmtId="4" fontId="62" fillId="11" borderId="244" applyNumberFormat="0" applyProtection="0">
      <alignment horizontal="left" vertical="center" indent="1"/>
    </xf>
    <xf numFmtId="4" fontId="56" fillId="61" borderId="245" applyNumberFormat="0" applyProtection="0">
      <alignment horizontal="left" vertical="center" indent="1"/>
    </xf>
    <xf numFmtId="186" fontId="56" fillId="40" borderId="253" applyNumberFormat="0" applyFont="0" applyAlignment="0" applyProtection="0"/>
    <xf numFmtId="186" fontId="56" fillId="15" borderId="252" applyNumberFormat="0" applyProtection="0">
      <alignment horizontal="left" vertical="top" indent="1"/>
    </xf>
    <xf numFmtId="172" fontId="28" fillId="12" borderId="259">
      <alignment vertical="center"/>
      <protection locked="0"/>
    </xf>
    <xf numFmtId="186" fontId="56" fillId="21" borderId="252" applyNumberFormat="0" applyProtection="0">
      <alignment horizontal="left" vertical="top" indent="1"/>
    </xf>
    <xf numFmtId="4" fontId="56" fillId="57" borderId="267" applyNumberFormat="0" applyProtection="0">
      <alignment horizontal="right" vertical="center"/>
    </xf>
    <xf numFmtId="186" fontId="27" fillId="21" borderId="244" applyNumberFormat="0" applyProtection="0">
      <alignment horizontal="left" vertical="center" indent="1"/>
    </xf>
    <xf numFmtId="4" fontId="56" fillId="53" borderId="253" applyNumberFormat="0" applyProtection="0">
      <alignment horizontal="left" vertical="center" indent="1"/>
    </xf>
    <xf numFmtId="4" fontId="62" fillId="11" borderId="252" applyNumberFormat="0" applyProtection="0">
      <alignment horizontal="left" vertical="center" indent="1"/>
    </xf>
    <xf numFmtId="186" fontId="56" fillId="63" borderId="244" applyNumberFormat="0" applyProtection="0">
      <alignment horizontal="left" vertical="top" indent="1"/>
    </xf>
    <xf numFmtId="188" fontId="5" fillId="7" borderId="249">
      <alignment vertical="center"/>
      <protection locked="0"/>
    </xf>
    <xf numFmtId="186" fontId="56" fillId="14" borderId="242" applyNumberFormat="0" applyProtection="0">
      <alignment horizontal="left" vertical="center"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188" fontId="5" fillId="13" borderId="249">
      <alignment vertical="center"/>
    </xf>
    <xf numFmtId="186" fontId="27" fillId="21" borderId="244" applyNumberFormat="0" applyProtection="0">
      <alignment horizontal="left" vertical="center" indent="1"/>
    </xf>
    <xf numFmtId="191" fontId="28" fillId="49" borderId="249">
      <alignment vertical="center"/>
    </xf>
    <xf numFmtId="4" fontId="56" fillId="14" borderId="257"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28" fillId="50" borderId="249">
      <alignment vertical="center"/>
    </xf>
    <xf numFmtId="186" fontId="28" fillId="49" borderId="259">
      <alignment vertical="center"/>
    </xf>
    <xf numFmtId="0" fontId="5" fillId="70" borderId="259">
      <alignment horizontal="righ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44" fillId="0" borderId="248" applyNumberFormat="0" applyFill="0" applyAlignment="0" applyProtection="0"/>
    <xf numFmtId="186" fontId="27" fillId="15" borderId="244" applyNumberFormat="0" applyProtection="0">
      <alignment horizontal="left" vertical="center"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56" fillId="15" borderId="253" applyNumberFormat="0" applyProtection="0">
      <alignment horizontal="right" vertical="center"/>
    </xf>
    <xf numFmtId="186" fontId="57" fillId="44" borderId="264" applyNumberFormat="0" applyAlignment="0" applyProtection="0"/>
    <xf numFmtId="186" fontId="56" fillId="40" borderId="253" applyNumberFormat="0" applyFont="0" applyAlignment="0" applyProtection="0"/>
    <xf numFmtId="4" fontId="56" fillId="14" borderId="257" applyNumberFormat="0" applyProtection="0">
      <alignment horizontal="left" vertical="center" indent="1"/>
    </xf>
    <xf numFmtId="4" fontId="72" fillId="82" borderId="252"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28" fillId="50" borderId="259">
      <alignmen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63" applyNumberFormat="0" applyProtection="0">
      <alignment horizontal="right" vertical="center"/>
    </xf>
    <xf numFmtId="0" fontId="27" fillId="15" borderId="261" applyNumberFormat="0" applyProtection="0">
      <alignment horizontal="left" vertical="top" indent="1"/>
    </xf>
    <xf numFmtId="193" fontId="5" fillId="7" borderId="259">
      <alignment vertical="center"/>
      <protection locked="0"/>
    </xf>
    <xf numFmtId="188" fontId="5" fillId="13" borderId="249">
      <alignment vertical="center"/>
    </xf>
    <xf numFmtId="172" fontId="28" fillId="12" borderId="249">
      <alignment vertical="center"/>
      <protection locked="0"/>
    </xf>
    <xf numFmtId="186" fontId="57" fillId="44" borderId="243" applyNumberFormat="0" applyAlignment="0" applyProtection="0"/>
    <xf numFmtId="4" fontId="56" fillId="56" borderId="242" applyNumberFormat="0" applyProtection="0">
      <alignment horizontal="right" vertical="center"/>
    </xf>
    <xf numFmtId="186" fontId="27" fillId="15" borderId="244" applyNumberFormat="0" applyProtection="0">
      <alignment horizontal="left" vertical="center" indent="1"/>
    </xf>
    <xf numFmtId="193" fontId="5" fillId="69" borderId="249">
      <alignment vertical="center"/>
    </xf>
    <xf numFmtId="4" fontId="56" fillId="52" borderId="253" applyNumberFormat="0" applyProtection="0">
      <alignment vertical="center"/>
    </xf>
    <xf numFmtId="4" fontId="56" fillId="55" borderId="253" applyNumberFormat="0" applyProtection="0">
      <alignment horizontal="right" vertical="center"/>
    </xf>
    <xf numFmtId="191" fontId="5" fillId="70" borderId="8">
      <alignment horizontal="righ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91" fontId="28" fillId="50"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93" fontId="28" fillId="12" borderId="8">
      <alignment vertical="center"/>
      <protection locked="0"/>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4" fontId="56" fillId="19" borderId="253" applyNumberFormat="0" applyProtection="0">
      <alignment horizontal="right" vertical="center"/>
    </xf>
    <xf numFmtId="4" fontId="56" fillId="23" borderId="263" applyNumberFormat="0" applyProtection="0">
      <alignment horizontal="right" vertical="center"/>
    </xf>
    <xf numFmtId="186" fontId="44" fillId="0" borderId="258" applyNumberFormat="0" applyFill="0" applyAlignment="0" applyProtection="0"/>
    <xf numFmtId="186" fontId="62" fillId="48" borderId="252" applyNumberFormat="0" applyProtection="0">
      <alignment horizontal="left" vertical="top" indent="1"/>
    </xf>
    <xf numFmtId="188" fontId="5" fillId="7" borderId="259">
      <alignment vertical="center"/>
      <protection locked="0"/>
    </xf>
    <xf numFmtId="186" fontId="56" fillId="63" borderId="263" applyNumberFormat="0" applyProtection="0">
      <alignment horizontal="left" vertical="center" indent="1"/>
    </xf>
    <xf numFmtId="4" fontId="56" fillId="59" borderId="253" applyNumberFormat="0" applyProtection="0">
      <alignment horizontal="right" vertical="center"/>
    </xf>
    <xf numFmtId="191" fontId="5" fillId="7" borderId="259">
      <alignment vertical="center"/>
      <protection locked="0"/>
    </xf>
    <xf numFmtId="4" fontId="72" fillId="87" borderId="252" applyNumberFormat="0" applyProtection="0">
      <alignmen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4" fontId="56" fillId="15" borderId="263" applyNumberFormat="0" applyProtection="0">
      <alignment horizontal="right" vertical="center"/>
    </xf>
    <xf numFmtId="0" fontId="27" fillId="14" borderId="252" applyNumberFormat="0" applyProtection="0">
      <alignment horizontal="left" vertical="center" indent="1"/>
    </xf>
    <xf numFmtId="186" fontId="61" fillId="21" borderId="255" applyBorder="0"/>
    <xf numFmtId="191" fontId="28" fillId="12" borderId="259">
      <alignment vertical="center"/>
      <protection locked="0"/>
    </xf>
    <xf numFmtId="4" fontId="27" fillId="21" borderId="257" applyNumberFormat="0" applyProtection="0">
      <alignment horizontal="left" vertical="center"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27" fillId="15" borderId="252" applyNumberFormat="0" applyProtection="0">
      <alignment horizontal="left" vertical="top" indent="1"/>
    </xf>
    <xf numFmtId="186" fontId="61" fillId="21" borderId="255" applyBorder="0"/>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37" fontId="33" fillId="0" borderId="256" applyNumberFormat="0"/>
    <xf numFmtId="186" fontId="50" fillId="41" borderId="253" applyNumberFormat="0" applyAlignment="0" applyProtection="0"/>
    <xf numFmtId="186" fontId="56" fillId="21" borderId="252" applyNumberFormat="0" applyProtection="0">
      <alignment horizontal="left" vertical="top" indent="1"/>
    </xf>
    <xf numFmtId="186" fontId="27" fillId="63" borderId="252" applyNumberFormat="0" applyProtection="0">
      <alignment horizontal="left" vertical="top" indent="1"/>
    </xf>
    <xf numFmtId="4" fontId="56" fillId="14" borderId="26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0" fontId="73" fillId="52" borderId="252" applyNumberFormat="0" applyProtection="0">
      <alignment horizontal="left" vertical="top" indent="1"/>
    </xf>
    <xf numFmtId="0" fontId="37" fillId="48" borderId="252" applyNumberFormat="0" applyProtection="0">
      <alignment horizontal="left" vertical="top" indent="1"/>
    </xf>
    <xf numFmtId="186" fontId="56" fillId="11" borderId="253" applyNumberFormat="0" applyProtection="0">
      <alignment horizontal="left" vertical="center" indent="1"/>
    </xf>
    <xf numFmtId="4" fontId="72" fillId="86" borderId="252" applyNumberFormat="0" applyProtection="0">
      <alignment horizontal="right" vertical="center"/>
    </xf>
    <xf numFmtId="188" fontId="5" fillId="13" borderId="259">
      <alignment vertical="center"/>
    </xf>
    <xf numFmtId="193" fontId="5" fillId="69" borderId="259">
      <alignment vertical="center"/>
    </xf>
    <xf numFmtId="191" fontId="5" fillId="69" borderId="259">
      <alignment vertical="center"/>
    </xf>
    <xf numFmtId="193" fontId="5" fillId="7" borderId="259">
      <alignment vertical="center"/>
      <protection locked="0"/>
    </xf>
    <xf numFmtId="191" fontId="28" fillId="50" borderId="259">
      <alignment vertical="center"/>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top" indent="1"/>
    </xf>
    <xf numFmtId="190" fontId="5" fillId="70" borderId="259">
      <alignment horizontal="right" vertical="center"/>
      <protection locked="0"/>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top" indent="1"/>
    </xf>
    <xf numFmtId="191" fontId="28" fillId="12" borderId="259">
      <alignment vertical="center"/>
      <protection locked="0"/>
    </xf>
    <xf numFmtId="186" fontId="27" fillId="15" borderId="261" applyNumberFormat="0" applyProtection="0">
      <alignment horizontal="left" vertical="center" indent="1"/>
    </xf>
    <xf numFmtId="4" fontId="56" fillId="52" borderId="253" applyNumberFormat="0" applyProtection="0">
      <alignment vertical="center"/>
    </xf>
    <xf numFmtId="186" fontId="56" fillId="21" borderId="261" applyNumberFormat="0" applyProtection="0">
      <alignment horizontal="left" vertical="top" indent="1"/>
    </xf>
    <xf numFmtId="186" fontId="28" fillId="12" borderId="259">
      <alignmen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27" fillId="21"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4" fontId="64" fillId="64" borderId="263" applyNumberFormat="0" applyProtection="0">
      <alignment horizontal="right" vertical="center"/>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4" fontId="56" fillId="15" borderId="263" applyNumberFormat="0" applyProtection="0">
      <alignment horizontal="right" vertical="center"/>
    </xf>
    <xf numFmtId="186" fontId="50" fillId="41" borderId="263" applyNumberFormat="0" applyAlignment="0" applyProtection="0"/>
    <xf numFmtId="4" fontId="59" fillId="65" borderId="253" applyNumberFormat="0" applyProtection="0">
      <alignment horizontal="right" vertical="center"/>
    </xf>
    <xf numFmtId="0" fontId="27" fillId="63" borderId="261" applyNumberFormat="0" applyProtection="0">
      <alignment horizontal="left" vertical="top" indent="1"/>
    </xf>
    <xf numFmtId="4" fontId="75" fillId="88" borderId="262" applyNumberFormat="0" applyProtection="0">
      <alignment horizontal="left" vertical="center" indent="1"/>
    </xf>
    <xf numFmtId="186" fontId="56" fillId="40" borderId="253" applyNumberFormat="0" applyFont="0" applyAlignment="0" applyProtection="0"/>
    <xf numFmtId="4" fontId="59" fillId="53" borderId="253" applyNumberFormat="0" applyProtection="0">
      <alignment vertical="center"/>
    </xf>
    <xf numFmtId="196" fontId="5" fillId="69" borderId="259">
      <alignment vertical="center"/>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23" borderId="26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8" fontId="28" fillId="49" borderId="8">
      <alignment vertical="center"/>
    </xf>
    <xf numFmtId="186" fontId="56" fillId="62" borderId="263" applyNumberFormat="0" applyProtection="0">
      <alignment horizontal="left" vertical="center" indent="1"/>
    </xf>
    <xf numFmtId="186" fontId="61" fillId="21" borderId="265" applyBorder="0"/>
    <xf numFmtId="4" fontId="56" fillId="0" borderId="263" applyNumberFormat="0" applyProtection="0">
      <alignment horizontal="righ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91" fontId="28" fillId="50" borderId="8">
      <alignment vertical="center"/>
    </xf>
    <xf numFmtId="186" fontId="56" fillId="63" borderId="252" applyNumberFormat="0" applyProtection="0">
      <alignment horizontal="left" vertical="top" indent="1"/>
    </xf>
    <xf numFmtId="0" fontId="27" fillId="63" borderId="252" applyNumberFormat="0" applyProtection="0">
      <alignment horizontal="left" vertical="center" indent="1"/>
    </xf>
    <xf numFmtId="0" fontId="5" fillId="7" borderId="8">
      <alignment vertical="center"/>
      <protection locked="0"/>
    </xf>
    <xf numFmtId="186" fontId="56" fillId="21" borderId="244" applyNumberFormat="0" applyProtection="0">
      <alignment horizontal="left" vertical="top" indent="1"/>
    </xf>
    <xf numFmtId="186" fontId="56" fillId="63" borderId="263" applyNumberFormat="0" applyProtection="0">
      <alignment horizontal="left" vertical="center" indent="1"/>
    </xf>
    <xf numFmtId="191" fontId="28" fillId="51" borderId="8">
      <alignment horizontal="right" vertical="center"/>
      <protection locked="0"/>
    </xf>
    <xf numFmtId="186" fontId="56" fillId="15" borderId="252" applyNumberFormat="0" applyProtection="0">
      <alignment horizontal="left" vertical="top" indent="1"/>
    </xf>
    <xf numFmtId="191" fontId="28" fillId="50" borderId="249">
      <alignment vertical="center"/>
    </xf>
    <xf numFmtId="4" fontId="56" fillId="19" borderId="242" applyNumberFormat="0" applyProtection="0">
      <alignment horizontal="right" vertical="center"/>
    </xf>
    <xf numFmtId="186" fontId="27" fillId="14" borderId="261" applyNumberFormat="0" applyProtection="0">
      <alignment horizontal="left" vertical="center" indent="1"/>
    </xf>
    <xf numFmtId="186" fontId="56" fillId="15" borderId="252" applyNumberFormat="0" applyProtection="0">
      <alignment horizontal="left" vertical="top" indent="1"/>
    </xf>
    <xf numFmtId="4" fontId="56" fillId="53" borderId="242" applyNumberFormat="0" applyProtection="0">
      <alignment horizontal="left" vertical="center" indent="1"/>
    </xf>
    <xf numFmtId="186" fontId="27" fillId="63" borderId="244" applyNumberFormat="0" applyProtection="0">
      <alignment horizontal="left" vertical="center" indent="1"/>
    </xf>
    <xf numFmtId="186" fontId="56" fillId="21" borderId="244" applyNumberFormat="0" applyProtection="0">
      <alignment horizontal="left" vertical="top" indent="1"/>
    </xf>
    <xf numFmtId="188" fontId="28" fillId="51" borderId="259">
      <alignment horizontal="right" vertical="center"/>
      <protection locked="0"/>
    </xf>
    <xf numFmtId="190" fontId="5" fillId="70" borderId="269">
      <alignment horizontal="right" vertical="center"/>
      <protection locked="0"/>
    </xf>
    <xf numFmtId="4" fontId="27" fillId="21" borderId="257" applyNumberFormat="0" applyProtection="0">
      <alignment horizontal="left" vertical="center" indent="1"/>
    </xf>
    <xf numFmtId="4" fontId="56" fillId="60" borderId="263" applyNumberFormat="0" applyProtection="0">
      <alignment horizontal="right" vertical="center"/>
    </xf>
    <xf numFmtId="186" fontId="56" fillId="63" borderId="252" applyNumberFormat="0" applyProtection="0">
      <alignment horizontal="left" vertical="top" indent="1"/>
    </xf>
    <xf numFmtId="186" fontId="27" fillId="1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53" borderId="253" applyNumberFormat="0" applyProtection="0">
      <alignment horizontal="left" vertical="center" indent="1"/>
    </xf>
    <xf numFmtId="4" fontId="59" fillId="65" borderId="263" applyNumberFormat="0" applyProtection="0">
      <alignment horizontal="right" vertical="center"/>
    </xf>
    <xf numFmtId="186" fontId="56" fillId="14" borderId="242" applyNumberFormat="0" applyProtection="0">
      <alignment horizontal="left" vertical="center" indent="1"/>
    </xf>
    <xf numFmtId="186" fontId="56" fillId="11" borderId="242" applyNumberFormat="0" applyProtection="0">
      <alignment horizontal="left" vertical="center" indent="1"/>
    </xf>
    <xf numFmtId="191" fontId="5" fillId="70" borderId="259">
      <alignment horizontal="right" vertical="center"/>
      <protection locked="0"/>
    </xf>
    <xf numFmtId="4" fontId="56" fillId="54" borderId="253" applyNumberFormat="0" applyProtection="0">
      <alignment horizontal="left" vertical="center" indent="1"/>
    </xf>
    <xf numFmtId="4" fontId="56" fillId="59" borderId="253" applyNumberFormat="0" applyProtection="0">
      <alignment horizontal="right" vertical="center"/>
    </xf>
    <xf numFmtId="188" fontId="28" fillId="50" borderId="8">
      <alignment vertical="center"/>
    </xf>
    <xf numFmtId="4" fontId="56" fillId="60" borderId="242" applyNumberFormat="0" applyProtection="0">
      <alignment horizontal="right" vertical="center"/>
    </xf>
    <xf numFmtId="186" fontId="56" fillId="63" borderId="244" applyNumberFormat="0" applyProtection="0">
      <alignment horizontal="left" vertical="top" indent="1"/>
    </xf>
    <xf numFmtId="4" fontId="62" fillId="11" borderId="252" applyNumberFormat="0" applyProtection="0">
      <alignment horizontal="left" vertical="center" indent="1"/>
    </xf>
    <xf numFmtId="172" fontId="5" fillId="7" borderId="259">
      <alignment vertical="center"/>
      <protection locked="0"/>
    </xf>
    <xf numFmtId="191" fontId="28" fillId="51" borderId="8">
      <alignment horizontal="right" vertical="center"/>
      <protection locked="0"/>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0" fillId="41" borderId="253" applyNumberFormat="0" applyAlignment="0" applyProtection="0"/>
    <xf numFmtId="186" fontId="27" fillId="63" borderId="261" applyNumberFormat="0" applyProtection="0">
      <alignment horizontal="left" vertical="center" indent="1"/>
    </xf>
    <xf numFmtId="186" fontId="28" fillId="49" borderId="269">
      <alignment vertical="center"/>
    </xf>
    <xf numFmtId="4" fontId="56" fillId="14" borderId="267" applyNumberFormat="0" applyProtection="0">
      <alignment horizontal="left" vertical="center" indent="1"/>
    </xf>
    <xf numFmtId="186" fontId="56" fillId="15" borderId="252" applyNumberFormat="0" applyProtection="0">
      <alignment horizontal="left" vertical="top" indent="1"/>
    </xf>
    <xf numFmtId="191" fontId="28" fillId="51" borderId="259">
      <alignment horizontal="right" vertical="center"/>
      <protection locked="0"/>
    </xf>
    <xf numFmtId="186" fontId="56" fillId="40" borderId="263" applyNumberFormat="0" applyFont="0" applyAlignment="0" applyProtection="0"/>
    <xf numFmtId="193" fontId="28" fillId="50" borderId="269">
      <alignment vertical="center"/>
    </xf>
    <xf numFmtId="4" fontId="64" fillId="64" borderId="263" applyNumberFormat="0" applyProtection="0">
      <alignment horizontal="right" vertical="center"/>
    </xf>
    <xf numFmtId="4" fontId="56" fillId="0" borderId="253" applyNumberFormat="0" applyProtection="0">
      <alignment horizontal="right" vertical="center"/>
    </xf>
    <xf numFmtId="186" fontId="27" fillId="14" borderId="261" applyNumberFormat="0" applyProtection="0">
      <alignment horizontal="left" vertical="center" indent="1"/>
    </xf>
    <xf numFmtId="186" fontId="56" fillId="14" borderId="24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56" fillId="19" borderId="263" applyNumberFormat="0" applyProtection="0">
      <alignment horizontal="right" vertical="center"/>
    </xf>
    <xf numFmtId="0" fontId="27" fillId="15" borderId="252" applyNumberFormat="0" applyProtection="0">
      <alignment horizontal="left" vertical="top" indent="1"/>
    </xf>
    <xf numFmtId="186" fontId="56" fillId="14" borderId="252" applyNumberFormat="0" applyProtection="0">
      <alignment horizontal="left" vertical="top" indent="1"/>
    </xf>
    <xf numFmtId="186" fontId="56" fillId="11" borderId="253" applyNumberFormat="0" applyProtection="0">
      <alignment horizontal="left" vertical="center" indent="1"/>
    </xf>
    <xf numFmtId="37" fontId="33" fillId="0" borderId="256" applyNumberFormat="0"/>
    <xf numFmtId="186" fontId="56" fillId="40" borderId="263" applyNumberFormat="0" applyFont="0" applyAlignment="0" applyProtection="0"/>
    <xf numFmtId="186" fontId="56" fillId="14" borderId="252" applyNumberFormat="0" applyProtection="0">
      <alignment horizontal="left" vertical="top" indent="1"/>
    </xf>
    <xf numFmtId="194" fontId="33" fillId="0" borderId="231" applyFill="0"/>
    <xf numFmtId="4" fontId="56" fillId="61" borderId="267" applyNumberFormat="0" applyProtection="0">
      <alignment horizontal="left" vertical="center" indent="1"/>
    </xf>
    <xf numFmtId="186" fontId="44" fillId="0" borderId="258" applyNumberFormat="0" applyFill="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42" fillId="44" borderId="263" applyNumberFormat="0" applyAlignment="0" applyProtection="0"/>
    <xf numFmtId="186" fontId="56" fillId="15" borderId="261" applyNumberFormat="0" applyProtection="0">
      <alignment horizontal="left" vertical="top" indent="1"/>
    </xf>
    <xf numFmtId="186" fontId="56" fillId="14" borderId="263" applyNumberFormat="0" applyProtection="0">
      <alignment horizontal="left" vertical="center" indent="1"/>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1" borderId="261"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21" borderId="252"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73" fillId="52" borderId="252" applyNumberFormat="0" applyProtection="0">
      <alignment horizontal="left" vertical="top" indent="1"/>
    </xf>
    <xf numFmtId="191" fontId="5" fillId="13"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4" fontId="62" fillId="11" borderId="244" applyNumberFormat="0" applyProtection="0">
      <alignment horizontal="left" vertical="center" indent="1"/>
    </xf>
    <xf numFmtId="186" fontId="44" fillId="0" borderId="248" applyNumberFormat="0" applyFill="0" applyAlignment="0" applyProtection="0"/>
    <xf numFmtId="186" fontId="56" fillId="63" borderId="242" applyNumberFormat="0" applyProtection="0">
      <alignment horizontal="left" vertical="center" indent="1"/>
    </xf>
    <xf numFmtId="191" fontId="28" fillId="50" borderId="249">
      <alignment vertical="center"/>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194" fontId="33" fillId="0" borderId="250" applyFill="0"/>
    <xf numFmtId="186" fontId="56" fillId="21" borderId="252" applyNumberFormat="0" applyProtection="0">
      <alignment horizontal="left" vertical="top" indent="1"/>
    </xf>
    <xf numFmtId="186" fontId="42" fillId="44" borderId="253" applyNumberFormat="0" applyAlignment="0" applyProtection="0"/>
    <xf numFmtId="186" fontId="56" fillId="21" borderId="244" applyNumberFormat="0" applyProtection="0">
      <alignment horizontal="left" vertical="top" indent="1"/>
    </xf>
    <xf numFmtId="4" fontId="70"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4" fontId="62" fillId="11" borderId="244" applyNumberFormat="0" applyProtection="0">
      <alignment horizontal="left" vertical="center" indent="1"/>
    </xf>
    <xf numFmtId="4" fontId="56" fillId="53" borderId="242" applyNumberFormat="0" applyProtection="0">
      <alignment horizontal="left" vertical="center" indent="1"/>
    </xf>
    <xf numFmtId="186" fontId="50" fillId="41" borderId="242" applyNumberFormat="0" applyAlignment="0" applyProtection="0"/>
    <xf numFmtId="4" fontId="56" fillId="60" borderId="242" applyNumberFormat="0" applyProtection="0">
      <alignment horizontal="right" vertical="center"/>
    </xf>
    <xf numFmtId="4" fontId="56" fillId="23" borderId="242" applyNumberFormat="0" applyProtection="0">
      <alignment horizontal="right" vertical="center"/>
    </xf>
    <xf numFmtId="4" fontId="56" fillId="19" borderId="253" applyNumberFormat="0" applyProtection="0">
      <alignment horizontal="right" vertical="center"/>
    </xf>
    <xf numFmtId="186" fontId="62" fillId="15" borderId="261" applyNumberFormat="0" applyProtection="0">
      <alignment horizontal="left" vertical="top" indent="1"/>
    </xf>
    <xf numFmtId="186" fontId="56" fillId="63" borderId="261" applyNumberFormat="0" applyProtection="0">
      <alignment horizontal="left" vertical="top" indent="1"/>
    </xf>
    <xf numFmtId="4" fontId="56" fillId="19" borderId="263" applyNumberFormat="0" applyProtection="0">
      <alignment horizontal="right" vertical="center"/>
    </xf>
    <xf numFmtId="4" fontId="62" fillId="48" borderId="261" applyNumberFormat="0" applyProtection="0">
      <alignment vertical="center"/>
    </xf>
    <xf numFmtId="186" fontId="27" fillId="15" borderId="252"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4" fontId="64" fillId="64" borderId="263" applyNumberFormat="0" applyProtection="0">
      <alignment horizontal="right" vertical="center"/>
    </xf>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4" fontId="62" fillId="48" borderId="252" applyNumberFormat="0" applyProtection="0">
      <alignment vertical="center"/>
    </xf>
    <xf numFmtId="186" fontId="56" fillId="14" borderId="261"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62" fillId="15" borderId="252" applyNumberFormat="0" applyProtection="0">
      <alignment horizontal="left" vertical="top" indent="1"/>
    </xf>
    <xf numFmtId="186" fontId="56" fillId="14" borderId="261" applyNumberFormat="0" applyProtection="0">
      <alignment horizontal="left" vertical="top" indent="1"/>
    </xf>
    <xf numFmtId="186" fontId="27" fillId="14" borderId="252" applyNumberFormat="0" applyProtection="0">
      <alignment horizontal="left" vertical="top" indent="1"/>
    </xf>
    <xf numFmtId="37" fontId="33" fillId="0" borderId="256" applyNumberFormat="0"/>
    <xf numFmtId="186" fontId="27" fillId="21" borderId="244" applyNumberFormat="0" applyProtection="0">
      <alignment horizontal="left" vertical="center"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14" borderId="244" applyNumberFormat="0" applyProtection="0">
      <alignment horizontal="left" vertical="top" indent="1"/>
    </xf>
    <xf numFmtId="0" fontId="27" fillId="64" borderId="249" applyNumberFormat="0">
      <protection locked="0"/>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62" fillId="48"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90" fontId="5" fillId="70" borderId="249">
      <alignment horizontal="right" vertical="center"/>
      <protection locked="0"/>
    </xf>
    <xf numFmtId="186" fontId="56" fillId="21" borderId="244" applyNumberFormat="0" applyProtection="0">
      <alignment horizontal="left" vertical="top" indent="1"/>
    </xf>
    <xf numFmtId="193"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62" fillId="48" borderId="261" applyNumberFormat="0" applyProtection="0">
      <alignment horizontal="left" vertical="top" indent="1"/>
    </xf>
    <xf numFmtId="4" fontId="56" fillId="14" borderId="257" applyNumberFormat="0" applyProtection="0">
      <alignment horizontal="left" vertical="center" indent="1"/>
    </xf>
    <xf numFmtId="186" fontId="56" fillId="40" borderId="242" applyNumberFormat="0" applyFont="0" applyAlignment="0" applyProtection="0"/>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28" fillId="49" borderId="249">
      <alignment vertical="center"/>
    </xf>
    <xf numFmtId="186" fontId="50" fillId="41" borderId="242" applyNumberFormat="0" applyAlignment="0" applyProtection="0"/>
    <xf numFmtId="4" fontId="56" fillId="19" borderId="242" applyNumberFormat="0" applyProtection="0">
      <alignment horizontal="right" vertical="center"/>
    </xf>
    <xf numFmtId="0" fontId="5" fillId="70" borderId="249">
      <alignment horizontal="right" vertical="center"/>
      <protection locked="0"/>
    </xf>
    <xf numFmtId="186" fontId="61" fillId="21" borderId="246" applyBorder="0"/>
    <xf numFmtId="191" fontId="28" fillId="50" borderId="259">
      <alignment vertical="center"/>
    </xf>
    <xf numFmtId="186" fontId="57" fillId="44" borderId="264" applyNumberFormat="0" applyAlignment="0" applyProtection="0"/>
    <xf numFmtId="172" fontId="28" fillId="12" borderId="249">
      <alignment vertical="center"/>
      <protection locked="0"/>
    </xf>
    <xf numFmtId="186" fontId="56" fillId="14" borderId="244" applyNumberFormat="0" applyProtection="0">
      <alignment horizontal="left" vertical="top" indent="1"/>
    </xf>
    <xf numFmtId="191" fontId="28" fillId="51" borderId="259">
      <alignment horizontal="right" vertical="center"/>
      <protection locked="0"/>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27" fillId="14" borderId="252"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7" fillId="44" borderId="254" applyNumberFormat="0" applyAlignment="0" applyProtection="0"/>
    <xf numFmtId="191" fontId="28" fillId="50" borderId="8">
      <alignment vertical="center"/>
    </xf>
    <xf numFmtId="4" fontId="59" fillId="53" borderId="263" applyNumberFormat="0" applyProtection="0">
      <alignment vertical="center"/>
    </xf>
    <xf numFmtId="191" fontId="5" fillId="7" borderId="259">
      <alignment vertical="center"/>
      <protection locked="0"/>
    </xf>
    <xf numFmtId="191" fontId="28" fillId="50" borderId="259">
      <alignment vertical="center"/>
    </xf>
    <xf numFmtId="186" fontId="56" fillId="15"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1" borderId="261" applyNumberFormat="0" applyProtection="0">
      <alignment horizontal="left" vertical="top" indent="1"/>
    </xf>
    <xf numFmtId="186" fontId="56" fillId="14" borderId="261"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91" fontId="28" fillId="50" borderId="269">
      <alignment vertical="center"/>
    </xf>
    <xf numFmtId="186" fontId="56" fillId="40" borderId="263" applyNumberFormat="0" applyFont="0" applyAlignment="0" applyProtection="0"/>
    <xf numFmtId="186" fontId="56" fillId="63" borderId="244" applyNumberFormat="0" applyProtection="0">
      <alignment horizontal="left" vertical="top" indent="1"/>
    </xf>
    <xf numFmtId="4" fontId="56" fillId="52" borderId="253" applyNumberFormat="0" applyProtection="0">
      <alignment vertical="center"/>
    </xf>
    <xf numFmtId="0" fontId="27" fillId="21" borderId="252" applyNumberFormat="0" applyProtection="0">
      <alignment horizontal="left" vertical="center" indent="1"/>
    </xf>
    <xf numFmtId="186" fontId="56" fillId="40" borderId="263" applyNumberFormat="0" applyFont="0" applyAlignment="0" applyProtection="0"/>
    <xf numFmtId="4" fontId="56" fillId="52" borderId="253" applyNumberFormat="0" applyProtection="0">
      <alignment vertical="center"/>
    </xf>
    <xf numFmtId="4" fontId="56" fillId="58" borderId="242" applyNumberFormat="0" applyProtection="0">
      <alignment horizontal="right" vertical="center"/>
    </xf>
    <xf numFmtId="186" fontId="56" fillId="15" borderId="252" applyNumberFormat="0" applyProtection="0">
      <alignment horizontal="left" vertical="top" indent="1"/>
    </xf>
    <xf numFmtId="4" fontId="56" fillId="55" borderId="253" applyNumberFormat="0" applyProtection="0">
      <alignment horizontal="right" vertical="center"/>
    </xf>
    <xf numFmtId="4" fontId="56" fillId="61" borderId="257"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186" fontId="56" fillId="14" borderId="242" applyNumberFormat="0" applyProtection="0">
      <alignment horizontal="left" vertical="center" indent="1"/>
    </xf>
    <xf numFmtId="188" fontId="5" fillId="70" borderId="249">
      <alignment horizontal="right" vertical="center"/>
      <protection locked="0"/>
    </xf>
    <xf numFmtId="186" fontId="56" fillId="15" borderId="261" applyNumberFormat="0" applyProtection="0">
      <alignment horizontal="left" vertical="top" indent="1"/>
    </xf>
    <xf numFmtId="4" fontId="72" fillId="49" borderId="252"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7" fillId="44" borderId="254" applyNumberFormat="0" applyAlignment="0" applyProtection="0"/>
    <xf numFmtId="0" fontId="5" fillId="13" borderId="259">
      <alignment vertical="center"/>
    </xf>
    <xf numFmtId="186" fontId="56" fillId="63" borderId="252" applyNumberFormat="0" applyProtection="0">
      <alignment horizontal="left" vertical="top" indent="1"/>
    </xf>
    <xf numFmtId="186" fontId="56" fillId="11" borderId="263" applyNumberFormat="0" applyProtection="0">
      <alignment horizontal="left" vertical="center" indent="1"/>
    </xf>
    <xf numFmtId="186" fontId="61" fillId="21" borderId="255" applyBorder="0"/>
    <xf numFmtId="186" fontId="56" fillId="40" borderId="253" applyNumberFormat="0" applyFont="0" applyAlignment="0" applyProtection="0"/>
    <xf numFmtId="4" fontId="56" fillId="61" borderId="267" applyNumberFormat="0" applyProtection="0">
      <alignment horizontal="left" vertical="center" indent="1"/>
    </xf>
    <xf numFmtId="4" fontId="56" fillId="55" borderId="253" applyNumberFormat="0" applyProtection="0">
      <alignment horizontal="right" vertical="center"/>
    </xf>
    <xf numFmtId="4" fontId="62" fillId="48" borderId="261" applyNumberFormat="0" applyProtection="0">
      <alignment vertical="center"/>
    </xf>
    <xf numFmtId="186" fontId="27" fillId="21" borderId="252" applyNumberFormat="0" applyProtection="0">
      <alignment horizontal="left" vertical="top" indent="1"/>
    </xf>
    <xf numFmtId="186" fontId="28" fillId="12" borderId="259">
      <alignmen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4" fontId="59" fillId="53" borderId="263" applyNumberFormat="0" applyProtection="0">
      <alignment vertical="center"/>
    </xf>
    <xf numFmtId="4" fontId="56" fillId="54" borderId="253" applyNumberFormat="0" applyProtection="0">
      <alignment horizontal="left" vertical="center" indent="1"/>
    </xf>
    <xf numFmtId="186" fontId="62" fillId="48" borderId="252"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72" fillId="87" borderId="252" applyNumberFormat="0" applyProtection="0">
      <alignment horizontal="right" vertical="center"/>
    </xf>
    <xf numFmtId="191" fontId="5" fillId="7" borderId="8">
      <alignment vertical="center"/>
      <protection locked="0"/>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2" borderId="253" applyNumberFormat="0" applyProtection="0">
      <alignment vertical="center"/>
    </xf>
    <xf numFmtId="4" fontId="62" fillId="11" borderId="252" applyNumberFormat="0" applyProtection="0">
      <alignment horizontal="left" vertical="center" indent="1"/>
    </xf>
    <xf numFmtId="186" fontId="27" fillId="63" borderId="252" applyNumberFormat="0" applyProtection="0">
      <alignment horizontal="left" vertical="center"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44" fillId="0" borderId="258" applyNumberFormat="0" applyFill="0" applyAlignment="0" applyProtection="0"/>
    <xf numFmtId="0" fontId="27" fillId="21" borderId="252" applyNumberFormat="0" applyProtection="0">
      <alignment horizontal="left" vertical="center" indent="1"/>
    </xf>
    <xf numFmtId="193"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91" fontId="28" fillId="51" borderId="8">
      <alignment horizontal="right" vertical="center"/>
      <protection locked="0"/>
    </xf>
    <xf numFmtId="186" fontId="62" fillId="48" borderId="244" applyNumberFormat="0" applyProtection="0">
      <alignment horizontal="left" vertical="top" indent="1"/>
    </xf>
    <xf numFmtId="4" fontId="56" fillId="59" borderId="242" applyNumberFormat="0" applyProtection="0">
      <alignment horizontal="right" vertical="center"/>
    </xf>
    <xf numFmtId="186" fontId="56" fillId="11" borderId="242" applyNumberFormat="0" applyProtection="0">
      <alignment horizontal="left" vertical="center" indent="1"/>
    </xf>
    <xf numFmtId="186" fontId="42" fillId="44" borderId="242" applyNumberForma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7" borderId="245" applyNumberFormat="0" applyProtection="0">
      <alignment horizontal="right" vertical="center"/>
    </xf>
    <xf numFmtId="186" fontId="50" fillId="41" borderId="242" applyNumberFormat="0" applyAlignment="0" applyProtection="0"/>
    <xf numFmtId="186" fontId="50" fillId="41" borderId="253" applyNumberFormat="0" applyAlignment="0" applyProtection="0"/>
    <xf numFmtId="4" fontId="62" fillId="48" borderId="244" applyNumberFormat="0" applyProtection="0">
      <alignment vertical="center"/>
    </xf>
    <xf numFmtId="4" fontId="56" fillId="16" borderId="242" applyNumberFormat="0" applyProtection="0">
      <alignment horizontal="right" vertical="center"/>
    </xf>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56" fillId="15" borderId="245" applyNumberFormat="0" applyProtection="0">
      <alignment horizontal="left" vertical="center" indent="1"/>
    </xf>
    <xf numFmtId="4" fontId="56" fillId="55" borderId="253" applyNumberFormat="0" applyProtection="0">
      <alignment horizontal="right" vertical="center"/>
    </xf>
    <xf numFmtId="4" fontId="56" fillId="0" borderId="253" applyNumberFormat="0" applyProtection="0">
      <alignment horizontal="right" vertical="center"/>
    </xf>
    <xf numFmtId="186" fontId="56" fillId="63" borderId="244" applyNumberFormat="0" applyProtection="0">
      <alignment horizontal="left" vertical="top" indent="1"/>
    </xf>
    <xf numFmtId="4" fontId="72" fillId="86" borderId="244" applyNumberFormat="0" applyProtection="0">
      <alignment horizontal="right" vertical="center"/>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4" fontId="56" fillId="15" borderId="245" applyNumberFormat="0" applyProtection="0">
      <alignment horizontal="left" vertical="center" indent="1"/>
    </xf>
    <xf numFmtId="190" fontId="28" fillId="49" borderId="249">
      <alignment vertical="center"/>
    </xf>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5" borderId="252" applyNumberFormat="0" applyProtection="0">
      <alignment horizontal="left" vertical="center" indent="1"/>
    </xf>
    <xf numFmtId="4" fontId="56" fillId="23" borderId="242" applyNumberFormat="0" applyProtection="0">
      <alignment horizontal="right" vertical="center"/>
    </xf>
    <xf numFmtId="186" fontId="56" fillId="40" borderId="242" applyNumberFormat="0" applyFont="0" applyAlignment="0" applyProtection="0"/>
    <xf numFmtId="188" fontId="5" fillId="7" borderId="249">
      <alignment vertical="center"/>
      <protection locked="0"/>
    </xf>
    <xf numFmtId="4" fontId="56" fillId="23" borderId="242" applyNumberFormat="0" applyProtection="0">
      <alignment horizontal="right" vertical="center"/>
    </xf>
    <xf numFmtId="186" fontId="56" fillId="63" borderId="261" applyNumberFormat="0" applyProtection="0">
      <alignment horizontal="left" vertical="top" indent="1"/>
    </xf>
    <xf numFmtId="188" fontId="28" fillId="50" borderId="259">
      <alignment vertical="center"/>
    </xf>
    <xf numFmtId="186" fontId="56" fillId="21" borderId="261" applyNumberFormat="0" applyProtection="0">
      <alignment horizontal="left" vertical="top" indent="1"/>
    </xf>
    <xf numFmtId="4" fontId="56" fillId="54" borderId="253" applyNumberFormat="0" applyProtection="0">
      <alignment horizontal="left" vertical="center" indent="1"/>
    </xf>
    <xf numFmtId="4" fontId="56" fillId="15" borderId="242" applyNumberFormat="0" applyProtection="0">
      <alignment horizontal="right" vertical="center"/>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91" fontId="5" fillId="13" borderId="249">
      <alignment vertical="center"/>
    </xf>
    <xf numFmtId="4" fontId="76" fillId="87" borderId="244" applyNumberFormat="0" applyProtection="0">
      <alignment horizontal="right" vertical="center"/>
    </xf>
    <xf numFmtId="186" fontId="56" fillId="15"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23"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44" applyNumberFormat="0" applyProtection="0">
      <alignment horizontal="left" vertical="top" indent="1"/>
    </xf>
    <xf numFmtId="193" fontId="5" fillId="69" borderId="249">
      <alignment vertical="center"/>
    </xf>
    <xf numFmtId="4" fontId="56" fillId="56" borderId="253" applyNumberFormat="0" applyProtection="0">
      <alignment horizontal="right" vertical="center"/>
    </xf>
    <xf numFmtId="186" fontId="56" fillId="63" borderId="261" applyNumberFormat="0" applyProtection="0">
      <alignment horizontal="left" vertical="top" indent="1"/>
    </xf>
    <xf numFmtId="4" fontId="56" fillId="53" borderId="253" applyNumberFormat="0" applyProtection="0">
      <alignment horizontal="left" vertical="center" indent="1"/>
    </xf>
    <xf numFmtId="4" fontId="72" fillId="81" borderId="261" applyNumberFormat="0" applyProtection="0">
      <alignment horizontal="right" vertical="center"/>
    </xf>
    <xf numFmtId="4" fontId="56" fillId="15" borderId="257" applyNumberFormat="0" applyProtection="0">
      <alignment horizontal="left" vertical="center" indent="1"/>
    </xf>
    <xf numFmtId="4" fontId="56" fillId="57" borderId="257" applyNumberFormat="0" applyProtection="0">
      <alignment horizontal="right" vertical="center"/>
    </xf>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86" fontId="27" fillId="63" borderId="252" applyNumberFormat="0" applyProtection="0">
      <alignment horizontal="left" vertical="top" indent="1"/>
    </xf>
    <xf numFmtId="191" fontId="28" fillId="12"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7" fillId="44" borderId="264" applyNumberFormat="0" applyAlignment="0" applyProtection="0"/>
    <xf numFmtId="186" fontId="27" fillId="63" borderId="261" applyNumberFormat="0" applyProtection="0">
      <alignment horizontal="left" vertical="top" indent="1"/>
    </xf>
    <xf numFmtId="4" fontId="56" fillId="61" borderId="267"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21" borderId="252" applyNumberFormat="0" applyProtection="0">
      <alignment horizontal="left" vertical="top" indent="1"/>
    </xf>
    <xf numFmtId="186" fontId="56" fillId="40" borderId="242"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28" fillId="12" borderId="259">
      <alignment vertical="center"/>
      <protection locked="0"/>
    </xf>
    <xf numFmtId="191" fontId="28" fillId="51" borderId="259">
      <alignment horizontal="right" vertical="center"/>
      <protection locked="0"/>
    </xf>
    <xf numFmtId="186" fontId="56" fillId="40" borderId="242" applyNumberFormat="0" applyFont="0" applyAlignment="0" applyProtection="0"/>
    <xf numFmtId="4" fontId="56" fillId="23" borderId="263" applyNumberFormat="0" applyProtection="0">
      <alignment horizontal="right" vertical="center"/>
    </xf>
    <xf numFmtId="188" fontId="28" fillId="51" borderId="269">
      <alignment horizontal="right" vertical="center"/>
      <protection locked="0"/>
    </xf>
    <xf numFmtId="4" fontId="56" fillId="0" borderId="263" applyNumberFormat="0" applyProtection="0">
      <alignment horizontal="right" vertical="center"/>
    </xf>
    <xf numFmtId="186" fontId="28" fillId="49" borderId="259">
      <alignment vertical="center"/>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28" fillId="51" borderId="8">
      <alignment horizontal="right" vertical="center"/>
      <protection locked="0"/>
    </xf>
    <xf numFmtId="186" fontId="61" fillId="21" borderId="265" applyBorder="0"/>
    <xf numFmtId="186" fontId="27" fillId="14" borderId="252" applyNumberFormat="0" applyProtection="0">
      <alignment horizontal="left" vertical="top" indent="1"/>
    </xf>
    <xf numFmtId="4" fontId="62" fillId="48" borderId="261"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4" fontId="56" fillId="15"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53" applyNumberFormat="0" applyFont="0" applyAlignment="0" applyProtection="0"/>
    <xf numFmtId="186" fontId="56" fillId="40" borderId="263" applyNumberFormat="0" applyFont="0" applyAlignment="0" applyProtection="0"/>
    <xf numFmtId="193" fontId="28" fillId="50" borderId="259">
      <alignment vertical="center"/>
    </xf>
    <xf numFmtId="186" fontId="57" fillId="44" borderId="264" applyNumberFormat="0" applyAlignment="0" applyProtection="0"/>
    <xf numFmtId="186" fontId="50" fillId="41" borderId="253" applyNumberForma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72" fontId="28" fillId="12" borderId="259">
      <alignment vertical="center"/>
      <protection locked="0"/>
    </xf>
    <xf numFmtId="186" fontId="56" fillId="40" borderId="242" applyNumberFormat="0" applyFont="0" applyAlignment="0" applyProtection="0"/>
    <xf numFmtId="188" fontId="28" fillId="50" borderId="259">
      <alignment vertical="center"/>
    </xf>
    <xf numFmtId="186" fontId="27" fillId="63" borderId="244" applyNumberFormat="0" applyProtection="0">
      <alignment horizontal="left" vertical="center" indent="1"/>
    </xf>
    <xf numFmtId="186" fontId="56" fillId="21" borderId="252" applyNumberFormat="0" applyProtection="0">
      <alignment horizontal="left" vertical="top" indent="1"/>
    </xf>
    <xf numFmtId="190" fontId="28" fillId="50" borderId="269">
      <alignment vertical="center"/>
    </xf>
    <xf numFmtId="186" fontId="27" fillId="21" borderId="252"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4" fontId="56" fillId="15"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4" fontId="59" fillId="53" borderId="253"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4" fontId="75" fillId="88" borderId="251" applyNumberFormat="0" applyProtection="0">
      <alignment horizontal="left" vertical="center" indent="1"/>
    </xf>
    <xf numFmtId="4" fontId="62" fillId="11" borderId="244" applyNumberFormat="0" applyProtection="0">
      <alignment horizontal="left" vertical="center" indent="1"/>
    </xf>
    <xf numFmtId="191" fontId="5" fillId="13" borderId="249">
      <alignment vertical="center"/>
    </xf>
    <xf numFmtId="186" fontId="60" fillId="52"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91" fontId="28" fillId="12" borderId="249">
      <alignment vertical="center"/>
      <protection locked="0"/>
    </xf>
    <xf numFmtId="186" fontId="56" fillId="40" borderId="253" applyNumberFormat="0" applyFont="0" applyAlignment="0" applyProtection="0"/>
    <xf numFmtId="0" fontId="5" fillId="13" borderId="249">
      <alignment vertical="center"/>
    </xf>
    <xf numFmtId="186" fontId="56" fillId="63" borderId="244" applyNumberFormat="0" applyProtection="0">
      <alignment horizontal="left" vertical="top" indent="1"/>
    </xf>
    <xf numFmtId="186" fontId="62" fillId="48" borderId="244" applyNumberFormat="0" applyProtection="0">
      <alignment horizontal="left" vertical="top" indent="1"/>
    </xf>
    <xf numFmtId="186" fontId="56" fillId="15" borderId="261" applyNumberFormat="0" applyProtection="0">
      <alignment horizontal="left" vertical="top" indent="1"/>
    </xf>
    <xf numFmtId="186" fontId="60" fillId="52" borderId="252" applyNumberFormat="0" applyProtection="0">
      <alignment horizontal="left" vertical="top" indent="1"/>
    </xf>
    <xf numFmtId="4" fontId="56" fillId="19" borderId="263" applyNumberFormat="0" applyProtection="0">
      <alignment horizontal="right" vertical="center"/>
    </xf>
    <xf numFmtId="186" fontId="27" fillId="63" borderId="261" applyNumberFormat="0" applyProtection="0">
      <alignment horizontal="left" vertical="center" indent="1"/>
    </xf>
    <xf numFmtId="0" fontId="27" fillId="21" borderId="261" applyNumberFormat="0" applyProtection="0">
      <alignment horizontal="left" vertical="center"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62" borderId="263" applyNumberFormat="0" applyProtection="0">
      <alignment horizontal="left" vertical="center" indent="1"/>
    </xf>
    <xf numFmtId="186" fontId="56" fillId="11" borderId="253" applyNumberFormat="0" applyProtection="0">
      <alignment horizontal="left" vertical="center" indent="1"/>
    </xf>
    <xf numFmtId="190" fontId="28" fillId="50" borderId="249">
      <alignment vertical="center"/>
    </xf>
    <xf numFmtId="186" fontId="56" fillId="40" borderId="263" applyNumberFormat="0" applyFont="0" applyAlignment="0" applyProtection="0"/>
    <xf numFmtId="188" fontId="5" fillId="13" borderId="8">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21" borderId="252" applyNumberFormat="0" applyProtection="0">
      <alignment horizontal="left" vertical="top" indent="1"/>
    </xf>
    <xf numFmtId="4" fontId="56" fillId="14" borderId="267" applyNumberFormat="0" applyProtection="0">
      <alignment horizontal="left" vertical="center" indent="1"/>
    </xf>
    <xf numFmtId="186" fontId="56" fillId="14" borderId="261" applyNumberFormat="0" applyProtection="0">
      <alignment horizontal="left" vertical="top" indent="1"/>
    </xf>
    <xf numFmtId="4" fontId="72" fillId="80" borderId="252" applyNumberFormat="0" applyProtection="0">
      <alignment horizontal="right" vertical="center"/>
    </xf>
    <xf numFmtId="193" fontId="5" fillId="69" borderId="259">
      <alignment vertical="center"/>
    </xf>
    <xf numFmtId="186" fontId="56" fillId="63" borderId="252" applyNumberFormat="0" applyProtection="0">
      <alignment horizontal="left" vertical="top" indent="1"/>
    </xf>
    <xf numFmtId="186" fontId="50" fillId="41" borderId="263" applyNumberFormat="0" applyAlignment="0" applyProtection="0"/>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40" borderId="253" applyNumberFormat="0" applyFont="0" applyAlignment="0" applyProtection="0"/>
    <xf numFmtId="186" fontId="57" fillId="44" borderId="243" applyNumberFormat="0" applyAlignment="0" applyProtection="0"/>
    <xf numFmtId="190" fontId="28" fillId="51" borderId="249">
      <alignment horizontal="right" vertical="center"/>
      <protection locked="0"/>
    </xf>
    <xf numFmtId="186" fontId="28" fillId="50" borderId="259">
      <alignment vertical="center"/>
    </xf>
    <xf numFmtId="193" fontId="5" fillId="7" borderId="8">
      <alignment vertical="center"/>
      <protection locked="0"/>
    </xf>
    <xf numFmtId="186" fontId="56" fillId="63" borderId="252" applyNumberFormat="0" applyProtection="0">
      <alignment horizontal="left" vertical="top" indent="1"/>
    </xf>
    <xf numFmtId="190" fontId="28" fillId="50" borderId="249">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8" fontId="28" fillId="51" borderId="8">
      <alignment horizontal="right" vertical="center"/>
      <protection locked="0"/>
    </xf>
    <xf numFmtId="186" fontId="27" fillId="21" borderId="261"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56" fillId="52" borderId="242" applyNumberFormat="0" applyProtection="0">
      <alignment vertical="center"/>
    </xf>
    <xf numFmtId="186" fontId="44" fillId="0" borderId="258" applyNumberFormat="0" applyFill="0" applyAlignment="0" applyProtection="0"/>
    <xf numFmtId="4" fontId="56" fillId="19" borderId="253" applyNumberFormat="0" applyProtection="0">
      <alignment horizontal="right" vertical="center"/>
    </xf>
    <xf numFmtId="186" fontId="56" fillId="15" borderId="244" applyNumberFormat="0" applyProtection="0">
      <alignment horizontal="left" vertical="top" indent="1"/>
    </xf>
    <xf numFmtId="4" fontId="72" fillId="78" borderId="244" applyNumberFormat="0" applyProtection="0">
      <alignment horizontal="right" vertical="center"/>
    </xf>
    <xf numFmtId="193" fontId="5" fillId="7" borderId="249">
      <alignment vertical="center"/>
      <protection locked="0"/>
    </xf>
    <xf numFmtId="186" fontId="56" fillId="15" borderId="244" applyNumberFormat="0" applyProtection="0">
      <alignment horizontal="left" vertical="top" indent="1"/>
    </xf>
    <xf numFmtId="186" fontId="44" fillId="0" borderId="258" applyNumberFormat="0" applyFill="0" applyAlignment="0" applyProtection="0"/>
    <xf numFmtId="193" fontId="28" fillId="50" borderId="8">
      <alignment vertical="center"/>
    </xf>
    <xf numFmtId="186" fontId="56" fillId="40" borderId="242" applyNumberFormat="0" applyFont="0" applyAlignment="0" applyProtection="0"/>
    <xf numFmtId="186" fontId="56" fillId="63" borderId="244" applyNumberFormat="0" applyProtection="0">
      <alignment horizontal="left" vertical="top" indent="1"/>
    </xf>
    <xf numFmtId="186" fontId="56" fillId="21" borderId="252" applyNumberFormat="0" applyProtection="0">
      <alignment horizontal="left" vertical="top" indent="1"/>
    </xf>
    <xf numFmtId="190" fontId="5" fillId="69" borderId="249">
      <alignment vertical="center"/>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28" fillId="50" borderId="259">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4" fontId="70" fillId="86" borderId="262" applyNumberFormat="0" applyProtection="0">
      <alignment horizontal="left" vertical="center" indent="1"/>
    </xf>
    <xf numFmtId="186" fontId="50" fillId="41" borderId="263" applyNumberFormat="0" applyAlignment="0" applyProtection="0"/>
    <xf numFmtId="37" fontId="33" fillId="0" borderId="266" applyNumberFormat="0"/>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37" fontId="33" fillId="0" borderId="247" applyNumberFormat="0"/>
    <xf numFmtId="186" fontId="56" fillId="21" borderId="261" applyNumberFormat="0" applyProtection="0">
      <alignment horizontal="left" vertical="top" indent="1"/>
    </xf>
    <xf numFmtId="186" fontId="56" fillId="14" borderId="253" applyNumberFormat="0" applyProtection="0">
      <alignment horizontal="left" vertical="center" indent="1"/>
    </xf>
    <xf numFmtId="186" fontId="27" fillId="63" borderId="252" applyNumberFormat="0" applyProtection="0">
      <alignment horizontal="left" vertical="center" indent="1"/>
    </xf>
    <xf numFmtId="4" fontId="56" fillId="14" borderId="267" applyNumberFormat="0" applyProtection="0">
      <alignment horizontal="left" vertical="center" indent="1"/>
    </xf>
    <xf numFmtId="186" fontId="27" fillId="14" borderId="252" applyNumberFormat="0" applyProtection="0">
      <alignment horizontal="left" vertical="center" indent="1"/>
    </xf>
    <xf numFmtId="186" fontId="56" fillId="63" borderId="252" applyNumberFormat="0" applyProtection="0">
      <alignment horizontal="left" vertical="top" indent="1"/>
    </xf>
    <xf numFmtId="4" fontId="74" fillId="87" borderId="261" applyNumberFormat="0" applyProtection="0">
      <alignment vertical="center"/>
    </xf>
    <xf numFmtId="4" fontId="56" fillId="15" borderId="257" applyNumberFormat="0" applyProtection="0">
      <alignment horizontal="left" vertical="center" indent="1"/>
    </xf>
    <xf numFmtId="4" fontId="56" fillId="16" borderId="263" applyNumberFormat="0" applyProtection="0">
      <alignment horizontal="right" vertical="center"/>
    </xf>
    <xf numFmtId="186" fontId="56" fillId="21" borderId="252" applyNumberFormat="0" applyProtection="0">
      <alignment horizontal="left" vertical="top" indent="1"/>
    </xf>
    <xf numFmtId="186" fontId="50" fillId="41" borderId="253" applyNumberFormat="0" applyAlignment="0" applyProtection="0"/>
    <xf numFmtId="186" fontId="56" fillId="15" borderId="252" applyNumberFormat="0" applyProtection="0">
      <alignment horizontal="left" vertical="top" indent="1"/>
    </xf>
    <xf numFmtId="186" fontId="50" fillId="41" borderId="263" applyNumberFormat="0" applyAlignment="0" applyProtection="0"/>
    <xf numFmtId="193" fontId="5" fillId="7" borderId="249">
      <alignment vertical="center"/>
      <protection locked="0"/>
    </xf>
    <xf numFmtId="186" fontId="56" fillId="40" borderId="242" applyNumberFormat="0" applyFont="0" applyAlignment="0" applyProtection="0"/>
    <xf numFmtId="188" fontId="28" fillId="50"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91" fontId="28" fillId="50" borderId="259">
      <alignment vertical="center"/>
    </xf>
    <xf numFmtId="191" fontId="28" fillId="49" borderId="259">
      <alignment vertical="center"/>
    </xf>
    <xf numFmtId="186" fontId="56" fillId="21" borderId="261" applyNumberFormat="0" applyProtection="0">
      <alignment horizontal="left" vertical="top" indent="1"/>
    </xf>
    <xf numFmtId="0" fontId="5" fillId="69" borderId="259">
      <alignment vertical="center"/>
    </xf>
    <xf numFmtId="191" fontId="28" fillId="50" borderId="269">
      <alignment vertical="center"/>
    </xf>
    <xf numFmtId="186" fontId="28" fillId="50" borderId="259">
      <alignment vertical="center"/>
    </xf>
    <xf numFmtId="191" fontId="5" fillId="70" borderId="259">
      <alignment horizontal="right" vertical="center"/>
      <protection locked="0"/>
    </xf>
    <xf numFmtId="190" fontId="28" fillId="49" borderId="259">
      <alignment vertical="center"/>
    </xf>
    <xf numFmtId="186" fontId="27" fillId="63" borderId="252" applyNumberFormat="0" applyProtection="0">
      <alignment horizontal="left" vertical="top" indent="1"/>
    </xf>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63" fillId="66" borderId="257" applyNumberFormat="0" applyProtection="0">
      <alignment horizontal="left" vertical="center" indent="1"/>
    </xf>
    <xf numFmtId="4" fontId="56" fillId="59" borderId="253" applyNumberFormat="0" applyProtection="0">
      <alignment horizontal="right" vertical="center"/>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4" fontId="56" fillId="60" borderId="263" applyNumberFormat="0" applyProtection="0">
      <alignment horizontal="right" vertical="center"/>
    </xf>
    <xf numFmtId="188" fontId="28" fillId="50" borderId="259">
      <alignment vertical="center"/>
    </xf>
    <xf numFmtId="4" fontId="56" fillId="0" borderId="242" applyNumberFormat="0" applyProtection="0">
      <alignment horizontal="right" vertical="center"/>
    </xf>
    <xf numFmtId="186" fontId="56" fillId="14" borderId="252" applyNumberFormat="0" applyProtection="0">
      <alignment horizontal="left" vertical="top" indent="1"/>
    </xf>
    <xf numFmtId="186" fontId="42" fillId="44" borderId="253" applyNumberFormat="0" applyAlignment="0" applyProtection="0"/>
    <xf numFmtId="186" fontId="56" fillId="62" borderId="253" applyNumberFormat="0" applyProtection="0">
      <alignment horizontal="left" vertical="center" indent="1"/>
    </xf>
    <xf numFmtId="186" fontId="56" fillId="21" borderId="244"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57" borderId="267" applyNumberFormat="0" applyProtection="0">
      <alignment horizontal="right" vertical="center"/>
    </xf>
    <xf numFmtId="4" fontId="56" fillId="53" borderId="263" applyNumberFormat="0" applyProtection="0">
      <alignment horizontal="left" vertical="center" indent="1"/>
    </xf>
    <xf numFmtId="186" fontId="56" fillId="63" borderId="261" applyNumberFormat="0" applyProtection="0">
      <alignment horizontal="left" vertical="top" indent="1"/>
    </xf>
    <xf numFmtId="0" fontId="5" fillId="7" borderId="8">
      <alignment vertical="center"/>
      <protection locked="0"/>
    </xf>
    <xf numFmtId="4" fontId="56" fillId="19" borderId="253" applyNumberFormat="0" applyProtection="0">
      <alignment horizontal="right" vertical="center"/>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57" borderId="257" applyNumberFormat="0" applyProtection="0">
      <alignment horizontal="right" vertical="center"/>
    </xf>
    <xf numFmtId="4" fontId="72" fillId="50" borderId="252" applyNumberFormat="0" applyProtection="0">
      <alignment horizontal="right" vertical="center"/>
    </xf>
    <xf numFmtId="186" fontId="42" fillId="44" borderId="263" applyNumberFormat="0" applyAlignment="0" applyProtection="0"/>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2" fillId="87" borderId="261" applyNumberFormat="0" applyProtection="0">
      <alignment horizontal="right" vertical="center"/>
    </xf>
    <xf numFmtId="186" fontId="56" fillId="15" borderId="261" applyNumberFormat="0" applyProtection="0">
      <alignment horizontal="left" vertical="top" indent="1"/>
    </xf>
    <xf numFmtId="4" fontId="64" fillId="64" borderId="253" applyNumberFormat="0" applyProtection="0">
      <alignment horizontal="right" vertical="center"/>
    </xf>
    <xf numFmtId="4" fontId="56" fillId="56" borderId="25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4" fontId="56" fillId="57" borderId="245" applyNumberFormat="0" applyProtection="0">
      <alignment horizontal="right" vertical="center"/>
    </xf>
    <xf numFmtId="186" fontId="44" fillId="0" borderId="258" applyNumberFormat="0" applyFill="0" applyAlignment="0" applyProtection="0"/>
    <xf numFmtId="186" fontId="27" fillId="63" borderId="244" applyNumberFormat="0" applyProtection="0">
      <alignment horizontal="left" vertical="center" indent="1"/>
    </xf>
    <xf numFmtId="186" fontId="56" fillId="21" borderId="252" applyNumberFormat="0" applyProtection="0">
      <alignment horizontal="left" vertical="top" indent="1"/>
    </xf>
    <xf numFmtId="4" fontId="56" fillId="15" borderId="267" applyNumberFormat="0" applyProtection="0">
      <alignment horizontal="left" vertical="center" indent="1"/>
    </xf>
    <xf numFmtId="4" fontId="72" fillId="50" borderId="252" applyNumberFormat="0" applyProtection="0">
      <alignment horizontal="right" vertical="center"/>
    </xf>
    <xf numFmtId="186" fontId="56" fillId="14" borderId="253" applyNumberFormat="0" applyProtection="0">
      <alignment horizontal="left" vertical="center" indent="1"/>
    </xf>
    <xf numFmtId="186" fontId="56" fillId="14" borderId="263" applyNumberFormat="0" applyProtection="0">
      <alignment horizontal="left" vertical="center" indent="1"/>
    </xf>
    <xf numFmtId="193" fontId="28" fillId="50" borderId="249">
      <alignment vertical="center"/>
    </xf>
    <xf numFmtId="186" fontId="27" fillId="14" borderId="252" applyNumberFormat="0" applyProtection="0">
      <alignment horizontal="left" vertical="center" indent="1"/>
    </xf>
    <xf numFmtId="190" fontId="28" fillId="49" borderId="8">
      <alignment vertical="center"/>
    </xf>
    <xf numFmtId="186" fontId="56" fillId="15" borderId="261" applyNumberFormat="0" applyProtection="0">
      <alignment horizontal="left" vertical="top" indent="1"/>
    </xf>
    <xf numFmtId="191" fontId="28" fillId="12" borderId="249">
      <alignment vertical="center"/>
      <protection locked="0"/>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44" fillId="0" borderId="248" applyNumberFormat="0" applyFill="0" applyAlignment="0" applyProtection="0"/>
    <xf numFmtId="190" fontId="5" fillId="69" borderId="249">
      <alignment vertical="center"/>
    </xf>
    <xf numFmtId="186" fontId="56" fillId="21" borderId="252" applyNumberFormat="0" applyProtection="0">
      <alignment horizontal="left" vertical="top" indent="1"/>
    </xf>
    <xf numFmtId="186" fontId="27" fillId="21" borderId="252" applyNumberFormat="0" applyProtection="0">
      <alignment horizontal="left" vertical="top" indent="1"/>
    </xf>
    <xf numFmtId="191" fontId="5" fillId="70" borderId="249">
      <alignment horizontal="right" vertical="center"/>
      <protection locked="0"/>
    </xf>
    <xf numFmtId="186" fontId="27" fillId="21" borderId="252" applyNumberFormat="0" applyProtection="0">
      <alignment horizontal="left" vertical="top" indent="1"/>
    </xf>
    <xf numFmtId="4" fontId="56" fillId="58" borderId="242" applyNumberFormat="0" applyProtection="0">
      <alignment horizontal="right" vertical="center"/>
    </xf>
    <xf numFmtId="186" fontId="56" fillId="15" borderId="261" applyNumberFormat="0" applyProtection="0">
      <alignment horizontal="left" vertical="top" indent="1"/>
    </xf>
    <xf numFmtId="191" fontId="28" fillId="12" borderId="8">
      <alignment vertical="center"/>
      <protection locked="0"/>
    </xf>
    <xf numFmtId="186" fontId="57" fillId="44" borderId="254" applyNumberFormat="0" applyAlignment="0" applyProtection="0"/>
    <xf numFmtId="4" fontId="56" fillId="53" borderId="253"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3" applyNumberFormat="0" applyFont="0" applyAlignment="0" applyProtection="0"/>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59" fillId="12" borderId="8" applyNumberFormat="0" applyProtection="0">
      <alignment vertical="center"/>
    </xf>
    <xf numFmtId="186" fontId="56" fillId="14" borderId="252" applyNumberFormat="0" applyProtection="0">
      <alignment horizontal="left" vertical="top" indent="1"/>
    </xf>
    <xf numFmtId="4" fontId="27" fillId="2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4" fillId="87" borderId="252" applyNumberFormat="0" applyProtection="0">
      <alignment vertical="center"/>
    </xf>
    <xf numFmtId="191" fontId="5" fillId="7" borderId="249">
      <alignment vertical="center"/>
      <protection locked="0"/>
    </xf>
    <xf numFmtId="186" fontId="56" fillId="14" borderId="252" applyNumberFormat="0" applyProtection="0">
      <alignment horizontal="left" vertical="top" indent="1"/>
    </xf>
    <xf numFmtId="186" fontId="56" fillId="14" borderId="242" applyNumberFormat="0" applyProtection="0">
      <alignment horizontal="left" vertical="center" indent="1"/>
    </xf>
    <xf numFmtId="186" fontId="28" fillId="49" borderId="259">
      <alignment vertical="center"/>
    </xf>
    <xf numFmtId="186" fontId="27" fillId="21" borderId="252" applyNumberFormat="0" applyProtection="0">
      <alignment horizontal="left" vertical="center" indent="1"/>
    </xf>
    <xf numFmtId="186" fontId="56" fillId="11" borderId="242" applyNumberFormat="0" applyProtection="0">
      <alignment horizontal="left" vertical="center" indent="1"/>
    </xf>
    <xf numFmtId="186" fontId="56" fillId="21" borderId="244"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4" fontId="59" fillId="12" borderId="249" applyNumberFormat="0" applyProtection="0">
      <alignment vertical="center"/>
    </xf>
    <xf numFmtId="4" fontId="56" fillId="15" borderId="242" applyNumberFormat="0" applyProtection="0">
      <alignment horizontal="right" vertical="center"/>
    </xf>
    <xf numFmtId="186" fontId="56" fillId="40" borderId="242" applyNumberFormat="0" applyFont="0" applyAlignment="0" applyProtection="0"/>
    <xf numFmtId="186" fontId="56" fillId="15" borderId="261" applyNumberFormat="0" applyProtection="0">
      <alignment horizontal="left" vertical="top" indent="1"/>
    </xf>
    <xf numFmtId="4" fontId="64" fillId="64" borderId="242" applyNumberFormat="0" applyProtection="0">
      <alignment horizontal="right" vertical="center"/>
    </xf>
    <xf numFmtId="186" fontId="56" fillId="11" borderId="242" applyNumberFormat="0" applyProtection="0">
      <alignment horizontal="left" vertical="center" indent="1"/>
    </xf>
    <xf numFmtId="4" fontId="56" fillId="54" borderId="253" applyNumberFormat="0" applyProtection="0">
      <alignment horizontal="left" vertical="center" indent="1"/>
    </xf>
    <xf numFmtId="186" fontId="27" fillId="63" borderId="252" applyNumberFormat="0" applyProtection="0">
      <alignment horizontal="left" vertical="top" indent="1"/>
    </xf>
    <xf numFmtId="186" fontId="27" fillId="63" borderId="252" applyNumberFormat="0" applyProtection="0">
      <alignment horizontal="left" vertical="top" indent="1"/>
    </xf>
    <xf numFmtId="186" fontId="42" fillId="44" borderId="242" applyNumberFormat="0" applyAlignment="0" applyProtection="0"/>
    <xf numFmtId="186" fontId="56" fillId="63"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14" borderId="244" applyNumberFormat="0" applyProtection="0">
      <alignment horizontal="left" vertical="top" indent="1"/>
    </xf>
    <xf numFmtId="0" fontId="27" fillId="14" borderId="244"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11" borderId="244" applyNumberFormat="0" applyProtection="0">
      <alignment horizontal="left" vertical="center" indent="1"/>
    </xf>
    <xf numFmtId="4" fontId="27" fillId="21" borderId="245" applyNumberFormat="0" applyProtection="0">
      <alignment horizontal="left" vertical="center" indent="1"/>
    </xf>
    <xf numFmtId="186" fontId="56" fillId="14" borderId="242" applyNumberFormat="0" applyProtection="0">
      <alignment horizontal="left" vertical="center" indent="1"/>
    </xf>
    <xf numFmtId="188" fontId="5" fillId="70" borderId="249">
      <alignment horizontal="right" vertical="center"/>
      <protection locked="0"/>
    </xf>
    <xf numFmtId="186" fontId="56" fillId="21" borderId="244" applyNumberFormat="0" applyProtection="0">
      <alignment horizontal="left" vertical="top" indent="1"/>
    </xf>
    <xf numFmtId="191" fontId="28" fillId="12" borderId="249">
      <alignment vertical="center"/>
      <protection locked="0"/>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90" fontId="28" fillId="49" borderId="259">
      <alignment vertical="center"/>
    </xf>
    <xf numFmtId="4" fontId="64" fillId="64" borderId="253" applyNumberFormat="0" applyProtection="0">
      <alignment horizontal="right" vertical="center"/>
    </xf>
    <xf numFmtId="186" fontId="42" fillId="44" borderId="263" applyNumberFormat="0" applyAlignment="0" applyProtection="0"/>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8" fillId="50" borderId="249">
      <alignment vertical="center"/>
    </xf>
    <xf numFmtId="4" fontId="56" fillId="0" borderId="242" applyNumberFormat="0" applyProtection="0">
      <alignment horizontal="right" vertical="center"/>
    </xf>
    <xf numFmtId="4" fontId="56" fillId="57" borderId="257" applyNumberFormat="0" applyProtection="0">
      <alignment horizontal="right" vertical="center"/>
    </xf>
    <xf numFmtId="186" fontId="56" fillId="63" borderId="242" applyNumberFormat="0" applyProtection="0">
      <alignment horizontal="left" vertical="center" indent="1"/>
    </xf>
    <xf numFmtId="188" fontId="5" fillId="69" borderId="249">
      <alignment vertical="center"/>
    </xf>
    <xf numFmtId="186" fontId="61" fillId="21" borderId="255" applyBorder="0"/>
    <xf numFmtId="186" fontId="56" fillId="63" borderId="244" applyNumberFormat="0" applyProtection="0">
      <alignment horizontal="left" vertical="top" indent="1"/>
    </xf>
    <xf numFmtId="191" fontId="5" fillId="70" borderId="8">
      <alignment horizontal="right" vertical="center"/>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1" borderId="261" applyNumberFormat="0" applyProtection="0">
      <alignment horizontal="left" vertical="center" indent="1"/>
    </xf>
    <xf numFmtId="186" fontId="56" fillId="21" borderId="261" applyNumberFormat="0" applyProtection="0">
      <alignment horizontal="left" vertical="top" indent="1"/>
    </xf>
    <xf numFmtId="4" fontId="56" fillId="23" borderId="253" applyNumberFormat="0" applyProtection="0">
      <alignment horizontal="right" vertical="center"/>
    </xf>
    <xf numFmtId="193" fontId="5" fillId="69" borderId="259">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63" applyNumberFormat="0" applyAlignment="0" applyProtection="0"/>
    <xf numFmtId="4" fontId="56" fillId="60" borderId="253" applyNumberFormat="0" applyProtection="0">
      <alignment horizontal="right" vertical="center"/>
    </xf>
    <xf numFmtId="4" fontId="59" fillId="65" borderId="26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62" fillId="15" borderId="261" applyNumberFormat="0" applyProtection="0">
      <alignment horizontal="left" vertical="top" indent="1"/>
    </xf>
    <xf numFmtId="4" fontId="56" fillId="52" borderId="253" applyNumberFormat="0" applyProtection="0">
      <alignment vertical="center"/>
    </xf>
    <xf numFmtId="186" fontId="56" fillId="15" borderId="261" applyNumberFormat="0" applyProtection="0">
      <alignment horizontal="left" vertical="top" indent="1"/>
    </xf>
    <xf numFmtId="186" fontId="56" fillId="40" borderId="253" applyNumberFormat="0" applyFont="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61" applyNumberFormat="0" applyProtection="0">
      <alignment horizontal="left" vertical="top" indent="1"/>
    </xf>
    <xf numFmtId="186" fontId="56" fillId="21" borderId="252" applyNumberFormat="0" applyProtection="0">
      <alignment horizontal="left" vertical="top" indent="1"/>
    </xf>
    <xf numFmtId="4" fontId="56" fillId="56" borderId="253" applyNumberFormat="0" applyProtection="0">
      <alignment horizontal="right" vertical="center"/>
    </xf>
    <xf numFmtId="4" fontId="63" fillId="66" borderId="245" applyNumberFormat="0" applyProtection="0">
      <alignment horizontal="left" vertical="center" indent="1"/>
    </xf>
    <xf numFmtId="4" fontId="59" fillId="53" borderId="242" applyNumberFormat="0" applyProtection="0">
      <alignment vertical="center"/>
    </xf>
    <xf numFmtId="186" fontId="56" fillId="15" borderId="261" applyNumberFormat="0" applyProtection="0">
      <alignment horizontal="left" vertical="top" indent="1"/>
    </xf>
    <xf numFmtId="186" fontId="56" fillId="40" borderId="242" applyNumberFormat="0" applyFont="0" applyAlignment="0" applyProtection="0"/>
    <xf numFmtId="186" fontId="57" fillId="44" borderId="254" applyNumberFormat="0" applyAlignment="0" applyProtection="0"/>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7" fillId="44" borderId="254" applyNumberFormat="0" applyAlignment="0" applyProtection="0"/>
    <xf numFmtId="186" fontId="56" fillId="21" borderId="261" applyNumberFormat="0" applyProtection="0">
      <alignment horizontal="left" vertical="top" indent="1"/>
    </xf>
    <xf numFmtId="186" fontId="56" fillId="63" borderId="252" applyNumberFormat="0" applyProtection="0">
      <alignment horizontal="left" vertical="top" indent="1"/>
    </xf>
    <xf numFmtId="4" fontId="62" fillId="11" borderId="261" applyNumberFormat="0" applyProtection="0">
      <alignment horizontal="left" vertical="center" indent="1"/>
    </xf>
    <xf numFmtId="4" fontId="56" fillId="52" borderId="253" applyNumberFormat="0" applyProtection="0">
      <alignmen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57" fillId="44" borderId="254" applyNumberFormat="0" applyAlignment="0" applyProtection="0"/>
    <xf numFmtId="186" fontId="60" fillId="52" borderId="252" applyNumberFormat="0" applyProtection="0">
      <alignment horizontal="left" vertical="top" indent="1"/>
    </xf>
    <xf numFmtId="186" fontId="28" fillId="49" borderId="259">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37" fontId="33" fillId="0" borderId="266" applyNumberFormat="0"/>
    <xf numFmtId="191" fontId="28" fillId="12" borderId="8">
      <alignment vertical="center"/>
      <protection locked="0"/>
    </xf>
    <xf numFmtId="186" fontId="60" fillId="52" borderId="252" applyNumberFormat="0" applyProtection="0">
      <alignment horizontal="left" vertical="top" indent="1"/>
    </xf>
    <xf numFmtId="4" fontId="56" fillId="53" borderId="253" applyNumberFormat="0" applyProtection="0">
      <alignment horizontal="left" vertical="center" indent="1"/>
    </xf>
    <xf numFmtId="194" fontId="33" fillId="0" borderId="260" applyFill="0"/>
    <xf numFmtId="191" fontId="28" fillId="12" borderId="259">
      <alignment vertical="center"/>
      <protection locked="0"/>
    </xf>
    <xf numFmtId="186" fontId="42" fillId="44" borderId="263" applyNumberFormat="0" applyAlignment="0" applyProtection="0"/>
    <xf numFmtId="4" fontId="70" fillId="86" borderId="251" applyNumberFormat="0" applyProtection="0">
      <alignment horizontal="left" vertical="center" indent="1"/>
    </xf>
    <xf numFmtId="191" fontId="5" fillId="7" borderId="8">
      <alignment vertical="center"/>
      <protection locked="0"/>
    </xf>
    <xf numFmtId="186" fontId="56" fillId="21" borderId="252" applyNumberFormat="0" applyProtection="0">
      <alignment horizontal="left" vertical="top" indent="1"/>
    </xf>
    <xf numFmtId="4" fontId="59" fillId="65" borderId="253" applyNumberFormat="0" applyProtection="0">
      <alignment horizontal="right" vertical="center"/>
    </xf>
    <xf numFmtId="186" fontId="57" fillId="44" borderId="254" applyNumberFormat="0" applyAlignment="0" applyProtection="0"/>
    <xf numFmtId="186" fontId="62" fillId="15" borderId="252" applyNumberFormat="0" applyProtection="0">
      <alignment horizontal="left" vertical="top" indent="1"/>
    </xf>
    <xf numFmtId="186" fontId="56" fillId="63" borderId="253" applyNumberFormat="0" applyProtection="0">
      <alignment horizontal="left" vertical="center" indent="1"/>
    </xf>
    <xf numFmtId="191" fontId="28" fillId="51" borderId="259">
      <alignment horizontal="right" vertical="center"/>
      <protection locked="0"/>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37" fontId="33" fillId="0" borderId="256" applyNumberFormat="0"/>
    <xf numFmtId="193" fontId="5" fillId="7" borderId="249">
      <alignment vertical="center"/>
      <protection locked="0"/>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4" fontId="62" fillId="11" borderId="244" applyNumberFormat="0" applyProtection="0">
      <alignment horizontal="left" vertical="center" indent="1"/>
    </xf>
    <xf numFmtId="4" fontId="56" fillId="58" borderId="242" applyNumberFormat="0" applyProtection="0">
      <alignment horizontal="right" vertical="center"/>
    </xf>
    <xf numFmtId="4" fontId="56" fillId="14" borderId="245" applyNumberFormat="0" applyProtection="0">
      <alignment horizontal="left" vertical="center" indent="1"/>
    </xf>
    <xf numFmtId="186" fontId="56" fillId="40" borderId="242" applyNumberFormat="0" applyFon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6"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61" fillId="21" borderId="246" applyBorder="0"/>
    <xf numFmtId="4" fontId="56" fillId="19" borderId="242" applyNumberFormat="0" applyProtection="0">
      <alignment horizontal="right" vertical="center"/>
    </xf>
    <xf numFmtId="186" fontId="56" fillId="63" borderId="261"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6" fillId="62" borderId="253" applyNumberFormat="0" applyProtection="0">
      <alignment horizontal="left" vertical="center" indent="1"/>
    </xf>
    <xf numFmtId="186" fontId="56" fillId="63" borderId="252" applyNumberFormat="0" applyProtection="0">
      <alignment horizontal="left" vertical="top" indent="1"/>
    </xf>
    <xf numFmtId="4" fontId="56" fillId="14" borderId="245" applyNumberFormat="0" applyProtection="0">
      <alignment horizontal="left" vertical="center" indent="1"/>
    </xf>
    <xf numFmtId="4" fontId="56" fillId="56" borderId="253" applyNumberFormat="0" applyProtection="0">
      <alignment horizontal="right" vertical="center"/>
    </xf>
    <xf numFmtId="4" fontId="59" fillId="65" borderId="253" applyNumberFormat="0" applyProtection="0">
      <alignment horizontal="right" vertical="center"/>
    </xf>
    <xf numFmtId="186" fontId="56" fillId="63" borderId="244" applyNumberFormat="0" applyProtection="0">
      <alignment horizontal="left" vertical="top" indent="1"/>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14" borderId="244" applyNumberFormat="0" applyProtection="0">
      <alignment horizontal="left" vertical="top" indent="1"/>
    </xf>
    <xf numFmtId="186" fontId="50" fillId="41" borderId="242" applyNumberFormat="0" applyAlignment="0" applyProtection="0"/>
    <xf numFmtId="186" fontId="27" fillId="63" borderId="244" applyNumberFormat="0" applyProtection="0">
      <alignment horizontal="left" vertical="center" indent="1"/>
    </xf>
    <xf numFmtId="4" fontId="56" fillId="14" borderId="245" applyNumberFormat="0" applyProtection="0">
      <alignment horizontal="left" vertical="center" indent="1"/>
    </xf>
    <xf numFmtId="186" fontId="57" fillId="44" borderId="243" applyNumberFormat="0" applyAlignment="0" applyProtection="0"/>
    <xf numFmtId="186" fontId="27" fillId="15" borderId="261" applyNumberFormat="0" applyProtection="0">
      <alignment horizontal="left" vertical="top" indent="1"/>
    </xf>
    <xf numFmtId="186" fontId="56" fillId="15" borderId="252" applyNumberFormat="0" applyProtection="0">
      <alignment horizontal="left" vertical="top" indent="1"/>
    </xf>
    <xf numFmtId="4" fontId="72" fillId="80" borderId="252" applyNumberFormat="0" applyProtection="0">
      <alignment horizontal="right" vertical="center"/>
    </xf>
    <xf numFmtId="186" fontId="56" fillId="63" borderId="252" applyNumberFormat="0" applyProtection="0">
      <alignment horizontal="left" vertical="top" indent="1"/>
    </xf>
    <xf numFmtId="186" fontId="62" fillId="15" borderId="244" applyNumberFormat="0" applyProtection="0">
      <alignment horizontal="left" vertical="top" indent="1"/>
    </xf>
    <xf numFmtId="186" fontId="42" fillId="44" borderId="242" applyNumberFormat="0" applyAlignment="0" applyProtection="0"/>
    <xf numFmtId="4" fontId="56" fillId="57" borderId="245" applyNumberFormat="0" applyProtection="0">
      <alignment horizontal="right" vertical="center"/>
    </xf>
    <xf numFmtId="186" fontId="56" fillId="21" borderId="252" applyNumberFormat="0" applyProtection="0">
      <alignment horizontal="left" vertical="top" indent="1"/>
    </xf>
    <xf numFmtId="186" fontId="42" fillId="44" borderId="242" applyNumberFormat="0" applyAlignment="0" applyProtection="0"/>
    <xf numFmtId="186" fontId="56" fillId="63" borderId="244" applyNumberFormat="0" applyProtection="0">
      <alignment horizontal="left" vertical="top" indent="1"/>
    </xf>
    <xf numFmtId="186" fontId="56" fillId="40" borderId="253"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7" fillId="44" borderId="254" applyNumberFormat="0" applyAlignment="0" applyProtection="0"/>
    <xf numFmtId="0" fontId="5" fillId="69" borderId="249">
      <alignment vertical="center"/>
    </xf>
    <xf numFmtId="186" fontId="56" fillId="63" borderId="252" applyNumberFormat="0" applyProtection="0">
      <alignment horizontal="left" vertical="top" indent="1"/>
    </xf>
    <xf numFmtId="186" fontId="57" fillId="44" borderId="254" applyNumberFormat="0" applyAlignment="0" applyProtection="0"/>
    <xf numFmtId="193" fontId="28" fillId="12" borderId="8">
      <alignment vertical="center"/>
      <protection locked="0"/>
    </xf>
    <xf numFmtId="4" fontId="56" fillId="61" borderId="267" applyNumberFormat="0" applyProtection="0">
      <alignment horizontal="left" vertical="center" indent="1"/>
    </xf>
    <xf numFmtId="186" fontId="28" fillId="49" borderId="249">
      <alignment vertical="center"/>
    </xf>
    <xf numFmtId="37" fontId="33" fillId="0" borderId="247" applyNumberFormat="0"/>
    <xf numFmtId="186" fontId="56" fillId="21" borderId="244" applyNumberFormat="0" applyProtection="0">
      <alignment horizontal="left" vertical="top" indent="1"/>
    </xf>
    <xf numFmtId="186" fontId="57" fillId="44" borderId="254" applyNumberForma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37" fontId="33" fillId="0" borderId="256" applyNumberFormat="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40" borderId="253" applyNumberFormat="0" applyFont="0" applyAlignment="0" applyProtection="0"/>
    <xf numFmtId="4" fontId="62" fillId="48" borderId="261" applyNumberFormat="0" applyProtection="0">
      <alignment vertical="center"/>
    </xf>
    <xf numFmtId="186" fontId="56" fillId="40" borderId="242" applyNumberFormat="0" applyFont="0" applyAlignment="0" applyProtection="0"/>
    <xf numFmtId="186" fontId="44" fillId="0" borderId="268" applyNumberFormat="0" applyFill="0" applyAlignment="0" applyProtection="0"/>
    <xf numFmtId="186" fontId="56" fillId="63" borderId="252" applyNumberFormat="0" applyProtection="0">
      <alignment horizontal="left" vertical="top" indent="1"/>
    </xf>
    <xf numFmtId="4" fontId="59" fillId="65" borderId="253" applyNumberFormat="0" applyProtection="0">
      <alignment horizontal="right" vertical="center"/>
    </xf>
    <xf numFmtId="186" fontId="28" fillId="12" borderId="269">
      <alignment vertical="center"/>
      <protection locked="0"/>
    </xf>
    <xf numFmtId="186" fontId="56" fillId="14" borderId="253" applyNumberFormat="0" applyProtection="0">
      <alignment horizontal="left" vertical="center" indent="1"/>
    </xf>
    <xf numFmtId="186" fontId="57" fillId="44" borderId="264" applyNumberFormat="0" applyAlignment="0" applyProtection="0"/>
    <xf numFmtId="4" fontId="56" fillId="54" borderId="263" applyNumberFormat="0" applyProtection="0">
      <alignment horizontal="left" vertical="center" indent="1"/>
    </xf>
    <xf numFmtId="191" fontId="5" fillId="69" borderId="249">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70" borderId="259">
      <alignment horizontal="right" vertical="center"/>
      <protection locked="0"/>
    </xf>
    <xf numFmtId="186" fontId="56" fillId="21" borderId="252" applyNumberFormat="0" applyProtection="0">
      <alignment horizontal="left" vertical="top" indent="1"/>
    </xf>
    <xf numFmtId="4" fontId="27" fillId="21" borderId="257" applyNumberFormat="0" applyProtection="0">
      <alignment horizontal="left" vertical="center" indent="1"/>
    </xf>
    <xf numFmtId="4" fontId="56" fillId="23" borderId="263" applyNumberFormat="0" applyProtection="0">
      <alignment horizontal="right" vertical="center"/>
    </xf>
    <xf numFmtId="186" fontId="56" fillId="63" borderId="253" applyNumberFormat="0" applyProtection="0">
      <alignment horizontal="left" vertical="center" indent="1"/>
    </xf>
    <xf numFmtId="186" fontId="62" fillId="48"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186" fontId="27" fillId="14" borderId="252" applyNumberFormat="0" applyProtection="0">
      <alignment horizontal="left" vertical="top" indent="1"/>
    </xf>
    <xf numFmtId="4" fontId="64" fillId="64" borderId="263" applyNumberFormat="0" applyProtection="0">
      <alignment horizontal="righ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0" fontId="27" fillId="21" borderId="252" applyNumberFormat="0" applyProtection="0">
      <alignment horizontal="left" vertical="top" indent="1"/>
    </xf>
    <xf numFmtId="186" fontId="56" fillId="21" borderId="261" applyNumberFormat="0" applyProtection="0">
      <alignment horizontal="left" vertical="top" indent="1"/>
    </xf>
    <xf numFmtId="4" fontId="56" fillId="15" borderId="242" applyNumberFormat="0" applyProtection="0">
      <alignment horizontal="right" vertical="center"/>
    </xf>
    <xf numFmtId="186" fontId="27" fillId="15" borderId="261" applyNumberFormat="0" applyProtection="0">
      <alignment horizontal="left" vertical="top" indent="1"/>
    </xf>
    <xf numFmtId="186" fontId="56" fillId="62" borderId="25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63" borderId="261" applyNumberFormat="0" applyProtection="0">
      <alignment horizontal="left" vertical="top" indent="1"/>
    </xf>
    <xf numFmtId="4" fontId="56" fillId="15" borderId="253" applyNumberFormat="0" applyProtection="0">
      <alignment horizontal="right" vertical="center"/>
    </xf>
    <xf numFmtId="186" fontId="27" fillId="14" borderId="261" applyNumberFormat="0" applyProtection="0">
      <alignment horizontal="left" vertical="top" indent="1"/>
    </xf>
    <xf numFmtId="186" fontId="27" fillId="63" borderId="25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0" fillId="41" borderId="263" applyNumberFormat="0" applyAlignment="0" applyProtection="0"/>
    <xf numFmtId="186" fontId="56" fillId="40" borderId="263" applyNumberFormat="0" applyFont="0" applyAlignment="0" applyProtection="0"/>
    <xf numFmtId="186" fontId="27" fillId="15" borderId="252" applyNumberFormat="0" applyProtection="0">
      <alignment horizontal="left" vertical="top" indent="1"/>
    </xf>
    <xf numFmtId="186" fontId="56" fillId="40" borderId="253" applyNumberFormat="0" applyFont="0" applyAlignment="0" applyProtection="0"/>
    <xf numFmtId="191" fontId="5" fillId="69" borderId="8">
      <alignment vertical="center"/>
    </xf>
    <xf numFmtId="4" fontId="59" fillId="12" borderId="269" applyNumberFormat="0" applyProtection="0">
      <alignment vertical="center"/>
    </xf>
    <xf numFmtId="4" fontId="63" fillId="66" borderId="257" applyNumberFormat="0" applyProtection="0">
      <alignment horizontal="left" vertical="center" indent="1"/>
    </xf>
    <xf numFmtId="186" fontId="28" fillId="50" borderId="8">
      <alignment vertical="center"/>
    </xf>
    <xf numFmtId="186" fontId="56" fillId="40" borderId="242" applyNumberFormat="0" applyFont="0" applyAlignment="0" applyProtection="0"/>
    <xf numFmtId="186" fontId="56" fillId="40" borderId="253" applyNumberFormat="0" applyFont="0" applyAlignment="0" applyProtection="0"/>
    <xf numFmtId="193" fontId="5" fillId="69" borderId="249">
      <alignment vertical="center"/>
    </xf>
    <xf numFmtId="186" fontId="56" fillId="15" borderId="252" applyNumberFormat="0" applyProtection="0">
      <alignment horizontal="left" vertical="top" indent="1"/>
    </xf>
    <xf numFmtId="4" fontId="56" fillId="14" borderId="257" applyNumberFormat="0" applyProtection="0">
      <alignment horizontal="left" vertical="center" indent="1"/>
    </xf>
    <xf numFmtId="4" fontId="56" fillId="54" borderId="263" applyNumberFormat="0" applyProtection="0">
      <alignment horizontal="left" vertical="center" indent="1"/>
    </xf>
    <xf numFmtId="186" fontId="56" fillId="21" borderId="244" applyNumberFormat="0" applyProtection="0">
      <alignment horizontal="left" vertical="top" indent="1"/>
    </xf>
    <xf numFmtId="4" fontId="64" fillId="64" borderId="242" applyNumberFormat="0" applyProtection="0">
      <alignment horizontal="right" vertical="center"/>
    </xf>
    <xf numFmtId="4" fontId="56" fillId="15" borderId="257" applyNumberFormat="0" applyProtection="0">
      <alignment horizontal="left" vertical="center" indent="1"/>
    </xf>
    <xf numFmtId="4" fontId="62" fillId="48" borderId="252" applyNumberFormat="0" applyProtection="0">
      <alignment vertical="center"/>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62" fillId="48" borderId="252" applyNumberFormat="0" applyProtection="0">
      <alignment horizontal="left" vertical="top" indent="1"/>
    </xf>
    <xf numFmtId="0" fontId="37" fillId="15" borderId="244" applyNumberFormat="0" applyProtection="0">
      <alignment horizontal="left" vertical="top" indent="1"/>
    </xf>
    <xf numFmtId="4" fontId="62" fillId="48" borderId="244" applyNumberFormat="0" applyProtection="0">
      <alignment vertical="center"/>
    </xf>
    <xf numFmtId="186" fontId="27" fillId="14" borderId="244" applyNumberFormat="0" applyProtection="0">
      <alignment horizontal="left" vertical="center" indent="1"/>
    </xf>
    <xf numFmtId="186" fontId="56" fillId="14" borderId="244" applyNumberFormat="0" applyProtection="0">
      <alignment horizontal="left" vertical="top" indent="1"/>
    </xf>
    <xf numFmtId="186" fontId="56" fillId="21" borderId="252" applyNumberFormat="0" applyProtection="0">
      <alignment horizontal="left" vertical="top" indent="1"/>
    </xf>
    <xf numFmtId="190" fontId="5" fillId="13" borderId="259">
      <alignment vertical="center"/>
    </xf>
    <xf numFmtId="4" fontId="56" fillId="14" borderId="25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91" fontId="5" fillId="7" borderId="249">
      <alignment vertical="center"/>
      <protection locked="0"/>
    </xf>
    <xf numFmtId="172" fontId="28" fillId="12" borderId="8">
      <alignment vertical="center"/>
      <protection locked="0"/>
    </xf>
    <xf numFmtId="4" fontId="62" fillId="48" borderId="252" applyNumberFormat="0" applyProtection="0">
      <alignment vertical="center"/>
    </xf>
    <xf numFmtId="186" fontId="56" fillId="40" borderId="26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37" fontId="33" fillId="0" borderId="256" applyNumberFormat="0"/>
    <xf numFmtId="186" fontId="27" fillId="21" borderId="252"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28" fillId="51" borderId="269">
      <alignment horizontal="right" vertical="center"/>
      <protection locked="0"/>
    </xf>
    <xf numFmtId="4" fontId="56" fillId="0" borderId="253" applyNumberFormat="0" applyProtection="0">
      <alignment horizontal="right" vertical="center"/>
    </xf>
    <xf numFmtId="193" fontId="28" fillId="12"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4" borderId="252" applyNumberFormat="0" applyProtection="0">
      <alignment horizontal="left" vertical="top" indent="1"/>
    </xf>
    <xf numFmtId="0" fontId="27" fillId="15" borderId="252" applyNumberFormat="0" applyProtection="0">
      <alignment horizontal="left" vertical="center" indent="1"/>
    </xf>
    <xf numFmtId="4" fontId="56" fillId="61" borderId="257" applyNumberFormat="0" applyProtection="0">
      <alignment horizontal="left" vertical="center" indent="1"/>
    </xf>
    <xf numFmtId="193" fontId="28" fillId="12" borderId="249">
      <alignment vertical="center"/>
      <protection locked="0"/>
    </xf>
    <xf numFmtId="186" fontId="56" fillId="14" borderId="252" applyNumberFormat="0" applyProtection="0">
      <alignment horizontal="left" vertical="top" indent="1"/>
    </xf>
    <xf numFmtId="4" fontId="56" fillId="58" borderId="242" applyNumberFormat="0" applyProtection="0">
      <alignment horizontal="right" vertical="center"/>
    </xf>
    <xf numFmtId="4" fontId="56" fillId="58" borderId="253" applyNumberFormat="0" applyProtection="0">
      <alignment horizontal="right" vertical="center"/>
    </xf>
    <xf numFmtId="186" fontId="27" fillId="63" borderId="252" applyNumberFormat="0" applyProtection="0">
      <alignment horizontal="left" vertical="top" indent="1"/>
    </xf>
    <xf numFmtId="4" fontId="59" fillId="53"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4" fontId="72" fillId="80" borderId="252"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4" fontId="56" fillId="14" borderId="245" applyNumberFormat="0" applyProtection="0">
      <alignment horizontal="left" vertical="center" indent="1"/>
    </xf>
    <xf numFmtId="4" fontId="56" fillId="59" borderId="242" applyNumberFormat="0" applyProtection="0">
      <alignment horizontal="right" vertical="center"/>
    </xf>
    <xf numFmtId="0" fontId="5" fillId="70" borderId="249">
      <alignment horizontal="right" vertical="center"/>
      <protection locked="0"/>
    </xf>
    <xf numFmtId="186" fontId="56" fillId="14" borderId="244" applyNumberFormat="0" applyProtection="0">
      <alignment horizontal="left" vertical="top" indent="1"/>
    </xf>
    <xf numFmtId="186" fontId="28" fillId="50" borderId="259">
      <alignment vertical="center"/>
    </xf>
    <xf numFmtId="186" fontId="56" fillId="21" borderId="252" applyNumberFormat="0" applyProtection="0">
      <alignment horizontal="left" vertical="top" indent="1"/>
    </xf>
    <xf numFmtId="193" fontId="28" fillId="50" borderId="8">
      <alignment vertical="center"/>
    </xf>
    <xf numFmtId="186" fontId="44" fillId="0" borderId="248" applyNumberFormat="0" applyFill="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28" fillId="51" borderId="8">
      <alignment horizontal="right" vertical="center"/>
      <protection locked="0"/>
    </xf>
    <xf numFmtId="186" fontId="56" fillId="15" borderId="261" applyNumberFormat="0" applyProtection="0">
      <alignment horizontal="left" vertical="top" indent="1"/>
    </xf>
    <xf numFmtId="186" fontId="56" fillId="63" borderId="261" applyNumberFormat="0" applyProtection="0">
      <alignment horizontal="left" vertical="top" indent="1"/>
    </xf>
    <xf numFmtId="188" fontId="28" fillId="49" borderId="259">
      <alignment vertical="center"/>
    </xf>
    <xf numFmtId="4" fontId="72" fillId="53" borderId="244" applyNumberFormat="0" applyProtection="0">
      <alignment horizontal="left" vertical="center" indent="1"/>
    </xf>
    <xf numFmtId="188" fontId="28" fillId="51" borderId="259">
      <alignment horizontal="right" vertical="center"/>
      <protection locked="0"/>
    </xf>
    <xf numFmtId="196" fontId="5" fillId="69" borderId="269">
      <alignment vertical="center"/>
    </xf>
    <xf numFmtId="186" fontId="50" fillId="41" borderId="263" applyNumberForma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42" fillId="44" borderId="253" applyNumberFormat="0" applyAlignment="0" applyProtection="0"/>
    <xf numFmtId="186" fontId="56" fillId="21" borderId="252" applyNumberFormat="0" applyProtection="0">
      <alignment horizontal="left" vertical="top" indent="1"/>
    </xf>
    <xf numFmtId="4" fontId="56" fillId="53" borderId="263" applyNumberFormat="0" applyProtection="0">
      <alignment horizontal="left" vertical="center" indent="1"/>
    </xf>
    <xf numFmtId="186" fontId="56" fillId="14"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14" borderId="252" applyNumberFormat="0" applyProtection="0">
      <alignment horizontal="left" vertical="top" indent="1"/>
    </xf>
    <xf numFmtId="186" fontId="56" fillId="63" borderId="244" applyNumberFormat="0" applyProtection="0">
      <alignment horizontal="left" vertical="top" indent="1"/>
    </xf>
    <xf numFmtId="191" fontId="5" fillId="13" borderId="249">
      <alignment vertical="center"/>
    </xf>
    <xf numFmtId="186" fontId="44" fillId="0" borderId="268" applyNumberFormat="0" applyFill="0" applyAlignment="0" applyProtection="0"/>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50" borderId="261" applyNumberFormat="0" applyProtection="0">
      <alignment horizontal="right" vertical="center"/>
    </xf>
    <xf numFmtId="4" fontId="56" fillId="54" borderId="263"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72" fillId="53" borderId="252" applyNumberFormat="0" applyProtection="0">
      <alignment horizontal="left" vertical="center"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4" fontId="62" fillId="48" borderId="244" applyNumberFormat="0" applyProtection="0">
      <alignment vertical="center"/>
    </xf>
    <xf numFmtId="186" fontId="44" fillId="0" borderId="248" applyNumberFormat="0" applyFill="0" applyAlignment="0" applyProtection="0"/>
    <xf numFmtId="186" fontId="56" fillId="15" borderId="244" applyNumberFormat="0" applyProtection="0">
      <alignment horizontal="left" vertical="top" indent="1"/>
    </xf>
    <xf numFmtId="191" fontId="28" fillId="50" borderId="249">
      <alignment vertical="center"/>
    </xf>
    <xf numFmtId="191" fontId="28" fillId="50" borderId="259">
      <alignment vertical="center"/>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93" fontId="5" fillId="7" borderId="249">
      <alignment vertical="center"/>
      <protection locked="0"/>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59" fillId="12" borderId="249" applyNumberFormat="0" applyProtection="0">
      <alignment vertical="center"/>
    </xf>
    <xf numFmtId="4" fontId="59" fillId="53" borderId="242" applyNumberFormat="0" applyProtection="0">
      <alignment vertical="center"/>
    </xf>
    <xf numFmtId="186" fontId="44" fillId="0" borderId="248" applyNumberFormat="0" applyFill="0" applyAlignment="0" applyProtection="0"/>
    <xf numFmtId="186" fontId="27" fillId="63" borderId="261" applyNumberFormat="0" applyProtection="0">
      <alignment horizontal="left" vertical="center" indent="1"/>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14" borderId="261" applyNumberFormat="0" applyProtection="0">
      <alignment horizontal="left" vertical="top" indent="1"/>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8" fontId="5" fillId="70" borderId="8">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27" fillId="14" borderId="261" applyNumberFormat="0" applyProtection="0">
      <alignment horizontal="left" vertical="center" indent="1"/>
    </xf>
    <xf numFmtId="186" fontId="56" fillId="21" borderId="244"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27" fillId="21" borderId="252"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4" fontId="72" fillId="80" borderId="261" applyNumberFormat="0" applyProtection="0">
      <alignment horizontal="right" vertical="center"/>
    </xf>
    <xf numFmtId="186" fontId="56" fillId="15" borderId="252" applyNumberFormat="0" applyProtection="0">
      <alignment horizontal="left" vertical="top" indent="1"/>
    </xf>
    <xf numFmtId="186" fontId="60" fillId="52" borderId="252" applyNumberFormat="0" applyProtection="0">
      <alignment horizontal="left" vertical="top" indent="1"/>
    </xf>
    <xf numFmtId="4" fontId="27" fillId="21" borderId="267" applyNumberFormat="0" applyProtection="0">
      <alignment horizontal="left" vertical="center" indent="1"/>
    </xf>
    <xf numFmtId="186" fontId="27" fillId="15" borderId="261" applyNumberFormat="0" applyProtection="0">
      <alignment horizontal="left" vertical="top" indent="1"/>
    </xf>
    <xf numFmtId="4" fontId="56" fillId="61" borderId="257" applyNumberFormat="0" applyProtection="0">
      <alignment horizontal="left" vertical="center" indent="1"/>
    </xf>
    <xf numFmtId="186" fontId="56" fillId="21" borderId="261" applyNumberFormat="0" applyProtection="0">
      <alignment horizontal="left" vertical="top" indent="1"/>
    </xf>
    <xf numFmtId="186" fontId="56" fillId="62" borderId="253" applyNumberFormat="0" applyProtection="0">
      <alignment horizontal="left" vertical="center" indent="1"/>
    </xf>
    <xf numFmtId="186" fontId="50" fillId="41" borderId="263" applyNumberFormat="0" applyAlignment="0" applyProtection="0"/>
    <xf numFmtId="4" fontId="56" fillId="55" borderId="253" applyNumberFormat="0" applyProtection="0">
      <alignment horizontal="right" vertical="center"/>
    </xf>
    <xf numFmtId="186" fontId="56" fillId="40" borderId="263" applyNumberFormat="0" applyFont="0" applyAlignment="0" applyProtection="0"/>
    <xf numFmtId="186" fontId="57" fillId="44" borderId="264" applyNumberFormat="0" applyAlignment="0" applyProtection="0"/>
    <xf numFmtId="186" fontId="60" fillId="52" borderId="252" applyNumberFormat="0" applyProtection="0">
      <alignment horizontal="left" vertical="top" indent="1"/>
    </xf>
    <xf numFmtId="4" fontId="56" fillId="60" borderId="253" applyNumberFormat="0" applyProtection="0">
      <alignment horizontal="right" vertical="center"/>
    </xf>
    <xf numFmtId="186" fontId="56" fillId="62" borderId="253" applyNumberFormat="0" applyProtection="0">
      <alignment horizontal="left" vertical="center" indent="1"/>
    </xf>
    <xf numFmtId="186" fontId="56" fillId="14" borderId="261"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193" fontId="5" fillId="69" borderId="8">
      <alignment vertical="center"/>
    </xf>
    <xf numFmtId="193" fontId="28" fillId="50" borderId="8">
      <alignment vertical="center"/>
    </xf>
    <xf numFmtId="186" fontId="56" fillId="63" borderId="252" applyNumberFormat="0" applyProtection="0">
      <alignment horizontal="left" vertical="top" indent="1"/>
    </xf>
    <xf numFmtId="4" fontId="56" fillId="58"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4" borderId="252" applyNumberFormat="0" applyProtection="0">
      <alignment horizontal="left" vertical="top" indent="1"/>
    </xf>
    <xf numFmtId="4" fontId="56" fillId="6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2" fillId="87" borderId="252" applyNumberFormat="0" applyProtection="0">
      <alignment vertical="center"/>
    </xf>
    <xf numFmtId="188" fontId="5" fillId="7" borderId="249">
      <alignment vertical="center"/>
      <protection locked="0"/>
    </xf>
    <xf numFmtId="4" fontId="56" fillId="54" borderId="253" applyNumberFormat="0" applyProtection="0">
      <alignment horizontal="left" vertical="center" indent="1"/>
    </xf>
    <xf numFmtId="186" fontId="56" fillId="63" borderId="244" applyNumberFormat="0" applyProtection="0">
      <alignment horizontal="left" vertical="top" indent="1"/>
    </xf>
    <xf numFmtId="190" fontId="28" fillId="49" borderId="249">
      <alignment vertical="center"/>
    </xf>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21" borderId="244" applyNumberFormat="0" applyProtection="0">
      <alignment horizontal="left" vertical="top" indent="1"/>
    </xf>
    <xf numFmtId="191" fontId="28" fillId="51" borderId="259">
      <alignment horizontal="right" vertical="center"/>
      <protection locked="0"/>
    </xf>
    <xf numFmtId="186" fontId="56" fillId="15" borderId="252"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40" borderId="242" applyNumberFormat="0" applyFont="0" applyAlignment="0" applyProtection="0"/>
    <xf numFmtId="186" fontId="57" fillId="44" borderId="254" applyNumberFormat="0" applyAlignment="0" applyProtection="0"/>
    <xf numFmtId="186" fontId="56" fillId="63"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0" fontId="27" fillId="14"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63" borderId="244" applyNumberFormat="0" applyProtection="0">
      <alignment horizontal="left" vertical="top" indent="1"/>
    </xf>
    <xf numFmtId="191" fontId="5" fillId="69" borderId="249">
      <alignment vertical="center"/>
    </xf>
    <xf numFmtId="186" fontId="56" fillId="21" borderId="244" applyNumberFormat="0" applyProtection="0">
      <alignment horizontal="left" vertical="top" indent="1"/>
    </xf>
    <xf numFmtId="190"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0" borderId="259">
      <alignment vertical="center"/>
    </xf>
    <xf numFmtId="4" fontId="72" fillId="86" borderId="261"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40" borderId="242" applyNumberFormat="0" applyFont="0" applyAlignment="0" applyProtection="0"/>
    <xf numFmtId="186" fontId="27" fillId="21" borderId="244" applyNumberFormat="0" applyProtection="0">
      <alignment horizontal="left" vertical="center" indent="1"/>
    </xf>
    <xf numFmtId="191" fontId="28" fillId="12" borderId="249">
      <alignment vertical="center"/>
      <protection locked="0"/>
    </xf>
    <xf numFmtId="186" fontId="56" fillId="14" borderId="244" applyNumberFormat="0" applyProtection="0">
      <alignment horizontal="left" vertical="top" indent="1"/>
    </xf>
    <xf numFmtId="186" fontId="56" fillId="15" borderId="252" applyNumberFormat="0" applyProtection="0">
      <alignment horizontal="left" vertical="top" indent="1"/>
    </xf>
    <xf numFmtId="186" fontId="27" fillId="15" borderId="244"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91" fontId="28" fillId="51" borderId="8">
      <alignment horizontal="right" vertical="center"/>
      <protection locked="0"/>
    </xf>
    <xf numFmtId="193" fontId="28" fillId="50" borderId="259">
      <alignment vertical="center"/>
    </xf>
    <xf numFmtId="186" fontId="56" fillId="67" borderId="8"/>
    <xf numFmtId="4" fontId="62" fillId="11" borderId="261" applyNumberFormat="0" applyProtection="0">
      <alignment horizontal="left" vertical="center" indent="1"/>
    </xf>
    <xf numFmtId="186" fontId="56" fillId="15" borderId="261" applyNumberFormat="0" applyProtection="0">
      <alignment horizontal="left" vertical="top" indent="1"/>
    </xf>
    <xf numFmtId="191" fontId="5" fillId="13" borderId="259">
      <alignment vertical="center"/>
    </xf>
    <xf numFmtId="191" fontId="5" fillId="70" borderId="259">
      <alignment horizontal="right" vertical="center"/>
      <protection locked="0"/>
    </xf>
    <xf numFmtId="0" fontId="37" fillId="15" borderId="252" applyNumberFormat="0" applyProtection="0">
      <alignment horizontal="left" vertical="top"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63" borderId="252" applyNumberFormat="0" applyProtection="0">
      <alignment horizontal="left" vertical="top" indent="1"/>
    </xf>
    <xf numFmtId="4" fontId="56" fillId="23" borderId="263" applyNumberFormat="0" applyProtection="0">
      <alignment horizontal="right" vertical="center"/>
    </xf>
    <xf numFmtId="4" fontId="56" fillId="54" borderId="263" applyNumberFormat="0" applyProtection="0">
      <alignment horizontal="left" vertical="center" indent="1"/>
    </xf>
    <xf numFmtId="4" fontId="56" fillId="55" borderId="253" applyNumberFormat="0" applyProtection="0">
      <alignment horizontal="right" vertical="center"/>
    </xf>
    <xf numFmtId="4" fontId="56" fillId="56" borderId="253" applyNumberFormat="0" applyProtection="0">
      <alignment horizontal="right" vertical="center"/>
    </xf>
    <xf numFmtId="4" fontId="56" fillId="61" borderId="257" applyNumberFormat="0" applyProtection="0">
      <alignment horizontal="left" vertical="center" indent="1"/>
    </xf>
    <xf numFmtId="186" fontId="42" fillId="44" borderId="253" applyNumberFormat="0" applyAlignment="0" applyProtection="0"/>
    <xf numFmtId="4" fontId="56" fillId="52" borderId="242" applyNumberFormat="0" applyProtection="0">
      <alignment vertical="center"/>
    </xf>
    <xf numFmtId="191" fontId="5" fillId="70" borderId="249">
      <alignment horizontal="right" vertical="center"/>
      <protection locked="0"/>
    </xf>
    <xf numFmtId="186" fontId="56" fillId="40" borderId="242" applyNumberFormat="0" applyFont="0" applyAlignment="0" applyProtection="0"/>
    <xf numFmtId="193" fontId="28" fillId="50" borderId="249">
      <alignment vertical="center"/>
    </xf>
    <xf numFmtId="186" fontId="56" fillId="40" borderId="253" applyNumberFormat="0" applyFont="0" applyAlignment="0" applyProtection="0"/>
    <xf numFmtId="186" fontId="27" fillId="63" borderId="252" applyNumberFormat="0" applyProtection="0">
      <alignment horizontal="left" vertical="top" indent="1"/>
    </xf>
    <xf numFmtId="4" fontId="72" fillId="50" borderId="252" applyNumberFormat="0" applyProtection="0">
      <alignment horizontal="right" vertical="center"/>
    </xf>
    <xf numFmtId="190" fontId="28" fillId="51" borderId="259">
      <alignment horizontal="right" vertical="center"/>
      <protection locked="0"/>
    </xf>
    <xf numFmtId="186" fontId="62" fillId="48" borderId="252" applyNumberFormat="0" applyProtection="0">
      <alignment horizontal="left" vertical="top" indent="1"/>
    </xf>
    <xf numFmtId="0" fontId="27" fillId="21" borderId="261" applyNumberFormat="0" applyProtection="0">
      <alignment horizontal="left" vertical="top" indent="1"/>
    </xf>
    <xf numFmtId="186" fontId="28" fillId="49" borderId="259">
      <alignment vertical="center"/>
    </xf>
    <xf numFmtId="4" fontId="56" fillId="60" borderId="263" applyNumberFormat="0" applyProtection="0">
      <alignment horizontal="right" vertical="center"/>
    </xf>
    <xf numFmtId="186" fontId="50" fillId="41" borderId="242" applyNumberFormat="0" applyAlignment="0" applyProtection="0"/>
    <xf numFmtId="4" fontId="72" fillId="84" borderId="252" applyNumberFormat="0" applyProtection="0">
      <alignment horizontal="right" vertical="center"/>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63" borderId="261" applyNumberFormat="0" applyProtection="0">
      <alignment horizontal="left" vertical="top" indent="1"/>
    </xf>
    <xf numFmtId="4" fontId="72" fillId="78" borderId="252" applyNumberFormat="0" applyProtection="0">
      <alignment horizontal="right" vertical="center"/>
    </xf>
    <xf numFmtId="191" fontId="5" fillId="69" borderId="259">
      <alignment vertical="center"/>
    </xf>
    <xf numFmtId="186" fontId="27" fillId="21" borderId="261" applyNumberFormat="0" applyProtection="0">
      <alignment horizontal="left" vertical="center"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4" fontId="56" fillId="53" borderId="253" applyNumberFormat="0" applyProtection="0">
      <alignment horizontal="left" vertical="center" indent="1"/>
    </xf>
    <xf numFmtId="188" fontId="5" fillId="7" borderId="8">
      <alignment vertical="center"/>
      <protection locked="0"/>
    </xf>
    <xf numFmtId="186" fontId="27" fillId="21" borderId="252" applyNumberFormat="0" applyProtection="0">
      <alignment horizontal="left" vertical="center" indent="1"/>
    </xf>
    <xf numFmtId="193" fontId="28" fillId="50" borderId="25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61" applyNumberFormat="0" applyProtection="0">
      <alignment horizontal="left" vertical="top" indent="1"/>
    </xf>
    <xf numFmtId="186" fontId="44" fillId="0" borderId="258" applyNumberFormat="0" applyFill="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53" applyNumberFormat="0" applyAlignment="0" applyProtection="0"/>
    <xf numFmtId="4" fontId="74" fillId="87" borderId="252" applyNumberFormat="0" applyProtection="0">
      <alignment vertical="center"/>
    </xf>
    <xf numFmtId="172" fontId="5" fillId="7" borderId="8">
      <alignment vertical="center"/>
      <protection locked="0"/>
    </xf>
    <xf numFmtId="186" fontId="56" fillId="15" borderId="252"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188" fontId="5" fillId="70" borderId="259">
      <alignment horizontal="right" vertical="center"/>
      <protection locked="0"/>
    </xf>
    <xf numFmtId="186" fontId="56" fillId="15" borderId="252" applyNumberFormat="0" applyProtection="0">
      <alignment horizontal="left" vertical="top" indent="1"/>
    </xf>
    <xf numFmtId="190" fontId="28" fillId="49" borderId="259">
      <alignmen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62" fillId="15" borderId="252" applyNumberFormat="0" applyProtection="0">
      <alignment horizontal="left" vertical="top" indent="1"/>
    </xf>
    <xf numFmtId="186" fontId="60" fillId="52" borderId="252" applyNumberFormat="0" applyProtection="0">
      <alignment horizontal="left" vertical="top" indent="1"/>
    </xf>
    <xf numFmtId="186" fontId="56" fillId="15" borderId="252" applyNumberFormat="0" applyProtection="0">
      <alignment horizontal="left" vertical="top" indent="1"/>
    </xf>
    <xf numFmtId="186" fontId="56" fillId="63" borderId="242" applyNumberFormat="0" applyProtection="0">
      <alignment horizontal="left" vertical="center" indent="1"/>
    </xf>
    <xf numFmtId="186" fontId="56" fillId="14" borderId="252" applyNumberFormat="0" applyProtection="0">
      <alignment horizontal="left" vertical="top" indent="1"/>
    </xf>
    <xf numFmtId="4" fontId="62" fillId="48" borderId="244" applyNumberFormat="0" applyProtection="0">
      <alignment vertical="center"/>
    </xf>
    <xf numFmtId="4" fontId="56" fillId="23" borderId="242" applyNumberFormat="0" applyProtection="0">
      <alignment horizontal="right" vertical="center"/>
    </xf>
    <xf numFmtId="4" fontId="56" fillId="15" borderId="242" applyNumberFormat="0" applyProtection="0">
      <alignment horizontal="right" vertical="center"/>
    </xf>
    <xf numFmtId="186" fontId="56" fillId="40" borderId="242" applyNumberFormat="0" applyFont="0" applyAlignment="0" applyProtection="0"/>
    <xf numFmtId="186" fontId="28" fillId="51" borderId="269">
      <alignment horizontal="right" vertical="center"/>
      <protection locked="0"/>
    </xf>
    <xf numFmtId="186" fontId="27" fillId="14" borderId="244" applyNumberFormat="0" applyProtection="0">
      <alignment horizontal="left" vertical="top" indent="1"/>
    </xf>
    <xf numFmtId="4" fontId="56" fillId="55"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4" fontId="56" fillId="59" borderId="242" applyNumberFormat="0" applyProtection="0">
      <alignment horizontal="right" vertical="center"/>
    </xf>
    <xf numFmtId="191" fontId="28" fillId="50" borderId="8">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6" fillId="15" borderId="242" applyNumberFormat="0" applyProtection="0">
      <alignment horizontal="right" vertical="center"/>
    </xf>
    <xf numFmtId="4" fontId="56" fillId="57" borderId="257" applyNumberFormat="0" applyProtection="0">
      <alignment horizontal="right" vertical="center"/>
    </xf>
    <xf numFmtId="4" fontId="56" fillId="54" borderId="253"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6" fillId="63" borderId="242" applyNumberFormat="0" applyProtection="0">
      <alignment horizontal="left" vertical="center" indent="1"/>
    </xf>
    <xf numFmtId="4" fontId="56" fillId="15" borderId="242" applyNumberFormat="0" applyProtection="0">
      <alignment horizontal="right" vertical="center"/>
    </xf>
    <xf numFmtId="186" fontId="57" fillId="44" borderId="243" applyNumberFormat="0" applyAlignment="0" applyProtection="0"/>
    <xf numFmtId="186" fontId="27" fillId="14" borderId="261" applyNumberFormat="0" applyProtection="0">
      <alignment horizontal="left" vertical="top" indent="1"/>
    </xf>
    <xf numFmtId="193" fontId="5" fillId="69" borderId="259">
      <alignment vertical="center"/>
    </xf>
    <xf numFmtId="4" fontId="62" fillId="11" borderId="252" applyNumberFormat="0" applyProtection="0">
      <alignment horizontal="left" vertical="center" indent="1"/>
    </xf>
    <xf numFmtId="186" fontId="27" fillId="14" borderId="252" applyNumberFormat="0" applyProtection="0">
      <alignment horizontal="left" vertical="center"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37" fillId="48" borderId="261" applyNumberFormat="0" applyProtection="0">
      <alignment horizontal="left" vertical="top" indent="1"/>
    </xf>
    <xf numFmtId="193" fontId="28" fillId="12" borderId="259">
      <alignment vertical="center"/>
      <protection locked="0"/>
    </xf>
    <xf numFmtId="0" fontId="5" fillId="7" borderId="8">
      <alignment vertical="center"/>
      <protection locked="0"/>
    </xf>
    <xf numFmtId="186" fontId="27" fillId="14" borderId="261" applyNumberFormat="0" applyProtection="0">
      <alignment horizontal="left" vertical="center" indent="1"/>
    </xf>
    <xf numFmtId="186" fontId="27" fillId="64" borderId="259"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4" fontId="56" fillId="53"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27" fillId="63" borderId="252" applyNumberFormat="0" applyProtection="0">
      <alignment horizontal="left" vertical="top" indent="1"/>
    </xf>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4" borderId="252" applyNumberFormat="0" applyProtection="0">
      <alignment horizontal="left" vertical="center" indent="1"/>
    </xf>
    <xf numFmtId="186" fontId="62" fillId="15" borderId="252" applyNumberFormat="0" applyProtection="0">
      <alignment horizontal="left" vertical="top" indent="1"/>
    </xf>
    <xf numFmtId="4" fontId="72" fillId="50" borderId="261" applyNumberFormat="0" applyProtection="0">
      <alignment horizontal="right" vertical="center"/>
    </xf>
    <xf numFmtId="186" fontId="50" fillId="41" borderId="253" applyNumberFormat="0" applyAlignment="0" applyProtection="0"/>
    <xf numFmtId="186" fontId="44" fillId="0" borderId="268" applyNumberFormat="0" applyFill="0" applyAlignment="0" applyProtection="0"/>
    <xf numFmtId="191" fontId="28" fillId="50" borderId="259">
      <alignment vertical="center"/>
    </xf>
    <xf numFmtId="186" fontId="56" fillId="21" borderId="252"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63" borderId="253" applyNumberFormat="0" applyProtection="0">
      <alignment horizontal="left" vertical="center" indent="1"/>
    </xf>
    <xf numFmtId="4" fontId="64" fillId="64" borderId="253" applyNumberFormat="0" applyProtection="0">
      <alignment horizontal="right" vertical="center"/>
    </xf>
    <xf numFmtId="186" fontId="56" fillId="21" borderId="261" applyNumberFormat="0" applyProtection="0">
      <alignment horizontal="left" vertical="top" indent="1"/>
    </xf>
    <xf numFmtId="193" fontId="28" fillId="50" borderId="259">
      <alignmen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37" fontId="33" fillId="0" borderId="256" applyNumberFormat="0"/>
    <xf numFmtId="4" fontId="56" fillId="57" borderId="267" applyNumberFormat="0" applyProtection="0">
      <alignment horizontal="right" vertical="center"/>
    </xf>
    <xf numFmtId="4" fontId="56" fillId="59" borderId="263" applyNumberFormat="0" applyProtection="0">
      <alignment horizontal="right" vertical="center"/>
    </xf>
    <xf numFmtId="186" fontId="57" fillId="44" borderId="254" applyNumberFormat="0" applyAlignment="0" applyProtection="0"/>
    <xf numFmtId="188" fontId="28" fillId="49" borderId="269">
      <alignment vertical="center"/>
    </xf>
    <xf numFmtId="186" fontId="56" fillId="21" borderId="244" applyNumberFormat="0" applyProtection="0">
      <alignment horizontal="left" vertical="top" indent="1"/>
    </xf>
    <xf numFmtId="186" fontId="27" fillId="63" borderId="252" applyNumberFormat="0" applyProtection="0">
      <alignment horizontal="left" vertical="center" indent="1"/>
    </xf>
    <xf numFmtId="0" fontId="27" fillId="64" borderId="259" applyNumberFormat="0">
      <protection locked="0"/>
    </xf>
    <xf numFmtId="4" fontId="56" fillId="15" borderId="253" applyNumberFormat="0" applyProtection="0">
      <alignment horizontal="right" vertical="center"/>
    </xf>
    <xf numFmtId="4" fontId="59" fillId="53" borderId="253" applyNumberFormat="0" applyProtection="0">
      <alignment vertical="center"/>
    </xf>
    <xf numFmtId="186" fontId="62" fillId="15" borderId="244" applyNumberFormat="0" applyProtection="0">
      <alignment horizontal="left" vertical="top" indent="1"/>
    </xf>
    <xf numFmtId="4" fontId="74" fillId="87" borderId="261" applyNumberFormat="0" applyProtection="0">
      <alignmen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56" fillId="14" borderId="261" applyNumberFormat="0" applyProtection="0">
      <alignment horizontal="left" vertical="top" indent="1"/>
    </xf>
    <xf numFmtId="0" fontId="5" fillId="69"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4" fontId="62" fillId="11" borderId="244" applyNumberFormat="0" applyProtection="0">
      <alignment horizontal="left" vertical="center" indent="1"/>
    </xf>
    <xf numFmtId="186" fontId="27" fillId="14" borderId="252" applyNumberFormat="0" applyProtection="0">
      <alignment horizontal="left" vertical="top" indent="1"/>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7" borderId="259"/>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64" fillId="64" borderId="263" applyNumberFormat="0" applyProtection="0">
      <alignment horizontal="right" vertical="center"/>
    </xf>
    <xf numFmtId="4" fontId="72" fillId="53" borderId="252" applyNumberFormat="0" applyProtection="0">
      <alignment horizontal="left" vertical="center" indent="1"/>
    </xf>
    <xf numFmtId="4" fontId="70" fillId="86" borderId="251"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13" borderId="259">
      <alignment vertical="center"/>
    </xf>
    <xf numFmtId="191" fontId="5" fillId="69" borderId="259">
      <alignment vertical="center"/>
    </xf>
    <xf numFmtId="0" fontId="5" fillId="69" borderId="259">
      <alignment vertical="center"/>
    </xf>
    <xf numFmtId="193" fontId="5" fillId="7" borderId="259">
      <alignment vertical="center"/>
      <protection locked="0"/>
    </xf>
    <xf numFmtId="4" fontId="56" fillId="15" borderId="257" applyNumberFormat="0" applyProtection="0">
      <alignment horizontal="left" vertical="center" indent="1"/>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62" borderId="263" applyNumberFormat="0" applyProtection="0">
      <alignment horizontal="left" vertical="center" indent="1"/>
    </xf>
    <xf numFmtId="4" fontId="56" fillId="55" borderId="253" applyNumberFormat="0" applyProtection="0">
      <alignment horizontal="right" vertical="center"/>
    </xf>
    <xf numFmtId="186" fontId="56" fillId="40" borderId="253" applyNumberFormat="0" applyFont="0" applyAlignment="0" applyProtection="0"/>
    <xf numFmtId="186" fontId="28" fillId="12" borderId="259">
      <alignment vertical="center"/>
      <protection locked="0"/>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3" borderId="263" applyNumberFormat="0" applyProtection="0">
      <alignment horizontal="left" vertical="center" indent="1"/>
    </xf>
    <xf numFmtId="4" fontId="27" fillId="21" borderId="267"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186" fontId="56" fillId="21" borderId="261" applyNumberFormat="0" applyProtection="0">
      <alignment horizontal="left" vertical="top" indent="1"/>
    </xf>
    <xf numFmtId="186" fontId="42" fillId="44" borderId="263" applyNumberFormat="0" applyAlignment="0" applyProtection="0"/>
    <xf numFmtId="4" fontId="62" fillId="48" borderId="252" applyNumberFormat="0" applyProtection="0">
      <alignment vertical="center"/>
    </xf>
    <xf numFmtId="0" fontId="27" fillId="63" borderId="261" applyNumberFormat="0" applyProtection="0">
      <alignment horizontal="left" vertical="center" indent="1"/>
    </xf>
    <xf numFmtId="0" fontId="37" fillId="15" borderId="261" applyNumberFormat="0" applyProtection="0">
      <alignment horizontal="left" vertical="top" indent="1"/>
    </xf>
    <xf numFmtId="186" fontId="56" fillId="40" borderId="253" applyNumberFormat="0" applyFont="0" applyAlignment="0" applyProtection="0"/>
    <xf numFmtId="0" fontId="73" fillId="52" borderId="261" applyNumberFormat="0" applyProtection="0">
      <alignment horizontal="left" vertical="top" indent="1"/>
    </xf>
    <xf numFmtId="191" fontId="5" fillId="7" borderId="259">
      <alignment vertical="center"/>
      <protection locked="0"/>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62" fillId="48" borderId="252" applyNumberFormat="0" applyProtection="0">
      <alignment horizontal="left" vertical="top" indent="1"/>
    </xf>
    <xf numFmtId="186" fontId="56" fillId="63" borderId="252" applyNumberFormat="0" applyProtection="0">
      <alignment horizontal="left" vertical="top" indent="1"/>
    </xf>
    <xf numFmtId="4" fontId="64" fillId="64" borderId="253" applyNumberFormat="0" applyProtection="0">
      <alignment horizontal="right" vertical="center"/>
    </xf>
    <xf numFmtId="4" fontId="56" fillId="0" borderId="253" applyNumberFormat="0" applyProtection="0">
      <alignment horizontal="right" vertical="center"/>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0" fillId="41" borderId="253" applyNumberFormat="0" applyAlignment="0" applyProtection="0"/>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21" borderId="261" applyNumberFormat="0" applyProtection="0">
      <alignment horizontal="left" vertical="center" indent="1"/>
    </xf>
    <xf numFmtId="4" fontId="62" fillId="48" borderId="252" applyNumberFormat="0" applyProtection="0">
      <alignment vertical="center"/>
    </xf>
    <xf numFmtId="0" fontId="27" fillId="21" borderId="252" applyNumberFormat="0" applyProtection="0">
      <alignment horizontal="left" vertical="center" indent="1"/>
    </xf>
    <xf numFmtId="193" fontId="5" fillId="7" borderId="8">
      <alignment vertical="center"/>
      <protection locked="0"/>
    </xf>
    <xf numFmtId="4" fontId="70" fillId="86" borderId="244" applyNumberFormat="0" applyProtection="0">
      <alignment horizontal="left" vertical="center" indent="1"/>
    </xf>
    <xf numFmtId="186" fontId="56" fillId="62" borderId="253" applyNumberFormat="0" applyProtection="0">
      <alignment horizontal="left" vertical="center" indent="1"/>
    </xf>
    <xf numFmtId="186" fontId="61" fillId="21" borderId="246" applyBorder="0"/>
    <xf numFmtId="4" fontId="59" fillId="53" borderId="242" applyNumberFormat="0" applyProtection="0">
      <alignment vertical="center"/>
    </xf>
    <xf numFmtId="186" fontId="56" fillId="21" borderId="252" applyNumberFormat="0" applyProtection="0">
      <alignment horizontal="left" vertical="top" indent="1"/>
    </xf>
    <xf numFmtId="191" fontId="5" fillId="69" borderId="8">
      <alignment vertical="center"/>
    </xf>
    <xf numFmtId="4" fontId="56" fillId="57" borderId="245"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4" fontId="56" fillId="52"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96" fontId="5" fillId="69" borderId="249">
      <alignment vertical="center"/>
    </xf>
    <xf numFmtId="4" fontId="62" fillId="11" borderId="261" applyNumberFormat="0" applyProtection="0">
      <alignment horizontal="left" vertical="center" indent="1"/>
    </xf>
    <xf numFmtId="186" fontId="56" fillId="15" borderId="252" applyNumberFormat="0" applyProtection="0">
      <alignment horizontal="left" vertical="top" indent="1"/>
    </xf>
    <xf numFmtId="4" fontId="56" fillId="14" borderId="257" applyNumberFormat="0" applyProtection="0">
      <alignment horizontal="left" vertical="center" indent="1"/>
    </xf>
    <xf numFmtId="193" fontId="28" fillId="50" borderId="259">
      <alignment vertical="center"/>
    </xf>
    <xf numFmtId="4" fontId="59" fillId="12" borderId="8" applyNumberFormat="0" applyProtection="0">
      <alignment vertical="center"/>
    </xf>
    <xf numFmtId="186" fontId="44" fillId="0" borderId="258" applyNumberFormat="0" applyFill="0" applyAlignment="0" applyProtection="0"/>
    <xf numFmtId="37" fontId="33" fillId="0" borderId="266" applyNumberFormat="0"/>
    <xf numFmtId="4" fontId="72" fillId="87" borderId="261" applyNumberFormat="0" applyProtection="0">
      <alignment vertical="center"/>
    </xf>
    <xf numFmtId="186" fontId="56" fillId="63" borderId="252" applyNumberFormat="0" applyProtection="0">
      <alignment horizontal="left" vertical="top" indent="1"/>
    </xf>
    <xf numFmtId="186" fontId="27" fillId="21" borderId="261"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8" fontId="5" fillId="13" borderId="259">
      <alignmen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51" borderId="249">
      <alignment horizontal="right" vertical="center"/>
      <protection locked="0"/>
    </xf>
    <xf numFmtId="186" fontId="28" fillId="12" borderId="259">
      <alignment vertical="center"/>
      <protection locked="0"/>
    </xf>
    <xf numFmtId="186" fontId="56" fillId="14"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4" fontId="56" fillId="55" borderId="263" applyNumberFormat="0" applyProtection="0">
      <alignment horizontal="right" vertical="center"/>
    </xf>
    <xf numFmtId="186" fontId="56" fillId="63" borderId="244" applyNumberFormat="0" applyProtection="0">
      <alignment horizontal="left" vertical="top" indent="1"/>
    </xf>
    <xf numFmtId="186" fontId="56" fillId="40" borderId="242" applyNumberFormat="0" applyFont="0" applyAlignment="0" applyProtection="0"/>
    <xf numFmtId="186" fontId="56" fillId="63" borderId="244" applyNumberFormat="0" applyProtection="0">
      <alignment horizontal="left" vertical="top" indent="1"/>
    </xf>
    <xf numFmtId="186" fontId="57" fillId="44" borderId="254" applyNumberFormat="0" applyAlignment="0" applyProtection="0"/>
    <xf numFmtId="4" fontId="56" fillId="59" borderId="253" applyNumberFormat="0" applyProtection="0">
      <alignment horizontal="right" vertical="center"/>
    </xf>
    <xf numFmtId="186" fontId="28" fillId="12" borderId="8">
      <alignment vertical="center"/>
      <protection locked="0"/>
    </xf>
    <xf numFmtId="186" fontId="27" fillId="63"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4" fontId="56" fillId="60" borderId="242" applyNumberFormat="0" applyProtection="0">
      <alignment horizontal="right" vertical="center"/>
    </xf>
    <xf numFmtId="196" fontId="5" fillId="13" borderId="8">
      <alignment vertical="center"/>
    </xf>
    <xf numFmtId="186" fontId="56" fillId="21" borderId="252"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44" fillId="0" borderId="248" applyNumberFormat="0" applyFill="0" applyAlignment="0" applyProtection="0"/>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11" borderId="253" applyNumberFormat="0" applyProtection="0">
      <alignment horizontal="left" vertical="center" indent="1"/>
    </xf>
    <xf numFmtId="186" fontId="56" fillId="21" borderId="252" applyNumberFormat="0" applyProtection="0">
      <alignment horizontal="left" vertical="top" indent="1"/>
    </xf>
    <xf numFmtId="186" fontId="27" fillId="15" borderId="261" applyNumberFormat="0" applyProtection="0">
      <alignment horizontal="left" vertical="center" indent="1"/>
    </xf>
    <xf numFmtId="4" fontId="72" fillId="79" borderId="261"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71" fillId="53" borderId="252" applyNumberFormat="0" applyProtection="0">
      <alignment vertical="center"/>
    </xf>
    <xf numFmtId="186" fontId="50" fillId="41" borderId="253" applyNumberFormat="0" applyAlignment="0" applyProtection="0"/>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61" fillId="21" borderId="246" applyBorder="0"/>
    <xf numFmtId="37" fontId="33" fillId="0" borderId="247" applyNumberFormat="0"/>
    <xf numFmtId="186" fontId="56" fillId="15" borderId="244" applyNumberFormat="0" applyProtection="0">
      <alignment horizontal="left" vertical="top" indent="1"/>
    </xf>
    <xf numFmtId="191" fontId="28" fillId="50" borderId="249">
      <alignment vertical="center"/>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62" fillId="48" borderId="244"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4" fontId="56" fillId="16" borderId="242" applyNumberFormat="0" applyProtection="0">
      <alignment horizontal="right" vertical="center"/>
    </xf>
    <xf numFmtId="4" fontId="56" fillId="56" borderId="242" applyNumberFormat="0" applyProtection="0">
      <alignment horizontal="right" vertical="center"/>
    </xf>
    <xf numFmtId="0" fontId="5" fillId="69" borderId="249">
      <alignment vertical="center"/>
    </xf>
    <xf numFmtId="191" fontId="5" fillId="70" borderId="249">
      <alignment horizontal="right" vertical="center"/>
      <protection locked="0"/>
    </xf>
    <xf numFmtId="186" fontId="56" fillId="14"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15" borderId="244" applyNumberFormat="0" applyProtection="0">
      <alignment horizontal="left" vertical="top" indent="1"/>
    </xf>
    <xf numFmtId="191" fontId="28" fillId="12" borderId="249">
      <alignment vertical="center"/>
      <protection locked="0"/>
    </xf>
    <xf numFmtId="4" fontId="62" fillId="48" borderId="252" applyNumberFormat="0" applyProtection="0">
      <alignment vertical="center"/>
    </xf>
    <xf numFmtId="186" fontId="27" fillId="63" borderId="252" applyNumberFormat="0" applyProtection="0">
      <alignment horizontal="left" vertical="top" indent="1"/>
    </xf>
    <xf numFmtId="4" fontId="56" fillId="54" borderId="263" applyNumberFormat="0" applyProtection="0">
      <alignment horizontal="left" vertical="center" indent="1"/>
    </xf>
    <xf numFmtId="186" fontId="27" fillId="15" borderId="261" applyNumberFormat="0" applyProtection="0">
      <alignment horizontal="left" vertical="top" indent="1"/>
    </xf>
    <xf numFmtId="186" fontId="56" fillId="14" borderId="244" applyNumberFormat="0" applyProtection="0">
      <alignment horizontal="left" vertical="top" indent="1"/>
    </xf>
    <xf numFmtId="4" fontId="56" fillId="55" borderId="253" applyNumberFormat="0" applyProtection="0">
      <alignment horizontal="right" vertical="center"/>
    </xf>
    <xf numFmtId="4" fontId="63" fillId="66" borderId="267" applyNumberFormat="0" applyProtection="0">
      <alignment horizontal="left" vertical="center"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62" fillId="48" borderId="252" applyNumberFormat="0" applyProtection="0">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47" applyNumberFormat="0"/>
    <xf numFmtId="186" fontId="27" fillId="63"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90" fontId="28" fillId="51" borderId="249">
      <alignment horizontal="right" vertical="center"/>
      <protection locked="0"/>
    </xf>
    <xf numFmtId="186" fontId="42" fillId="44" borderId="242" applyNumberFormat="0" applyAlignment="0" applyProtection="0"/>
    <xf numFmtId="186" fontId="56" fillId="14" borderId="244" applyNumberFormat="0" applyProtection="0">
      <alignment horizontal="left" vertical="top" indent="1"/>
    </xf>
    <xf numFmtId="186" fontId="56" fillId="14" borderId="252" applyNumberFormat="0" applyProtection="0">
      <alignment horizontal="left" vertical="top" indent="1"/>
    </xf>
    <xf numFmtId="191" fontId="28" fillId="51" borderId="259">
      <alignment horizontal="right" vertical="center"/>
      <protection locked="0"/>
    </xf>
    <xf numFmtId="186" fontId="56" fillId="67" borderId="259"/>
    <xf numFmtId="4" fontId="59" fillId="53" borderId="253" applyNumberFormat="0" applyProtection="0">
      <alignment vertical="center"/>
    </xf>
    <xf numFmtId="186" fontId="56" fillId="40" borderId="253" applyNumberFormat="0" applyFont="0" applyAlignment="0" applyProtection="0"/>
    <xf numFmtId="4" fontId="56" fillId="56" borderId="242" applyNumberFormat="0" applyProtection="0">
      <alignment horizontal="right" vertical="center"/>
    </xf>
    <xf numFmtId="186" fontId="27" fillId="63" borderId="252"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4" fontId="56" fillId="54" borderId="242" applyNumberFormat="0" applyProtection="0">
      <alignment horizontal="left" vertical="center" indent="1"/>
    </xf>
    <xf numFmtId="4" fontId="56" fillId="56" borderId="242" applyNumberFormat="0" applyProtection="0">
      <alignment horizontal="right" vertical="center"/>
    </xf>
    <xf numFmtId="186" fontId="42" fillId="44" borderId="242" applyNumberFormat="0" applyAlignment="0" applyProtection="0"/>
    <xf numFmtId="186" fontId="57" fillId="44" borderId="254"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56" fillId="59" borderId="25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4" fontId="59" fillId="53" borderId="253" applyNumberFormat="0" applyProtection="0">
      <alignment vertical="center"/>
    </xf>
    <xf numFmtId="4" fontId="56" fillId="16" borderId="253" applyNumberFormat="0" applyProtection="0">
      <alignment horizontal="right" vertical="center"/>
    </xf>
    <xf numFmtId="186" fontId="56" fillId="15" borderId="252" applyNumberFormat="0" applyProtection="0">
      <alignment horizontal="left" vertical="top" indent="1"/>
    </xf>
    <xf numFmtId="4" fontId="56" fillId="53" borderId="253" applyNumberFormat="0" applyProtection="0">
      <alignment horizontal="left" vertical="center" indent="1"/>
    </xf>
    <xf numFmtId="186" fontId="56" fillId="40" borderId="253" applyNumberFormat="0" applyFont="0" applyAlignment="0" applyProtection="0"/>
    <xf numFmtId="4" fontId="56" fillId="58" borderId="253" applyNumberFormat="0" applyProtection="0">
      <alignment horizontal="right" vertical="center"/>
    </xf>
    <xf numFmtId="193" fontId="5" fillId="69" borderId="8">
      <alignment vertical="center"/>
    </xf>
    <xf numFmtId="190" fontId="28" fillId="50" borderId="8">
      <alignmen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7" borderId="245" applyNumberFormat="0" applyProtection="0">
      <alignment horizontal="right" vertical="center"/>
    </xf>
    <xf numFmtId="186" fontId="56" fillId="14" borderId="252" applyNumberFormat="0" applyProtection="0">
      <alignment horizontal="left" vertical="top" indent="1"/>
    </xf>
    <xf numFmtId="188" fontId="5" fillId="13" borderId="259">
      <alignment vertical="center"/>
    </xf>
    <xf numFmtId="0" fontId="27" fillId="64"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3" borderId="244" applyNumberFormat="0" applyProtection="0">
      <alignment horizontal="left" vertical="top" indent="1"/>
    </xf>
    <xf numFmtId="4" fontId="59" fillId="65" borderId="253" applyNumberFormat="0" applyProtection="0">
      <alignment horizontal="right" vertical="center"/>
    </xf>
    <xf numFmtId="37" fontId="33" fillId="0" borderId="247" applyNumberFormat="0"/>
    <xf numFmtId="4" fontId="56" fillId="14" borderId="245" applyNumberFormat="0" applyProtection="0">
      <alignment horizontal="left" vertical="center" indent="1"/>
    </xf>
    <xf numFmtId="186" fontId="56" fillId="21" borderId="244" applyNumberFormat="0" applyProtection="0">
      <alignment horizontal="left" vertical="top" indent="1"/>
    </xf>
    <xf numFmtId="191" fontId="5" fillId="13" borderId="259">
      <alignment vertical="center"/>
    </xf>
    <xf numFmtId="4" fontId="56" fillId="61" borderId="267" applyNumberFormat="0" applyProtection="0">
      <alignment horizontal="left" vertical="center" indent="1"/>
    </xf>
    <xf numFmtId="186" fontId="61" fillId="21" borderId="246" applyBorder="0"/>
    <xf numFmtId="4" fontId="27" fillId="21" borderId="245" applyNumberFormat="0" applyProtection="0">
      <alignment horizontal="left" vertical="center" indent="1"/>
    </xf>
    <xf numFmtId="186" fontId="56" fillId="40" borderId="242" applyNumberFormat="0" applyFont="0" applyAlignment="0" applyProtection="0"/>
    <xf numFmtId="186" fontId="28" fillId="51" borderId="259">
      <alignment horizontal="right" vertical="center"/>
      <protection locked="0"/>
    </xf>
    <xf numFmtId="4" fontId="63" fillId="66" borderId="245" applyNumberFormat="0" applyProtection="0">
      <alignment horizontal="left" vertical="center" indent="1"/>
    </xf>
    <xf numFmtId="4" fontId="56" fillId="15" borderId="245"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center" indent="1"/>
    </xf>
    <xf numFmtId="191" fontId="28" fillId="12" borderId="259">
      <alignment vertical="center"/>
      <protection locked="0"/>
    </xf>
    <xf numFmtId="4" fontId="27" fillId="21" borderId="257"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8" fillId="49" borderId="259">
      <alignment vertical="center"/>
    </xf>
    <xf numFmtId="186" fontId="56" fillId="14" borderId="244" applyNumberFormat="0" applyProtection="0">
      <alignment horizontal="left" vertical="top" indent="1"/>
    </xf>
    <xf numFmtId="0" fontId="27" fillId="63" borderId="244"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top" indent="1"/>
    </xf>
    <xf numFmtId="186" fontId="61" fillId="21" borderId="246" applyBorder="0"/>
    <xf numFmtId="4" fontId="56" fillId="61" borderId="245" applyNumberFormat="0" applyProtection="0">
      <alignment horizontal="left" vertical="center" indent="1"/>
    </xf>
    <xf numFmtId="186" fontId="56" fillId="63" borderId="244" applyNumberFormat="0" applyProtection="0">
      <alignment horizontal="left" vertical="top" indent="1"/>
    </xf>
    <xf numFmtId="190"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0" fontId="5" fillId="69" borderId="8">
      <alignment vertical="center"/>
    </xf>
    <xf numFmtId="4" fontId="56" fillId="52" borderId="253" applyNumberFormat="0" applyProtection="0">
      <alignment vertical="center"/>
    </xf>
    <xf numFmtId="186" fontId="56" fillId="11" borderId="253" applyNumberFormat="0" applyProtection="0">
      <alignment horizontal="left" vertical="center" indent="1"/>
    </xf>
    <xf numFmtId="4" fontId="62" fillId="48" borderId="252" applyNumberFormat="0" applyProtection="0">
      <alignment vertical="center"/>
    </xf>
    <xf numFmtId="4" fontId="62" fillId="48" borderId="261" applyNumberFormat="0" applyProtection="0">
      <alignmen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27"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27" fillId="21" borderId="267" applyNumberFormat="0" applyProtection="0">
      <alignment horizontal="left" vertical="center" indent="1"/>
    </xf>
    <xf numFmtId="186" fontId="56" fillId="14" borderId="252" applyNumberFormat="0" applyProtection="0">
      <alignment horizontal="left" vertical="top" indent="1"/>
    </xf>
    <xf numFmtId="4" fontId="56" fillId="16" borderId="253" applyNumberFormat="0" applyProtection="0">
      <alignment horizontal="right" vertical="center"/>
    </xf>
    <xf numFmtId="186" fontId="44" fillId="0" borderId="258" applyNumberFormat="0" applyFill="0" applyAlignment="0" applyProtection="0"/>
    <xf numFmtId="4" fontId="59" fillId="53" borderId="253" applyNumberFormat="0" applyProtection="0">
      <alignment vertical="center"/>
    </xf>
    <xf numFmtId="186" fontId="56" fillId="40" borderId="263" applyNumberFormat="0" applyFont="0" applyAlignment="0" applyProtection="0"/>
    <xf numFmtId="186" fontId="56" fillId="11" borderId="253" applyNumberFormat="0" applyProtection="0">
      <alignment horizontal="left" vertical="center" indent="1"/>
    </xf>
    <xf numFmtId="186" fontId="28" fillId="50" borderId="259">
      <alignment vertical="center"/>
    </xf>
    <xf numFmtId="4" fontId="59" fillId="12" borderId="259" applyNumberFormat="0" applyProtection="0">
      <alignment vertical="center"/>
    </xf>
    <xf numFmtId="4" fontId="64" fillId="64"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52" borderId="253" applyNumberFormat="0" applyProtection="0">
      <alignment vertical="center"/>
    </xf>
    <xf numFmtId="186" fontId="56" fillId="40" borderId="253" applyNumberFormat="0" applyFont="0" applyAlignment="0" applyProtection="0"/>
    <xf numFmtId="172" fontId="28" fillId="12" borderId="8">
      <alignment vertical="center"/>
      <protection locked="0"/>
    </xf>
    <xf numFmtId="186" fontId="50" fillId="41" borderId="253" applyNumberFormat="0" applyAlignment="0" applyProtection="0"/>
    <xf numFmtId="4" fontId="72" fillId="87" borderId="252" applyNumberFormat="0" applyProtection="0">
      <alignment vertical="center"/>
    </xf>
    <xf numFmtId="172" fontId="5" fillId="7" borderId="8">
      <alignment vertical="center"/>
      <protection locked="0"/>
    </xf>
    <xf numFmtId="186" fontId="56" fillId="63" borderId="252" applyNumberFormat="0" applyProtection="0">
      <alignment horizontal="left" vertical="top" indent="1"/>
    </xf>
    <xf numFmtId="186" fontId="62" fillId="48" borderId="252" applyNumberFormat="0" applyProtection="0">
      <alignment horizontal="left" vertical="top" indent="1"/>
    </xf>
    <xf numFmtId="186" fontId="62" fillId="15" borderId="252" applyNumberFormat="0" applyProtection="0">
      <alignment horizontal="left" vertical="top" indent="1"/>
    </xf>
    <xf numFmtId="190" fontId="5" fillId="13" borderId="25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7" fillId="44" borderId="264" applyNumberFormat="0" applyAlignment="0" applyProtection="0"/>
    <xf numFmtId="4" fontId="72" fillId="86" borderId="252" applyNumberFormat="0" applyProtection="0">
      <alignment horizontal="righ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1" fillId="21" borderId="246" applyBorder="0"/>
    <xf numFmtId="4" fontId="56" fillId="57" borderId="245"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86" fontId="28" fillId="50" borderId="269">
      <alignment vertical="center"/>
    </xf>
    <xf numFmtId="186" fontId="56" fillId="14" borderId="244" applyNumberFormat="0" applyProtection="0">
      <alignment horizontal="left" vertical="top" indent="1"/>
    </xf>
    <xf numFmtId="4" fontId="56" fillId="54" borderId="242" applyNumberFormat="0" applyProtection="0">
      <alignment horizontal="left" vertical="center" indent="1"/>
    </xf>
    <xf numFmtId="186" fontId="50" fillId="41" borderId="242" applyNumberFormat="0" applyAlignment="0" applyProtection="0"/>
    <xf numFmtId="191" fontId="28" fillId="50" borderId="259">
      <alignment vertical="center"/>
    </xf>
    <xf numFmtId="186" fontId="27" fillId="15" borderId="252" applyNumberFormat="0" applyProtection="0">
      <alignment horizontal="left" vertical="center" indent="1"/>
    </xf>
    <xf numFmtId="4" fontId="56" fillId="58" borderId="242" applyNumberFormat="0" applyProtection="0">
      <alignment horizontal="right" vertical="center"/>
    </xf>
    <xf numFmtId="191" fontId="28" fillId="49" borderId="8">
      <alignment vertical="center"/>
    </xf>
    <xf numFmtId="186" fontId="56" fillId="11" borderId="253" applyNumberFormat="0" applyProtection="0">
      <alignment horizontal="left" vertical="center" indent="1"/>
    </xf>
    <xf numFmtId="4" fontId="56" fillId="0"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186" fontId="56" fillId="40" borderId="242" applyNumberFormat="0" applyFon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90" fontId="5" fillId="13" borderId="259">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44" fillId="0" borderId="268" applyNumberFormat="0" applyFill="0" applyAlignment="0" applyProtection="0"/>
    <xf numFmtId="186" fontId="56" fillId="40" borderId="253" applyNumberFormat="0" applyFont="0" applyAlignment="0" applyProtection="0"/>
    <xf numFmtId="191" fontId="5" fillId="69" borderId="249">
      <alignment vertical="center"/>
    </xf>
    <xf numFmtId="186" fontId="56" fillId="15" borderId="252" applyNumberFormat="0" applyProtection="0">
      <alignment horizontal="left" vertical="top" indent="1"/>
    </xf>
    <xf numFmtId="4" fontId="75" fillId="88" borderId="251" applyNumberFormat="0" applyProtection="0">
      <alignment horizontal="left" vertical="center" indent="1"/>
    </xf>
    <xf numFmtId="4" fontId="56" fillId="23" borderId="253" applyNumberFormat="0" applyProtection="0">
      <alignment horizontal="right" vertical="center"/>
    </xf>
    <xf numFmtId="186" fontId="57" fillId="44" borderId="264" applyNumberFormat="0" applyAlignment="0" applyProtection="0"/>
    <xf numFmtId="186" fontId="57" fillId="44" borderId="264" applyNumberFormat="0" applyAlignment="0" applyProtection="0"/>
    <xf numFmtId="191" fontId="28" fillId="51" borderId="8">
      <alignment horizontal="right" vertical="center"/>
      <protection locked="0"/>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37" fontId="33" fillId="0" borderId="256" applyNumberFormat="0"/>
    <xf numFmtId="186" fontId="56" fillId="15" borderId="252" applyNumberFormat="0" applyProtection="0">
      <alignment horizontal="left" vertical="top" indent="1"/>
    </xf>
    <xf numFmtId="172" fontId="28" fillId="12" borderId="259">
      <alignment vertical="center"/>
      <protection locked="0"/>
    </xf>
    <xf numFmtId="186" fontId="56" fillId="40" borderId="253" applyNumberFormat="0" applyFont="0" applyAlignment="0" applyProtection="0"/>
    <xf numFmtId="193" fontId="28" fillId="12" borderId="249">
      <alignment vertical="center"/>
      <protection locked="0"/>
    </xf>
    <xf numFmtId="188" fontId="5" fillId="7" borderId="249">
      <alignment vertical="center"/>
      <protection locked="0"/>
    </xf>
    <xf numFmtId="186" fontId="56" fillId="15" borderId="244" applyNumberFormat="0" applyProtection="0">
      <alignment horizontal="left" vertical="top" indent="1"/>
    </xf>
    <xf numFmtId="4" fontId="56" fillId="23" borderId="242" applyNumberFormat="0" applyProtection="0">
      <alignment horizontal="right" vertical="center"/>
    </xf>
    <xf numFmtId="188" fontId="28" fillId="50" borderId="8">
      <alignment vertical="center"/>
    </xf>
    <xf numFmtId="4" fontId="56" fillId="61" borderId="267" applyNumberFormat="0" applyProtection="0">
      <alignment horizontal="left" vertical="center" indent="1"/>
    </xf>
    <xf numFmtId="4" fontId="56" fillId="58" borderId="253" applyNumberFormat="0" applyProtection="0">
      <alignment horizontal="right" vertical="center"/>
    </xf>
    <xf numFmtId="186" fontId="42" fillId="44" borderId="253" applyNumberFormat="0" applyAlignment="0" applyProtection="0"/>
    <xf numFmtId="186" fontId="28" fillId="49" borderId="259">
      <alignment vertical="center"/>
    </xf>
    <xf numFmtId="186" fontId="56" fillId="14"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4" fontId="62" fillId="48" borderId="261" applyNumberFormat="0" applyProtection="0">
      <alignment vertical="center"/>
    </xf>
    <xf numFmtId="186" fontId="62" fillId="15" borderId="261"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6" fillId="62"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5" borderId="244" applyNumberFormat="0" applyProtection="0">
      <alignment horizontal="left" vertical="top" indent="1"/>
    </xf>
    <xf numFmtId="4" fontId="56" fillId="19" borderId="253" applyNumberFormat="0" applyProtection="0">
      <alignment horizontal="righ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1" borderId="253" applyNumberFormat="0" applyProtection="0">
      <alignment horizontal="left" vertical="center" indent="1"/>
    </xf>
    <xf numFmtId="186" fontId="27" fillId="21" borderId="261" applyNumberFormat="0" applyProtection="0">
      <alignment horizontal="left" vertical="center" indent="1"/>
    </xf>
    <xf numFmtId="186" fontId="56" fillId="40" borderId="263" applyNumberFormat="0" applyFont="0" applyAlignment="0" applyProtection="0"/>
    <xf numFmtId="4" fontId="56" fillId="59" borderId="253" applyNumberFormat="0" applyProtection="0">
      <alignment horizontal="right" vertical="center"/>
    </xf>
    <xf numFmtId="4" fontId="56" fillId="59" borderId="253" applyNumberFormat="0" applyProtection="0">
      <alignment horizontal="right" vertical="center"/>
    </xf>
    <xf numFmtId="186" fontId="50" fillId="41" borderId="253" applyNumberFormat="0" applyAlignment="0" applyProtection="0"/>
    <xf numFmtId="4" fontId="56" fillId="53" borderId="253" applyNumberFormat="0" applyProtection="0">
      <alignment horizontal="left" vertical="center" indent="1"/>
    </xf>
    <xf numFmtId="193" fontId="5" fillId="69" borderId="8">
      <alignment vertical="center"/>
    </xf>
    <xf numFmtId="186" fontId="44" fillId="0" borderId="25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86" fontId="56" fillId="15" borderId="261" applyNumberFormat="0" applyProtection="0">
      <alignment horizontal="left" vertical="top" indent="1"/>
    </xf>
    <xf numFmtId="172" fontId="28" fillId="12" borderId="259">
      <alignment vertical="center"/>
      <protection locked="0"/>
    </xf>
    <xf numFmtId="186" fontId="56" fillId="21"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4" fontId="56" fillId="14" borderId="245" applyNumberFormat="0" applyProtection="0">
      <alignment horizontal="left" vertical="center" indent="1"/>
    </xf>
    <xf numFmtId="186" fontId="56" fillId="15" borderId="252" applyNumberFormat="0" applyProtection="0">
      <alignment horizontal="left" vertical="top" indent="1"/>
    </xf>
    <xf numFmtId="186" fontId="57" fillId="44" borderId="254" applyNumberFormat="0" applyAlignment="0" applyProtection="0"/>
    <xf numFmtId="4" fontId="56" fillId="15" borderId="257" applyNumberFormat="0" applyProtection="0">
      <alignment horizontal="left" vertical="center" indent="1"/>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61" fillId="21" borderId="265" applyBorder="0"/>
    <xf numFmtId="0" fontId="27"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56" fillId="63" borderId="244" applyNumberFormat="0" applyProtection="0">
      <alignment horizontal="left" vertical="top" indent="1"/>
    </xf>
    <xf numFmtId="186" fontId="56" fillId="21" borderId="244" applyNumberFormat="0" applyProtection="0">
      <alignment horizontal="left" vertical="top" indent="1"/>
    </xf>
    <xf numFmtId="196" fontId="5" fillId="69" borderId="249">
      <alignment vertical="center"/>
    </xf>
    <xf numFmtId="186" fontId="28" fillId="49" borderId="249">
      <alignment vertical="center"/>
    </xf>
    <xf numFmtId="186" fontId="56" fillId="15" borderId="252" applyNumberFormat="0" applyProtection="0">
      <alignment horizontal="left" vertical="top" indent="1"/>
    </xf>
    <xf numFmtId="172" fontId="28" fillId="12" borderId="259">
      <alignment vertical="center"/>
      <protection locked="0"/>
    </xf>
    <xf numFmtId="186" fontId="56" fillId="14" borderId="252" applyNumberFormat="0" applyProtection="0">
      <alignment horizontal="left" vertical="top" indent="1"/>
    </xf>
    <xf numFmtId="4" fontId="62" fillId="11" borderId="252" applyNumberFormat="0" applyProtection="0">
      <alignment horizontal="left" vertical="center" indent="1"/>
    </xf>
    <xf numFmtId="186" fontId="62" fillId="15" borderId="252" applyNumberFormat="0" applyProtection="0">
      <alignment horizontal="left" vertical="top" indent="1"/>
    </xf>
    <xf numFmtId="4" fontId="63" fillId="66" borderId="257" applyNumberFormat="0" applyProtection="0">
      <alignment horizontal="left" vertical="center" indent="1"/>
    </xf>
    <xf numFmtId="37" fontId="33" fillId="0" borderId="25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53" applyNumberFormat="0" applyAlignment="0" applyProtection="0"/>
    <xf numFmtId="4" fontId="62" fillId="48" borderId="252" applyNumberFormat="0" applyProtection="0">
      <alignment vertical="center"/>
    </xf>
    <xf numFmtId="186" fontId="62" fillId="48" borderId="252" applyNumberFormat="0" applyProtection="0">
      <alignment horizontal="left" vertical="top" indent="1"/>
    </xf>
    <xf numFmtId="37" fontId="33" fillId="0" borderId="256" applyNumberFormat="0"/>
    <xf numFmtId="194" fontId="33" fillId="0" borderId="250" applyFill="0"/>
    <xf numFmtId="186" fontId="56" fillId="15" borderId="252" applyNumberFormat="0" applyProtection="0">
      <alignment horizontal="left" vertical="top" indent="1"/>
    </xf>
    <xf numFmtId="4" fontId="63" fillId="66"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42" fillId="44" borderId="253" applyNumberFormat="0" applyAlignment="0" applyProtection="0"/>
    <xf numFmtId="4" fontId="56" fillId="56"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63" applyNumberFormat="0" applyProtection="0">
      <alignment horizontal="left" vertical="center" indent="1"/>
    </xf>
    <xf numFmtId="4" fontId="56" fillId="14" borderId="267" applyNumberFormat="0" applyProtection="0">
      <alignment horizontal="left" vertical="center" indent="1"/>
    </xf>
    <xf numFmtId="4" fontId="72" fillId="79" borderId="252"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186" fontId="28" fillId="50" borderId="259">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188" fontId="5" fillId="13" borderId="8">
      <alignment vertical="center"/>
    </xf>
    <xf numFmtId="186" fontId="56" fillId="14" borderId="252" applyNumberFormat="0" applyProtection="0">
      <alignment horizontal="left" vertical="top" indent="1"/>
    </xf>
    <xf numFmtId="4" fontId="59" fillId="65" borderId="253" applyNumberFormat="0" applyProtection="0">
      <alignment horizontal="right" vertical="center"/>
    </xf>
    <xf numFmtId="193" fontId="28" fillId="12" borderId="8">
      <alignment vertical="center"/>
      <protection locked="0"/>
    </xf>
    <xf numFmtId="4" fontId="64" fillId="64" borderId="263" applyNumberFormat="0" applyProtection="0">
      <alignment horizontal="right" vertical="center"/>
    </xf>
    <xf numFmtId="186" fontId="27" fillId="15" borderId="261" applyNumberFormat="0" applyProtection="0">
      <alignment horizontal="left" vertical="top" indent="1"/>
    </xf>
    <xf numFmtId="186" fontId="27" fillId="21" borderId="252" applyNumberFormat="0" applyProtection="0">
      <alignment horizontal="left" vertical="center" indent="1"/>
    </xf>
    <xf numFmtId="186" fontId="27" fillId="21" borderId="261" applyNumberFormat="0" applyProtection="0">
      <alignment horizontal="left" vertical="center" indent="1"/>
    </xf>
    <xf numFmtId="4" fontId="56" fillId="58" borderId="263" applyNumberFormat="0" applyProtection="0">
      <alignment horizontal="right" vertical="center"/>
    </xf>
    <xf numFmtId="186" fontId="56" fillId="15" borderId="252" applyNumberFormat="0" applyProtection="0">
      <alignment horizontal="left" vertical="top" indent="1"/>
    </xf>
    <xf numFmtId="4" fontId="64" fillId="64" borderId="263" applyNumberFormat="0" applyProtection="0">
      <alignment horizontal="right" vertical="center"/>
    </xf>
    <xf numFmtId="4" fontId="56" fillId="15"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72" fillId="78" borderId="261" applyNumberFormat="0" applyProtection="0">
      <alignment horizontal="right" vertical="center"/>
    </xf>
    <xf numFmtId="4" fontId="56" fillId="53" borderId="263" applyNumberFormat="0" applyProtection="0">
      <alignment horizontal="left" vertical="center" indent="1"/>
    </xf>
    <xf numFmtId="186" fontId="56" fillId="63" borderId="252" applyNumberFormat="0" applyProtection="0">
      <alignment horizontal="left" vertical="top" indent="1"/>
    </xf>
    <xf numFmtId="188" fontId="28" fillId="49" borderId="269">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4" fontId="70" fillId="53" borderId="252" applyNumberFormat="0" applyProtection="0">
      <alignment vertical="center"/>
    </xf>
    <xf numFmtId="4" fontId="62" fillId="11" borderId="252" applyNumberFormat="0" applyProtection="0">
      <alignment horizontal="left" vertical="center" indent="1"/>
    </xf>
    <xf numFmtId="188" fontId="5" fillId="13" borderId="259">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4" fontId="64" fillId="64" borderId="242" applyNumberFormat="0" applyProtection="0">
      <alignment horizontal="right" vertical="center"/>
    </xf>
    <xf numFmtId="186" fontId="56" fillId="15" borderId="244" applyNumberFormat="0" applyProtection="0">
      <alignment horizontal="left" vertical="top" indent="1"/>
    </xf>
    <xf numFmtId="191" fontId="28" fillId="50" borderId="249">
      <alignment vertical="center"/>
    </xf>
    <xf numFmtId="186" fontId="56" fillId="63" borderId="252"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91" fontId="5" fillId="70" borderId="249">
      <alignment horizontal="right" vertical="center"/>
      <protection locked="0"/>
    </xf>
    <xf numFmtId="193" fontId="5" fillId="7" borderId="249">
      <alignment vertical="center"/>
      <protection locked="0"/>
    </xf>
    <xf numFmtId="186" fontId="27"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61" fillId="21" borderId="246" applyBorder="0"/>
    <xf numFmtId="191" fontId="28" fillId="51" borderId="249">
      <alignment horizontal="right" vertical="center"/>
      <protection locked="0"/>
    </xf>
    <xf numFmtId="4" fontId="56" fillId="55" borderId="242" applyNumberFormat="0" applyProtection="0">
      <alignment horizontal="right" vertical="center"/>
    </xf>
    <xf numFmtId="186" fontId="27" fillId="14" borderId="252" applyNumberFormat="0" applyProtection="0">
      <alignment horizontal="left" vertical="center" indent="1"/>
    </xf>
    <xf numFmtId="4" fontId="56" fillId="54" borderId="253" applyNumberFormat="0" applyProtection="0">
      <alignment horizontal="left" vertical="center" indent="1"/>
    </xf>
    <xf numFmtId="193" fontId="5" fillId="7" borderId="259">
      <alignment vertical="center"/>
      <protection locked="0"/>
    </xf>
    <xf numFmtId="186" fontId="56" fillId="15" borderId="244"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186" fontId="27" fillId="15" borderId="252" applyNumberFormat="0" applyProtection="0">
      <alignment horizontal="left" vertical="top" indent="1"/>
    </xf>
    <xf numFmtId="191" fontId="5" fillId="69" borderId="259">
      <alignment vertical="center"/>
    </xf>
    <xf numFmtId="186" fontId="56" fillId="21" borderId="252"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9" fillId="65" borderId="263"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93" fontId="5" fillId="7" borderId="8">
      <alignmen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4" fontId="72" fillId="79" borderId="252" applyNumberFormat="0" applyProtection="0">
      <alignment horizontal="right" vertical="center"/>
    </xf>
    <xf numFmtId="186" fontId="56" fillId="15" borderId="261" applyNumberFormat="0" applyProtection="0">
      <alignment horizontal="left" vertical="top" indent="1"/>
    </xf>
    <xf numFmtId="186" fontId="50" fillId="41" borderId="263" applyNumberForma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4" borderId="261" applyNumberFormat="0" applyProtection="0">
      <alignment horizontal="left" vertical="center" indent="1"/>
    </xf>
    <xf numFmtId="4" fontId="70" fillId="86" borderId="262" applyNumberFormat="0" applyProtection="0">
      <alignment horizontal="left" vertical="center" indent="1"/>
    </xf>
    <xf numFmtId="186" fontId="27" fillId="15" borderId="261" applyNumberFormat="0" applyProtection="0">
      <alignment horizontal="left" vertical="center" indent="1"/>
    </xf>
    <xf numFmtId="186" fontId="62" fillId="15" borderId="252"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62" borderId="242" applyNumberFormat="0" applyProtection="0">
      <alignment horizontal="left" vertical="center" indent="1"/>
    </xf>
    <xf numFmtId="186" fontId="27" fillId="15" borderId="252" applyNumberFormat="0" applyProtection="0">
      <alignment horizontal="left" vertical="center"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91" fontId="5" fillId="7" borderId="8">
      <alignment vertical="center"/>
      <protection locked="0"/>
    </xf>
    <xf numFmtId="186" fontId="56" fillId="14" borderId="261" applyNumberFormat="0" applyProtection="0">
      <alignment horizontal="left" vertical="top" indent="1"/>
    </xf>
    <xf numFmtId="186" fontId="27" fillId="63" borderId="244" applyNumberFormat="0" applyProtection="0">
      <alignment horizontal="left" vertical="top" indent="1"/>
    </xf>
    <xf numFmtId="186" fontId="28" fillId="51" borderId="249">
      <alignment horizontal="right" vertical="center"/>
      <protection locked="0"/>
    </xf>
    <xf numFmtId="188" fontId="5" fillId="13" borderId="249">
      <alignment vertical="center"/>
    </xf>
    <xf numFmtId="186" fontId="56" fillId="14" borderId="244" applyNumberFormat="0" applyProtection="0">
      <alignment horizontal="left" vertical="top" indent="1"/>
    </xf>
    <xf numFmtId="186" fontId="56" fillId="14" borderId="252" applyNumberFormat="0" applyProtection="0">
      <alignment horizontal="left" vertical="top" indent="1"/>
    </xf>
    <xf numFmtId="190" fontId="28" fillId="51" borderId="259">
      <alignment horizontal="right" vertical="center"/>
      <protection locked="0"/>
    </xf>
    <xf numFmtId="4" fontId="56" fillId="0" borderId="253" applyNumberFormat="0" applyProtection="0">
      <alignment horizontal="right" vertical="center"/>
    </xf>
    <xf numFmtId="190" fontId="28" fillId="51" borderId="8">
      <alignment horizontal="right" vertical="center"/>
      <protection locked="0"/>
    </xf>
    <xf numFmtId="186" fontId="56" fillId="40" borderId="253" applyNumberFormat="0" applyFont="0" applyAlignment="0" applyProtection="0"/>
    <xf numFmtId="4" fontId="56" fillId="55" borderId="242" applyNumberFormat="0" applyProtection="0">
      <alignment horizontal="righ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0" fontId="73" fillId="52" borderId="244" applyNumberFormat="0" applyProtection="0">
      <alignment horizontal="left" vertical="top" indent="1"/>
    </xf>
    <xf numFmtId="193" fontId="5" fillId="7" borderId="249">
      <alignment vertical="center"/>
      <protection locked="0"/>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62" borderId="242" applyNumberFormat="0" applyProtection="0">
      <alignment horizontal="left" vertical="center" indent="1"/>
    </xf>
    <xf numFmtId="4" fontId="59" fillId="65" borderId="242" applyNumberFormat="0" applyProtection="0">
      <alignment horizontal="right" vertical="center"/>
    </xf>
    <xf numFmtId="4" fontId="56" fillId="55" borderId="242" applyNumberFormat="0" applyProtection="0">
      <alignment horizontal="right" vertical="center"/>
    </xf>
    <xf numFmtId="186" fontId="50" fillId="41" borderId="242" applyNumberFormat="0" applyAlignment="0" applyProtection="0"/>
    <xf numFmtId="172" fontId="28" fillId="12" borderId="8">
      <alignment vertical="center"/>
      <protection locked="0"/>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57"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61" fillId="21" borderId="255" applyBorder="0"/>
    <xf numFmtId="4" fontId="56" fillId="19" borderId="253" applyNumberFormat="0" applyProtection="0">
      <alignment horizontal="right" vertical="center"/>
    </xf>
    <xf numFmtId="186" fontId="56" fillId="40" borderId="263" applyNumberFormat="0" applyFont="0" applyAlignment="0" applyProtection="0"/>
    <xf numFmtId="4" fontId="56" fillId="19" borderId="253" applyNumberFormat="0" applyProtection="0">
      <alignment horizontal="right" vertical="center"/>
    </xf>
    <xf numFmtId="186" fontId="56" fillId="40" borderId="253"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8" applyNumberFormat="0" applyFill="0" applyAlignment="0" applyProtection="0"/>
    <xf numFmtId="4" fontId="56" fillId="57" borderId="257"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6" fontId="56" fillId="14" borderId="252" applyNumberFormat="0" applyProtection="0">
      <alignment horizontal="left" vertical="top" indent="1"/>
    </xf>
    <xf numFmtId="186" fontId="60" fillId="52"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0" fontId="27" fillId="14" borderId="252" applyNumberFormat="0" applyProtection="0">
      <alignment horizontal="left" vertical="top" indent="1"/>
    </xf>
    <xf numFmtId="193" fontId="5" fillId="7" borderId="249">
      <alignment vertical="center"/>
      <protection locked="0"/>
    </xf>
    <xf numFmtId="191" fontId="28" fillId="50" borderId="8">
      <alignment vertical="center"/>
    </xf>
    <xf numFmtId="186" fontId="56" fillId="63" borderId="244" applyNumberFormat="0" applyProtection="0">
      <alignment horizontal="left" vertical="top" indent="1"/>
    </xf>
    <xf numFmtId="4" fontId="56" fillId="58" borderId="253" applyNumberFormat="0" applyProtection="0">
      <alignment horizontal="right" vertical="center"/>
    </xf>
    <xf numFmtId="186" fontId="27" fillId="21" borderId="244" applyNumberFormat="0" applyProtection="0">
      <alignment horizontal="left" vertical="top" indent="1"/>
    </xf>
    <xf numFmtId="4" fontId="56" fillId="15" borderId="242" applyNumberFormat="0" applyProtection="0">
      <alignment horizontal="right" vertical="center"/>
    </xf>
    <xf numFmtId="186" fontId="56" fillId="21" borderId="244" applyNumberFormat="0" applyProtection="0">
      <alignment horizontal="left" vertical="top" indent="1"/>
    </xf>
    <xf numFmtId="4" fontId="27" fillId="21" borderId="257" applyNumberFormat="0" applyProtection="0">
      <alignment horizontal="left" vertical="center" indent="1"/>
    </xf>
    <xf numFmtId="4" fontId="56" fillId="16" borderId="253" applyNumberFormat="0" applyProtection="0">
      <alignment horizontal="right" vertical="center"/>
    </xf>
    <xf numFmtId="186" fontId="27" fillId="64" borderId="249" applyNumberFormat="0">
      <protection locked="0"/>
    </xf>
    <xf numFmtId="4" fontId="56" fillId="61" borderId="245" applyNumberFormat="0" applyProtection="0">
      <alignment horizontal="left" vertical="center" indent="1"/>
    </xf>
    <xf numFmtId="186" fontId="56" fillId="40" borderId="242" applyNumberFormat="0" applyFont="0" applyAlignment="0" applyProtection="0"/>
    <xf numFmtId="191" fontId="28" fillId="50" borderId="8">
      <alignment vertical="center"/>
    </xf>
    <xf numFmtId="186" fontId="62" fillId="15" borderId="244" applyNumberFormat="0" applyProtection="0">
      <alignment horizontal="left" vertical="top" indent="1"/>
    </xf>
    <xf numFmtId="186" fontId="62" fillId="48" borderId="252" applyNumberFormat="0" applyProtection="0">
      <alignment horizontal="left" vertical="top" indent="1"/>
    </xf>
    <xf numFmtId="186" fontId="56" fillId="14" borderId="252" applyNumberFormat="0" applyProtection="0">
      <alignment horizontal="left" vertical="top" indent="1"/>
    </xf>
    <xf numFmtId="186" fontId="56" fillId="63" borderId="253" applyNumberFormat="0" applyProtection="0">
      <alignment horizontal="left" vertical="center" indent="1"/>
    </xf>
    <xf numFmtId="186" fontId="27" fillId="15" borderId="252" applyNumberFormat="0" applyProtection="0">
      <alignment horizontal="left" vertical="center" indent="1"/>
    </xf>
    <xf numFmtId="4" fontId="56" fillId="15" borderId="253" applyNumberFormat="0" applyProtection="0">
      <alignment horizontal="right" vertical="center"/>
    </xf>
    <xf numFmtId="186" fontId="62"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14" borderId="244" applyNumberFormat="0" applyProtection="0">
      <alignment horizontal="left" vertical="top" indent="1"/>
    </xf>
    <xf numFmtId="0" fontId="27" fillId="63"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14" borderId="244" applyNumberFormat="0" applyProtection="0">
      <alignment horizontal="left" vertical="top" indent="1"/>
    </xf>
    <xf numFmtId="4" fontId="56" fillId="57" borderId="245" applyNumberFormat="0" applyProtection="0">
      <alignment horizontal="right" vertical="center"/>
    </xf>
    <xf numFmtId="186" fontId="56" fillId="63" borderId="244" applyNumberFormat="0" applyProtection="0">
      <alignment horizontal="left" vertical="top" indent="1"/>
    </xf>
    <xf numFmtId="188"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1" borderId="259">
      <alignment horizontal="right" vertical="center"/>
      <protection locked="0"/>
    </xf>
    <xf numFmtId="191" fontId="28" fillId="12" borderId="259">
      <alignment vertical="center"/>
      <protection locked="0"/>
    </xf>
    <xf numFmtId="186" fontId="56" fillId="14" borderId="244" applyNumberFormat="0" applyProtection="0">
      <alignment horizontal="left" vertical="top" indent="1"/>
    </xf>
    <xf numFmtId="4" fontId="74" fillId="87" borderId="244" applyNumberFormat="0" applyProtection="0">
      <alignment horizontal="right" vertical="center"/>
    </xf>
    <xf numFmtId="4" fontId="64" fillId="64" borderId="253" applyNumberFormat="0" applyProtection="0">
      <alignment horizontal="righ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4" fontId="59" fillId="53" borderId="253" applyNumberFormat="0" applyProtection="0">
      <alignment vertical="center"/>
    </xf>
    <xf numFmtId="186" fontId="56" fillId="21" borderId="252" applyNumberFormat="0" applyProtection="0">
      <alignment horizontal="left" vertical="top" indent="1"/>
    </xf>
    <xf numFmtId="186" fontId="50" fillId="41" borderId="253" applyNumberFormat="0" applyAlignment="0" applyProtection="0"/>
    <xf numFmtId="4" fontId="59" fillId="65" borderId="253" applyNumberFormat="0" applyProtection="0">
      <alignment horizontal="right" vertical="center"/>
    </xf>
    <xf numFmtId="186" fontId="56" fillId="63" borderId="244" applyNumberFormat="0" applyProtection="0">
      <alignment horizontal="left" vertical="top" indent="1"/>
    </xf>
    <xf numFmtId="4" fontId="56" fillId="61" borderId="245" applyNumberFormat="0" applyProtection="0">
      <alignment horizontal="left" vertical="center" indent="1"/>
    </xf>
    <xf numFmtId="188" fontId="5" fillId="13" borderId="249">
      <alignment vertical="center"/>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45" applyNumberFormat="0" applyProtection="0">
      <alignment horizontal="right" vertical="center"/>
    </xf>
    <xf numFmtId="186" fontId="56" fillId="63" borderId="244"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6" fillId="52" borderId="253" applyNumberFormat="0" applyProtection="0">
      <alignment vertical="center"/>
    </xf>
    <xf numFmtId="194" fontId="33" fillId="0" borderId="270" applyFill="0"/>
    <xf numFmtId="4" fontId="56" fillId="15" borderId="257" applyNumberFormat="0" applyProtection="0">
      <alignment horizontal="left" vertical="center" indent="1"/>
    </xf>
    <xf numFmtId="191" fontId="28" fillId="50" borderId="259">
      <alignment vertical="center"/>
    </xf>
    <xf numFmtId="4" fontId="56" fillId="54" borderId="253" applyNumberFormat="0" applyProtection="0">
      <alignment horizontal="left" vertical="center" indent="1"/>
    </xf>
    <xf numFmtId="186" fontId="62" fillId="15" borderId="261" applyNumberFormat="0" applyProtection="0">
      <alignment horizontal="left" vertical="top" indent="1"/>
    </xf>
    <xf numFmtId="4" fontId="56" fillId="54" borderId="253" applyNumberFormat="0" applyProtection="0">
      <alignment horizontal="left" vertical="center" indent="1"/>
    </xf>
    <xf numFmtId="37" fontId="33" fillId="0" borderId="256" applyNumberFormat="0"/>
    <xf numFmtId="186" fontId="57" fillId="44" borderId="254" applyNumberFormat="0" applyAlignment="0" applyProtection="0"/>
    <xf numFmtId="186" fontId="56" fillId="40" borderId="253" applyNumberFormat="0" applyFont="0" applyAlignment="0" applyProtection="0"/>
    <xf numFmtId="193" fontId="28" fillId="12" borderId="259">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2" applyNumberFormat="0" applyProtection="0">
      <alignment horizontal="left" vertical="top" indent="1"/>
    </xf>
    <xf numFmtId="4" fontId="62" fillId="11" borderId="252" applyNumberFormat="0" applyProtection="0">
      <alignment horizontal="left" vertical="center" indent="1"/>
    </xf>
    <xf numFmtId="193" fontId="28" fillId="50" borderId="8">
      <alignment vertical="center"/>
    </xf>
    <xf numFmtId="190" fontId="5" fillId="69" borderId="259">
      <alignment vertical="center"/>
    </xf>
    <xf numFmtId="186" fontId="56" fillId="15" borderId="252" applyNumberFormat="0" applyProtection="0">
      <alignment horizontal="left" vertical="top" indent="1"/>
    </xf>
    <xf numFmtId="4" fontId="62" fillId="48" borderId="252" applyNumberFormat="0" applyProtection="0">
      <alignment vertical="center"/>
    </xf>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4" fontId="27" fillId="21" borderId="257" applyNumberFormat="0" applyProtection="0">
      <alignment horizontal="left" vertical="center" indent="1"/>
    </xf>
    <xf numFmtId="4" fontId="62" fillId="11" borderId="252" applyNumberFormat="0" applyProtection="0">
      <alignment horizontal="left" vertical="center" indent="1"/>
    </xf>
    <xf numFmtId="186" fontId="42" fillId="44" borderId="253" applyNumberFormat="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6" borderId="242"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93" fontId="28" fillId="50" borderId="269">
      <alignment vertical="center"/>
    </xf>
    <xf numFmtId="186" fontId="27" fillId="14" borderId="244" applyNumberFormat="0" applyProtection="0">
      <alignment horizontal="left" vertical="center" indent="1"/>
    </xf>
    <xf numFmtId="186" fontId="60" fillId="52" borderId="244" applyNumberFormat="0" applyProtection="0">
      <alignment horizontal="left" vertical="top" indent="1"/>
    </xf>
    <xf numFmtId="4" fontId="56" fillId="14" borderId="267" applyNumberFormat="0" applyProtection="0">
      <alignment horizontal="left" vertical="center" indent="1"/>
    </xf>
    <xf numFmtId="4" fontId="56" fillId="15" borderId="257" applyNumberFormat="0" applyProtection="0">
      <alignment horizontal="left" vertical="center" indent="1"/>
    </xf>
    <xf numFmtId="186" fontId="56" fillId="21" borderId="252" applyNumberFormat="0" applyProtection="0">
      <alignment horizontal="left" vertical="top" indent="1"/>
    </xf>
    <xf numFmtId="4" fontId="56" fillId="23" borderId="242" applyNumberFormat="0" applyProtection="0">
      <alignment horizontal="right" vertical="center"/>
    </xf>
    <xf numFmtId="188" fontId="28" fillId="49" borderId="259">
      <alignmen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28" fillId="49" borderId="259">
      <alignment vertical="center"/>
    </xf>
    <xf numFmtId="4" fontId="27" fillId="21" borderId="245" applyNumberFormat="0" applyProtection="0">
      <alignment horizontal="left" vertical="center" indent="1"/>
    </xf>
    <xf numFmtId="4" fontId="56" fillId="58" borderId="253" applyNumberFormat="0" applyProtection="0">
      <alignment horizontal="right" vertical="center"/>
    </xf>
    <xf numFmtId="4" fontId="63" fillId="66" borderId="257" applyNumberFormat="0" applyProtection="0">
      <alignment horizontal="left" vertical="center" indent="1"/>
    </xf>
    <xf numFmtId="186" fontId="56" fillId="63" borderId="244" applyNumberFormat="0" applyProtection="0">
      <alignment horizontal="left" vertical="top" indent="1"/>
    </xf>
    <xf numFmtId="4" fontId="72" fillId="84" borderId="244" applyNumberFormat="0" applyProtection="0">
      <alignment horizontal="right" vertical="center"/>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27" fillId="21" borderId="245" applyNumberFormat="0" applyProtection="0">
      <alignment horizontal="left" vertical="center"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2" fillId="44" borderId="263" applyNumberFormat="0" applyAlignment="0" applyProtection="0"/>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1" borderId="242" applyNumberFormat="0" applyProtection="0">
      <alignment horizontal="left" vertical="center" indent="1"/>
    </xf>
    <xf numFmtId="4" fontId="56" fillId="58" borderId="253" applyNumberFormat="0" applyProtection="0">
      <alignment horizontal="right" vertical="center"/>
    </xf>
    <xf numFmtId="186" fontId="56" fillId="21" borderId="252" applyNumberFormat="0" applyProtection="0">
      <alignment horizontal="left" vertical="top" indent="1"/>
    </xf>
    <xf numFmtId="186" fontId="28" fillId="12" borderId="249">
      <alignment vertical="center"/>
      <protection locked="0"/>
    </xf>
    <xf numFmtId="186" fontId="56" fillId="40" borderId="242" applyNumberFormat="0" applyFont="0" applyAlignment="0" applyProtection="0"/>
    <xf numFmtId="186" fontId="60" fillId="52" borderId="252" applyNumberFormat="0" applyProtection="0">
      <alignment horizontal="left" vertical="top" indent="1"/>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0" fontId="5" fillId="69" borderId="8">
      <alignment vertical="center"/>
    </xf>
    <xf numFmtId="186" fontId="56" fillId="21" borderId="252" applyNumberFormat="0" applyProtection="0">
      <alignment horizontal="left" vertical="top" indent="1"/>
    </xf>
    <xf numFmtId="186" fontId="56" fillId="40" borderId="263" applyNumberFormat="0" applyFont="0" applyAlignment="0" applyProtection="0"/>
    <xf numFmtId="4" fontId="56" fillId="61"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4" fontId="64" fillId="64" borderId="242" applyNumberFormat="0" applyProtection="0">
      <alignment horizontal="right" vertical="center"/>
    </xf>
    <xf numFmtId="186" fontId="57" fillId="44" borderId="254" applyNumberFormat="0" applyAlignment="0" applyProtection="0"/>
    <xf numFmtId="186" fontId="28" fillId="12" borderId="249">
      <alignment vertical="center"/>
      <protection locked="0"/>
    </xf>
    <xf numFmtId="186" fontId="56" fillId="14" borderId="244" applyNumberFormat="0" applyProtection="0">
      <alignment horizontal="left" vertical="top" indent="1"/>
    </xf>
    <xf numFmtId="186" fontId="28" fillId="49"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4" borderId="242" applyNumberFormat="0" applyProtection="0">
      <alignment horizontal="left" vertical="center" indent="1"/>
    </xf>
    <xf numFmtId="186" fontId="56" fillId="15" borderId="261" applyNumberFormat="0" applyProtection="0">
      <alignment horizontal="left" vertical="top" indent="1"/>
    </xf>
    <xf numFmtId="4" fontId="56" fillId="19" borderId="263" applyNumberFormat="0" applyProtection="0">
      <alignment horizontal="right" vertical="center"/>
    </xf>
    <xf numFmtId="4" fontId="72" fillId="84" borderId="261" applyNumberFormat="0" applyProtection="0">
      <alignment horizontal="right" vertical="center"/>
    </xf>
    <xf numFmtId="4" fontId="27" fillId="21" borderId="267" applyNumberFormat="0" applyProtection="0">
      <alignment horizontal="left" vertical="center" indent="1"/>
    </xf>
    <xf numFmtId="186" fontId="56" fillId="14" borderId="252" applyNumberFormat="0" applyProtection="0">
      <alignment horizontal="left" vertical="top" indent="1"/>
    </xf>
    <xf numFmtId="4" fontId="64" fillId="64" borderId="253" applyNumberFormat="0" applyProtection="0">
      <alignment horizontal="right" vertical="center"/>
    </xf>
    <xf numFmtId="37" fontId="33" fillId="0" borderId="256" applyNumberFormat="0"/>
    <xf numFmtId="186" fontId="57" fillId="44" borderId="254" applyNumberFormat="0" applyAlignment="0" applyProtection="0"/>
    <xf numFmtId="188" fontId="5" fillId="70" borderId="8">
      <alignment horizontal="right" vertical="center"/>
      <protection locked="0"/>
    </xf>
    <xf numFmtId="4" fontId="56" fillId="14" borderId="257" applyNumberFormat="0" applyProtection="0">
      <alignment horizontal="left" vertical="center" indent="1"/>
    </xf>
    <xf numFmtId="190" fontId="28" fillId="51" borderId="259">
      <alignment horizontal="right" vertical="center"/>
      <protection locked="0"/>
    </xf>
    <xf numFmtId="37" fontId="33" fillId="0" borderId="256" applyNumberFormat="0"/>
    <xf numFmtId="4" fontId="59" fillId="65" borderId="263" applyNumberFormat="0" applyProtection="0">
      <alignment horizontal="right" vertical="center"/>
    </xf>
    <xf numFmtId="186" fontId="27" fillId="21" borderId="252" applyNumberFormat="0" applyProtection="0">
      <alignment horizontal="left" vertical="top" indent="1"/>
    </xf>
    <xf numFmtId="4" fontId="64" fillId="64"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4" fontId="56" fillId="58" borderId="253" applyNumberFormat="0" applyProtection="0">
      <alignment horizontal="right" vertical="center"/>
    </xf>
    <xf numFmtId="191" fontId="28" fillId="51" borderId="8">
      <alignment horizontal="right" vertical="center"/>
      <protection locked="0"/>
    </xf>
    <xf numFmtId="0" fontId="27" fillId="14" borderId="252" applyNumberFormat="0" applyProtection="0">
      <alignment horizontal="left" vertical="top" indent="1"/>
    </xf>
    <xf numFmtId="172" fontId="5" fillId="7" borderId="8">
      <alignment vertical="center"/>
      <protection locked="0"/>
    </xf>
    <xf numFmtId="186" fontId="56" fillId="14" borderId="261" applyNumberFormat="0" applyProtection="0">
      <alignment horizontal="left" vertical="top" indent="1"/>
    </xf>
    <xf numFmtId="4" fontId="62" fillId="48" borderId="252" applyNumberFormat="0" applyProtection="0">
      <alignment vertical="center"/>
    </xf>
    <xf numFmtId="191" fontId="28" fillId="50" borderId="8">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90" fontId="28" fillId="51" borderId="259">
      <alignment horizontal="right" vertical="center"/>
      <protection locked="0"/>
    </xf>
    <xf numFmtId="186" fontId="56" fillId="63" borderId="252" applyNumberFormat="0" applyProtection="0">
      <alignment horizontal="left" vertical="top" indent="1"/>
    </xf>
    <xf numFmtId="4" fontId="56" fillId="52" borderId="263" applyNumberFormat="0" applyProtection="0">
      <alignment vertical="center"/>
    </xf>
    <xf numFmtId="4" fontId="62" fillId="48" borderId="252" applyNumberFormat="0" applyProtection="0">
      <alignment vertical="center"/>
    </xf>
    <xf numFmtId="190" fontId="5" fillId="13" borderId="249">
      <alignment vertical="center"/>
    </xf>
    <xf numFmtId="186" fontId="56" fillId="63" borderId="253" applyNumberFormat="0" applyProtection="0">
      <alignment horizontal="left" vertical="center" indent="1"/>
    </xf>
    <xf numFmtId="186" fontId="56" fillId="15" borderId="244"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4" fontId="56" fillId="55" borderId="242" applyNumberFormat="0" applyProtection="0">
      <alignment horizontal="right" vertical="center"/>
    </xf>
    <xf numFmtId="4" fontId="56" fillId="61" borderId="245" applyNumberFormat="0" applyProtection="0">
      <alignment horizontal="left" vertical="center" indent="1"/>
    </xf>
    <xf numFmtId="186" fontId="56" fillId="40" borderId="242" applyNumberFormat="0" applyFont="0" applyAlignment="0" applyProtection="0"/>
    <xf numFmtId="193" fontId="28" fillId="12" borderId="269">
      <alignment vertical="center"/>
      <protection locked="0"/>
    </xf>
    <xf numFmtId="186" fontId="56" fillId="14" borderId="242" applyNumberFormat="0" applyProtection="0">
      <alignment horizontal="left" vertical="center" indent="1"/>
    </xf>
    <xf numFmtId="4" fontId="56" fillId="53" borderId="242"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56" fillId="21" borderId="252" applyNumberFormat="0" applyProtection="0">
      <alignment horizontal="left" vertical="top" indent="1"/>
    </xf>
    <xf numFmtId="4" fontId="56" fillId="57" borderId="245" applyNumberFormat="0" applyProtection="0">
      <alignment horizontal="right" vertical="center"/>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27" fillId="63" borderId="252" applyNumberFormat="0" applyProtection="0">
      <alignment horizontal="left" vertical="center" indent="1"/>
    </xf>
    <xf numFmtId="4" fontId="56" fillId="61" borderId="245" applyNumberFormat="0" applyProtection="0">
      <alignment horizontal="left" vertical="center" indent="1"/>
    </xf>
    <xf numFmtId="4" fontId="56" fillId="59" borderId="253" applyNumberFormat="0" applyProtection="0">
      <alignment horizontal="right" vertical="center"/>
    </xf>
    <xf numFmtId="4" fontId="64" fillId="64" borderId="253" applyNumberFormat="0" applyProtection="0">
      <alignment horizontal="right" vertical="center"/>
    </xf>
    <xf numFmtId="186" fontId="27" fillId="63" borderId="244" applyNumberFormat="0" applyProtection="0">
      <alignment horizontal="left" vertical="top" indent="1"/>
    </xf>
    <xf numFmtId="4" fontId="72" fillId="83" borderId="244" applyNumberFormat="0" applyProtection="0">
      <alignment horizontal="right" vertical="center"/>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56" fillId="61" borderId="245" applyNumberFormat="0" applyProtection="0">
      <alignment horizontal="left" vertical="center" indent="1"/>
    </xf>
    <xf numFmtId="186" fontId="56" fillId="40" borderId="242" applyNumberFormat="0" applyFont="0" applyAlignment="0" applyProtection="0"/>
    <xf numFmtId="186" fontId="56" fillId="14" borderId="252" applyNumberFormat="0" applyProtection="0">
      <alignment horizontal="left" vertical="top" indent="1"/>
    </xf>
    <xf numFmtId="4" fontId="56" fillId="15" borderId="257" applyNumberFormat="0" applyProtection="0">
      <alignment horizontal="left" vertical="center"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71" fillId="53" borderId="252" applyNumberFormat="0" applyProtection="0">
      <alignment vertical="center"/>
    </xf>
    <xf numFmtId="4" fontId="74" fillId="87" borderId="252" applyNumberFormat="0" applyProtection="0">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0" fontId="5" fillId="13" borderId="259">
      <alignment vertical="center"/>
    </xf>
    <xf numFmtId="188" fontId="5" fillId="7" borderId="259">
      <alignment vertical="center"/>
      <protection locked="0"/>
    </xf>
    <xf numFmtId="0" fontId="5" fillId="69" borderId="259">
      <alignment vertical="center"/>
    </xf>
    <xf numFmtId="0" fontId="5" fillId="7" borderId="259">
      <alignment vertical="center"/>
      <protection locked="0"/>
    </xf>
    <xf numFmtId="4" fontId="56" fillId="15" borderId="253" applyNumberFormat="0" applyProtection="0">
      <alignment horizontal="right" vertical="center"/>
    </xf>
    <xf numFmtId="186" fontId="56" fillId="40" borderId="253" applyNumberFormat="0" applyFont="0" applyAlignment="0" applyProtection="0"/>
    <xf numFmtId="190" fontId="28" fillId="49" borderId="269">
      <alignment vertical="center"/>
    </xf>
    <xf numFmtId="186" fontId="42" fillId="44" borderId="253" applyNumberFormat="0" applyAlignment="0" applyProtection="0"/>
    <xf numFmtId="186" fontId="56" fillId="40" borderId="253" applyNumberFormat="0" applyFont="0" applyAlignment="0" applyProtection="0"/>
    <xf numFmtId="186" fontId="56" fillId="14"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center" indent="1"/>
    </xf>
    <xf numFmtId="190" fontId="5" fillId="69" borderId="269">
      <alignmen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42" fillId="44" borderId="263" applyNumberFormat="0" applyAlignment="0" applyProtection="0"/>
    <xf numFmtId="172" fontId="28" fillId="12" borderId="259">
      <alignment vertical="center"/>
      <protection locked="0"/>
    </xf>
    <xf numFmtId="4" fontId="56" fillId="15" borderId="263" applyNumberFormat="0" applyProtection="0">
      <alignment horizontal="right" vertical="center"/>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59" fillId="53" borderId="263" applyNumberFormat="0" applyProtection="0">
      <alignment vertical="center"/>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9" fillId="53" borderId="25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0" fontId="27" fillId="15" borderId="261" applyNumberFormat="0" applyProtection="0">
      <alignment horizontal="left" vertical="top" indent="1"/>
    </xf>
    <xf numFmtId="4" fontId="70" fillId="86" borderId="261" applyNumberFormat="0" applyProtection="0">
      <alignment horizontal="left" vertical="center" indent="1"/>
    </xf>
    <xf numFmtId="193" fontId="28" fillId="50" borderId="269">
      <alignment vertical="center"/>
    </xf>
    <xf numFmtId="4" fontId="72" fillId="53" borderId="261" applyNumberFormat="0" applyProtection="0">
      <alignment horizontal="left" vertical="center" indent="1"/>
    </xf>
    <xf numFmtId="188" fontId="5" fillId="13" borderId="259">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93" fontId="28" fillId="12" borderId="259">
      <alignment vertical="center"/>
      <protection locked="0"/>
    </xf>
    <xf numFmtId="4" fontId="62" fillId="48" borderId="252" applyNumberFormat="0" applyProtection="0">
      <alignment vertical="center"/>
    </xf>
    <xf numFmtId="186" fontId="56" fillId="40" borderId="263" applyNumberFormat="0" applyFont="0" applyAlignment="0" applyProtection="0"/>
    <xf numFmtId="186" fontId="62" fillId="15" borderId="252" applyNumberFormat="0" applyProtection="0">
      <alignment horizontal="left" vertical="top" indent="1"/>
    </xf>
    <xf numFmtId="186" fontId="56" fillId="11" borderId="25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90" fontId="28" fillId="49" borderId="259">
      <alignment vertical="center"/>
    </xf>
    <xf numFmtId="186" fontId="61" fillId="21" borderId="255" applyBorder="0"/>
    <xf numFmtId="191" fontId="28" fillId="50" borderId="269">
      <alignment vertical="center"/>
    </xf>
    <xf numFmtId="186" fontId="27" fillId="21" borderId="252" applyNumberFormat="0" applyProtection="0">
      <alignment horizontal="left" vertical="top" indent="1"/>
    </xf>
    <xf numFmtId="37" fontId="33" fillId="0" borderId="256" applyNumberFormat="0"/>
    <xf numFmtId="186" fontId="60" fillId="52" borderId="261" applyNumberFormat="0" applyProtection="0">
      <alignment horizontal="left" vertical="top" indent="1"/>
    </xf>
    <xf numFmtId="4" fontId="72" fillId="86" borderId="252"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4" fontId="56" fillId="14" borderId="267" applyNumberFormat="0" applyProtection="0">
      <alignment horizontal="left" vertical="center" indent="1"/>
    </xf>
    <xf numFmtId="4" fontId="56" fillId="55"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42" fillId="44" borderId="263" applyNumberFormat="0" applyAlignment="0" applyProtection="0"/>
    <xf numFmtId="4" fontId="56" fillId="15" borderId="267" applyNumberFormat="0" applyProtection="0">
      <alignment horizontal="left" vertical="center" indent="1"/>
    </xf>
    <xf numFmtId="4" fontId="63" fillId="66" borderId="267" applyNumberFormat="0" applyProtection="0">
      <alignment horizontal="left" vertical="center"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61" borderId="267" applyNumberFormat="0" applyProtection="0">
      <alignment horizontal="left" vertical="center"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21" borderId="261" applyNumberFormat="0" applyProtection="0">
      <alignment horizontal="left" vertical="top" indent="1"/>
    </xf>
    <xf numFmtId="0" fontId="73" fillId="52" borderId="261" applyNumberFormat="0" applyProtection="0">
      <alignment horizontal="left" vertical="top" indent="1"/>
    </xf>
    <xf numFmtId="4" fontId="59" fillId="53" borderId="263" applyNumberFormat="0" applyProtection="0">
      <alignment vertical="center"/>
    </xf>
    <xf numFmtId="186" fontId="27" fillId="63" borderId="252" applyNumberFormat="0" applyProtection="0">
      <alignment horizontal="left" vertical="top" indent="1"/>
    </xf>
    <xf numFmtId="186" fontId="28" fillId="12" borderId="26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9" fillId="12" borderId="259" applyNumberFormat="0" applyProtection="0">
      <alignment vertical="center"/>
    </xf>
    <xf numFmtId="186" fontId="56" fillId="21" borderId="244" applyNumberFormat="0" applyProtection="0">
      <alignment horizontal="left" vertical="top" indent="1"/>
    </xf>
    <xf numFmtId="186" fontId="28" fillId="12" borderId="259">
      <alignment vertical="center"/>
      <protection locked="0"/>
    </xf>
    <xf numFmtId="186" fontId="27" fillId="14" borderId="244" applyNumberFormat="0" applyProtection="0">
      <alignment horizontal="left" vertical="top"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86" fontId="56" fillId="15" borderId="244" applyNumberFormat="0" applyProtection="0">
      <alignment horizontal="left" vertical="top" indent="1"/>
    </xf>
    <xf numFmtId="186" fontId="28" fillId="50" borderId="249">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5" borderId="252" applyNumberFormat="0" applyProtection="0">
      <alignment horizontal="left" vertical="top" indent="1"/>
    </xf>
    <xf numFmtId="193" fontId="28" fillId="12" borderId="8">
      <alignment vertical="center"/>
      <protection locked="0"/>
    </xf>
    <xf numFmtId="186" fontId="27" fillId="14"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86" fontId="44" fillId="0" borderId="248" applyNumberFormat="0" applyFill="0" applyAlignment="0" applyProtection="0"/>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27" fillId="64" borderId="249" applyNumberFormat="0">
      <protection locked="0"/>
    </xf>
    <xf numFmtId="191" fontId="28" fillId="51" borderId="249">
      <alignment horizontal="right" vertical="center"/>
      <protection locked="0"/>
    </xf>
    <xf numFmtId="4" fontId="56" fillId="19" borderId="242" applyNumberFormat="0" applyProtection="0">
      <alignment horizontal="right" vertical="center"/>
    </xf>
    <xf numFmtId="186" fontId="60" fillId="52" borderId="244" applyNumberFormat="0" applyProtection="0">
      <alignment horizontal="left" vertical="top" indent="1"/>
    </xf>
    <xf numFmtId="4" fontId="56" fillId="23"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4" fontId="59" fillId="53" borderId="263" applyNumberFormat="0" applyProtection="0">
      <alignment vertical="center"/>
    </xf>
    <xf numFmtId="172" fontId="5" fillId="7" borderId="8">
      <alignment vertical="center"/>
      <protection locked="0"/>
    </xf>
    <xf numFmtId="188" fontId="5" fillId="13" borderId="8">
      <alignment vertical="center"/>
    </xf>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59" borderId="263" applyNumberFormat="0" applyProtection="0">
      <alignment horizontal="right" vertical="center"/>
    </xf>
    <xf numFmtId="186" fontId="60" fillId="52" borderId="261" applyNumberFormat="0" applyProtection="0">
      <alignment horizontal="left" vertical="top" indent="1"/>
    </xf>
    <xf numFmtId="186" fontId="27" fillId="21" borderId="252" applyNumberFormat="0" applyProtection="0">
      <alignment horizontal="left" vertical="top" indent="1"/>
    </xf>
    <xf numFmtId="4" fontId="56" fillId="23" borderId="263" applyNumberFormat="0" applyProtection="0">
      <alignment horizontal="right" vertical="center"/>
    </xf>
    <xf numFmtId="186" fontId="56" fillId="11" borderId="263" applyNumberFormat="0" applyProtection="0">
      <alignment horizontal="left" vertical="center" indent="1"/>
    </xf>
    <xf numFmtId="186" fontId="56" fillId="21" borderId="261" applyNumberFormat="0" applyProtection="0">
      <alignment horizontal="left" vertical="top" indent="1"/>
    </xf>
    <xf numFmtId="188" fontId="5" fillId="13" borderId="8">
      <alignmen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4" fontId="56" fillId="16" borderId="263" applyNumberFormat="0" applyProtection="0">
      <alignment horizontal="right" vertical="center"/>
    </xf>
    <xf numFmtId="4" fontId="56" fillId="15" borderId="267" applyNumberFormat="0" applyProtection="0">
      <alignment horizontal="left" vertical="center" indent="1"/>
    </xf>
    <xf numFmtId="4" fontId="62" fillId="48" borderId="261" applyNumberFormat="0" applyProtection="0">
      <alignmen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62" borderId="263" applyNumberFormat="0" applyProtection="0">
      <alignment horizontal="left" vertical="center" indent="1"/>
    </xf>
    <xf numFmtId="188" fontId="5" fillId="13" borderId="8">
      <alignment vertical="center"/>
    </xf>
    <xf numFmtId="186" fontId="56" fillId="14" borderId="261" applyNumberFormat="0" applyProtection="0">
      <alignment horizontal="left" vertical="top" indent="1"/>
    </xf>
    <xf numFmtId="186" fontId="56" fillId="63" borderId="263" applyNumberFormat="0" applyProtection="0">
      <alignment horizontal="left" vertical="center" indent="1"/>
    </xf>
    <xf numFmtId="4" fontId="56" fillId="55"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27" fillId="63" borderId="261" applyNumberFormat="0" applyProtection="0">
      <alignment horizontal="left" vertical="center" indent="1"/>
    </xf>
    <xf numFmtId="4" fontId="56" fillId="54" borderId="263" applyNumberFormat="0" applyProtection="0">
      <alignment horizontal="left" vertical="center" indent="1"/>
    </xf>
    <xf numFmtId="4" fontId="62" fillId="11" borderId="261"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15" borderId="267" applyNumberFormat="0" applyProtection="0">
      <alignment horizontal="left" vertical="center" indent="1"/>
    </xf>
    <xf numFmtId="186" fontId="42" fillId="44" borderId="263" applyNumberFormat="0" applyAlignment="0" applyProtection="0"/>
    <xf numFmtId="186" fontId="50" fillId="41" borderId="263" applyNumberForma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37" fontId="33" fillId="0" borderId="266" applyNumberFormat="0"/>
    <xf numFmtId="4" fontId="56" fillId="58"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56" fillId="40" borderId="26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37" fontId="33" fillId="0" borderId="266" applyNumberFormat="0"/>
    <xf numFmtId="4" fontId="56" fillId="23" borderId="263" applyNumberFormat="0" applyProtection="0">
      <alignment horizontal="right" vertical="center"/>
    </xf>
    <xf numFmtId="4" fontId="62" fillId="48" borderId="261" applyNumberFormat="0" applyProtection="0">
      <alignment vertical="center"/>
    </xf>
    <xf numFmtId="186" fontId="44" fillId="0" borderId="268" applyNumberFormat="0" applyFill="0" applyAlignment="0" applyProtection="0"/>
    <xf numFmtId="186" fontId="60" fillId="52" borderId="261" applyNumberFormat="0" applyProtection="0">
      <alignment horizontal="left" vertical="top" indent="1"/>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27"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8" applyNumberFormat="0" applyFill="0" applyAlignment="0" applyProtection="0"/>
    <xf numFmtId="186" fontId="27" fillId="14" borderId="252" applyNumberFormat="0" applyProtection="0">
      <alignment horizontal="left" vertical="top" indent="1"/>
    </xf>
    <xf numFmtId="4" fontId="56" fillId="0" borderId="253"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61" fillId="21" borderId="255" applyBorder="0"/>
    <xf numFmtId="186" fontId="60" fillId="52"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56" fillId="23" borderId="253" applyNumberFormat="0" applyProtection="0">
      <alignment horizontal="right" vertical="center"/>
    </xf>
    <xf numFmtId="190" fontId="28" fillId="49" borderId="269">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1" applyFill="0"/>
    <xf numFmtId="4" fontId="59" fillId="53" borderId="263" applyNumberFormat="0" applyProtection="0">
      <alignment vertical="center"/>
    </xf>
    <xf numFmtId="4" fontId="56" fillId="15" borderId="263" applyNumberFormat="0" applyProtection="0">
      <alignment horizontal="right" vertical="center"/>
    </xf>
    <xf numFmtId="186" fontId="50" fillId="41" borderId="263"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1" applyFill="0"/>
    <xf numFmtId="191" fontId="5" fillId="69" borderId="8">
      <alignment vertical="center"/>
    </xf>
    <xf numFmtId="186" fontId="42" fillId="44" borderId="263" applyNumberFormat="0" applyAlignment="0" applyProtection="0"/>
    <xf numFmtId="186" fontId="56" fillId="14" borderId="244" applyNumberFormat="0" applyProtection="0">
      <alignment horizontal="left" vertical="top" indent="1"/>
    </xf>
    <xf numFmtId="186" fontId="44" fillId="0" borderId="248" applyNumberFormat="0" applyFill="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14" borderId="253" applyNumberFormat="0" applyProtection="0">
      <alignment horizontal="left" vertical="center" indent="1"/>
    </xf>
    <xf numFmtId="193" fontId="28" fillId="50" borderId="8">
      <alignment vertical="center"/>
    </xf>
    <xf numFmtId="186" fontId="28" fillId="12" borderId="259">
      <alignment vertical="center"/>
      <protection locked="0"/>
    </xf>
    <xf numFmtId="190" fontId="5" fillId="69" borderId="259">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56" fillId="15" borderId="244" applyNumberFormat="0" applyProtection="0">
      <alignment horizontal="left" vertical="top" indent="1"/>
    </xf>
    <xf numFmtId="190" fontId="5" fillId="13" borderId="249">
      <alignment vertical="center"/>
    </xf>
    <xf numFmtId="186" fontId="56" fillId="40" borderId="253" applyNumberFormat="0" applyFont="0" applyAlignment="0" applyProtection="0"/>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56" fillId="15" borderId="244" applyNumberFormat="0" applyProtection="0">
      <alignment horizontal="left" vertical="top" indent="1"/>
    </xf>
    <xf numFmtId="186" fontId="56" fillId="14" borderId="253" applyNumberFormat="0" applyProtection="0">
      <alignment horizontal="left" vertical="center" indent="1"/>
    </xf>
    <xf numFmtId="4" fontId="56" fillId="56" borderId="242" applyNumberFormat="0" applyProtection="0">
      <alignment horizontal="right" vertical="center"/>
    </xf>
    <xf numFmtId="4" fontId="63" fillId="66" borderId="245" applyNumberFormat="0" applyProtection="0">
      <alignment horizontal="left" vertical="center" indent="1"/>
    </xf>
    <xf numFmtId="37" fontId="33" fillId="0" borderId="256" applyNumberFormat="0"/>
    <xf numFmtId="0" fontId="5" fillId="69" borderId="249">
      <alignment vertical="center"/>
    </xf>
    <xf numFmtId="186" fontId="42" fillId="44" borderId="253" applyNumberFormat="0" applyAlignment="0" applyProtection="0"/>
    <xf numFmtId="186" fontId="56" fillId="21" borderId="252" applyNumberFormat="0" applyProtection="0">
      <alignment horizontal="left" vertical="top" indent="1"/>
    </xf>
    <xf numFmtId="190" fontId="28" fillId="49" borderId="8">
      <alignment vertical="center"/>
    </xf>
    <xf numFmtId="186" fontId="56" fillId="21" borderId="244" applyNumberFormat="0" applyProtection="0">
      <alignment horizontal="left" vertical="top" indent="1"/>
    </xf>
    <xf numFmtId="4" fontId="56" fillId="57" borderId="257" applyNumberFormat="0" applyProtection="0">
      <alignment horizontal="right" vertical="center"/>
    </xf>
    <xf numFmtId="4" fontId="56" fillId="61" borderId="257" applyNumberFormat="0" applyProtection="0">
      <alignment horizontal="left" vertical="center" indent="1"/>
    </xf>
    <xf numFmtId="186" fontId="56" fillId="15" borderId="252"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1" borderId="253" applyNumberFormat="0" applyProtection="0">
      <alignment horizontal="left" vertical="center" indent="1"/>
    </xf>
    <xf numFmtId="186" fontId="56" fillId="14" borderId="261" applyNumberFormat="0" applyProtection="0">
      <alignment horizontal="left" vertical="top" indent="1"/>
    </xf>
    <xf numFmtId="4" fontId="56" fillId="55" borderId="253" applyNumberFormat="0" applyProtection="0">
      <alignment horizontal="right" vertical="center"/>
    </xf>
    <xf numFmtId="4" fontId="27" fillId="21" borderId="267" applyNumberFormat="0" applyProtection="0">
      <alignment horizontal="left" vertical="center" indent="1"/>
    </xf>
    <xf numFmtId="186" fontId="62" fillId="48" borderId="252" applyNumberFormat="0" applyProtection="0">
      <alignment horizontal="left" vertical="top" indent="1"/>
    </xf>
    <xf numFmtId="4" fontId="56" fillId="16" borderId="253" applyNumberFormat="0" applyProtection="0">
      <alignment horizontal="right" vertical="center"/>
    </xf>
    <xf numFmtId="4" fontId="56" fillId="56" borderId="263" applyNumberFormat="0" applyProtection="0">
      <alignment horizontal="right" vertical="center"/>
    </xf>
    <xf numFmtId="4" fontId="56" fillId="60" borderId="263" applyNumberFormat="0" applyProtection="0">
      <alignment horizontal="right" vertical="center"/>
    </xf>
    <xf numFmtId="4" fontId="56" fillId="0" borderId="263" applyNumberFormat="0" applyProtection="0">
      <alignment horizontal="right" vertical="center"/>
    </xf>
    <xf numFmtId="186" fontId="56" fillId="63" borderId="261" applyNumberFormat="0" applyProtection="0">
      <alignment horizontal="left" vertical="top" indent="1"/>
    </xf>
    <xf numFmtId="4" fontId="56" fillId="58" borderId="263" applyNumberFormat="0" applyProtection="0">
      <alignment horizontal="right" vertical="center"/>
    </xf>
    <xf numFmtId="4" fontId="56" fillId="56"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4" fontId="62" fillId="48" borderId="261"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8" fontId="5" fillId="13" borderId="8">
      <alignment vertical="center"/>
    </xf>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64" fillId="64" borderId="253" applyNumberFormat="0" applyProtection="0">
      <alignment horizontal="right" vertical="center"/>
    </xf>
    <xf numFmtId="4" fontId="56" fillId="59" borderId="253" applyNumberFormat="0" applyProtection="0">
      <alignment horizontal="right" vertical="center"/>
    </xf>
    <xf numFmtId="186" fontId="57" fillId="44" borderId="254" applyNumberFormat="0" applyAlignment="0" applyProtection="0"/>
    <xf numFmtId="186" fontId="27" fillId="21" borderId="261" applyNumberFormat="0" applyProtection="0">
      <alignment horizontal="left" vertical="center" indent="1"/>
    </xf>
    <xf numFmtId="186" fontId="27"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90" fontId="28" fillId="49" borderId="8">
      <alignment vertical="center"/>
    </xf>
    <xf numFmtId="186" fontId="56" fillId="21" borderId="261" applyNumberFormat="0" applyProtection="0">
      <alignment horizontal="left" vertical="top" indent="1"/>
    </xf>
    <xf numFmtId="188" fontId="5" fillId="7" borderId="269">
      <alignment vertical="center"/>
      <protection locked="0"/>
    </xf>
    <xf numFmtId="190" fontId="28" fillId="51" borderId="259">
      <alignment horizontal="right" vertical="center"/>
      <protection locked="0"/>
    </xf>
    <xf numFmtId="188" fontId="28" fillId="49" borderId="259">
      <alignmen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center" indent="1"/>
    </xf>
    <xf numFmtId="4" fontId="56" fillId="60" borderId="253" applyNumberFormat="0" applyProtection="0">
      <alignment horizontal="right" vertical="center"/>
    </xf>
    <xf numFmtId="191" fontId="5" fillId="13" borderId="26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52" applyNumberFormat="0" applyProtection="0">
      <alignment horizontal="left" vertical="top" indent="1"/>
    </xf>
    <xf numFmtId="188" fontId="5" fillId="69" borderId="259">
      <alignment vertical="center"/>
    </xf>
    <xf numFmtId="191" fontId="28" fillId="50" borderId="259">
      <alignment vertical="center"/>
    </xf>
    <xf numFmtId="186" fontId="60" fillId="52" borderId="261"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27" fillId="64" borderId="8" applyNumberFormat="0">
      <protection locked="0"/>
    </xf>
    <xf numFmtId="193" fontId="28" fillId="12" borderId="259">
      <alignmen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center" indent="1"/>
    </xf>
    <xf numFmtId="186" fontId="56" fillId="63" borderId="244" applyNumberFormat="0" applyProtection="0">
      <alignment horizontal="left" vertical="top" indent="1"/>
    </xf>
    <xf numFmtId="191" fontId="5" fillId="70" borderId="259">
      <alignment horizontal="right" vertical="center"/>
      <protection locked="0"/>
    </xf>
    <xf numFmtId="186" fontId="56" fillId="14" borderId="244" applyNumberFormat="0" applyProtection="0">
      <alignment horizontal="left" vertical="top" indent="1"/>
    </xf>
    <xf numFmtId="4" fontId="56" fillId="14" borderId="257" applyNumberFormat="0" applyProtection="0">
      <alignment horizontal="left" vertical="center" indent="1"/>
    </xf>
    <xf numFmtId="190" fontId="5" fillId="70" borderId="249">
      <alignment horizontal="right" vertical="center"/>
      <protection locked="0"/>
    </xf>
    <xf numFmtId="186" fontId="60" fillId="52" borderId="252" applyNumberFormat="0" applyProtection="0">
      <alignment horizontal="left" vertical="top" indent="1"/>
    </xf>
    <xf numFmtId="186" fontId="27" fillId="15" borderId="252" applyNumberFormat="0" applyProtection="0">
      <alignment horizontal="left" vertical="top" indent="1"/>
    </xf>
    <xf numFmtId="186" fontId="56" fillId="11" borderId="242" applyNumberFormat="0" applyProtection="0">
      <alignment horizontal="left" vertical="center" indent="1"/>
    </xf>
    <xf numFmtId="4" fontId="62" fillId="48" borderId="252" applyNumberFormat="0" applyProtection="0">
      <alignment vertical="center"/>
    </xf>
    <xf numFmtId="186" fontId="56" fillId="63" borderId="244" applyNumberFormat="0" applyProtection="0">
      <alignment horizontal="left" vertical="top" indent="1"/>
    </xf>
    <xf numFmtId="4" fontId="59" fillId="65" borderId="242" applyNumberFormat="0" applyProtection="0">
      <alignment horizontal="right" vertical="center"/>
    </xf>
    <xf numFmtId="4" fontId="56" fillId="61" borderId="257" applyNumberFormat="0" applyProtection="0">
      <alignment horizontal="left" vertical="center" indent="1"/>
    </xf>
    <xf numFmtId="186" fontId="27" fillId="14" borderId="261" applyNumberFormat="0" applyProtection="0">
      <alignment horizontal="left" vertical="center" indent="1"/>
    </xf>
    <xf numFmtId="186" fontId="56" fillId="40" borderId="242" applyNumberFormat="0" applyFont="0" applyAlignment="0" applyProtection="0"/>
    <xf numFmtId="186" fontId="28" fillId="12" borderId="8">
      <alignment vertical="center"/>
      <protection locked="0"/>
    </xf>
    <xf numFmtId="193" fontId="28" fillId="50" borderId="249">
      <alignment vertical="center"/>
    </xf>
    <xf numFmtId="186" fontId="62" fillId="48" borderId="252" applyNumberFormat="0" applyProtection="0">
      <alignment horizontal="left" vertical="top" indent="1"/>
    </xf>
    <xf numFmtId="186" fontId="57" fillId="44" borderId="254" applyNumberFormat="0" applyAlignment="0" applyProtection="0"/>
    <xf numFmtId="186" fontId="56" fillId="63" borderId="244" applyNumberFormat="0" applyProtection="0">
      <alignment horizontal="left" vertical="top" indent="1"/>
    </xf>
    <xf numFmtId="186" fontId="27" fillId="63" borderId="252" applyNumberFormat="0" applyProtection="0">
      <alignment horizontal="left" vertical="center"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186" fontId="56" fillId="14" borderId="244" applyNumberFormat="0" applyProtection="0">
      <alignment horizontal="left" vertical="top" indent="1"/>
    </xf>
    <xf numFmtId="186" fontId="61" fillId="21" borderId="255" applyBorder="0"/>
    <xf numFmtId="4" fontId="64" fillId="64" borderId="242" applyNumberFormat="0" applyProtection="0">
      <alignment horizontal="right" vertical="center"/>
    </xf>
    <xf numFmtId="186" fontId="56" fillId="62" borderId="253" applyNumberFormat="0" applyProtection="0">
      <alignment horizontal="left" vertical="center" indent="1"/>
    </xf>
    <xf numFmtId="186" fontId="27" fillId="21" borderId="244" applyNumberFormat="0" applyProtection="0">
      <alignment horizontal="left" vertical="center" indent="1"/>
    </xf>
    <xf numFmtId="4" fontId="62" fillId="48" borderId="244" applyNumberFormat="0" applyProtection="0">
      <alignment vertical="center"/>
    </xf>
    <xf numFmtId="186" fontId="56" fillId="21" borderId="244" applyNumberFormat="0" applyProtection="0">
      <alignment horizontal="left" vertical="top" indent="1"/>
    </xf>
    <xf numFmtId="37" fontId="33" fillId="0" borderId="247" applyNumberFormat="0"/>
    <xf numFmtId="186" fontId="42" fillId="44" borderId="242" applyNumberFormat="0" applyAlignment="0" applyProtection="0"/>
    <xf numFmtId="186" fontId="56" fillId="11" borderId="242"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55" borderId="253" applyNumberFormat="0" applyProtection="0">
      <alignment horizontal="right" vertical="center"/>
    </xf>
    <xf numFmtId="191" fontId="5" fillId="13" borderId="249">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27" fillId="15" borderId="261" applyNumberFormat="0" applyProtection="0">
      <alignment horizontal="left" vertical="center"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63" borderId="253" applyNumberFormat="0" applyProtection="0">
      <alignment horizontal="left" vertical="center" indent="1"/>
    </xf>
    <xf numFmtId="4" fontId="56" fillId="60" borderId="242" applyNumberFormat="0" applyProtection="0">
      <alignment horizontal="right" vertical="center"/>
    </xf>
    <xf numFmtId="186" fontId="56" fillId="21" borderId="244" applyNumberFormat="0" applyProtection="0">
      <alignment horizontal="left" vertical="top" indent="1"/>
    </xf>
    <xf numFmtId="4" fontId="63" fillId="66" borderId="245" applyNumberFormat="0" applyProtection="0">
      <alignment horizontal="left" vertical="center" indent="1"/>
    </xf>
    <xf numFmtId="4" fontId="56" fillId="56"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6" fontId="61" fillId="21" borderId="265" applyBorder="0"/>
    <xf numFmtId="186" fontId="56" fillId="63" borderId="261" applyNumberFormat="0" applyProtection="0">
      <alignment horizontal="left" vertical="top" indent="1"/>
    </xf>
    <xf numFmtId="194" fontId="33" fillId="0" borderId="231" applyFill="0"/>
    <xf numFmtId="186" fontId="56" fillId="40" borderId="263" applyNumberFormat="0" applyFont="0" applyAlignment="0" applyProtection="0"/>
    <xf numFmtId="186" fontId="57" fillId="44" borderId="264"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53" applyNumberFormat="0" applyProtection="0">
      <alignment horizontal="left" vertical="center"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72" fillId="87" borderId="261" applyNumberFormat="0" applyProtection="0">
      <alignment vertical="center"/>
    </xf>
    <xf numFmtId="186" fontId="56" fillId="62" borderId="263" applyNumberFormat="0" applyProtection="0">
      <alignment horizontal="left" vertical="center" indent="1"/>
    </xf>
    <xf numFmtId="186" fontId="56" fillId="40" borderId="263" applyNumberFormat="0" applyFont="0" applyAlignment="0" applyProtection="0"/>
    <xf numFmtId="4" fontId="56" fillId="60" borderId="253" applyNumberFormat="0" applyProtection="0">
      <alignment horizontal="right" vertical="center"/>
    </xf>
    <xf numFmtId="186" fontId="56" fillId="14" borderId="261" applyNumberFormat="0" applyProtection="0">
      <alignment horizontal="left" vertical="top" indent="1"/>
    </xf>
    <xf numFmtId="4" fontId="56" fillId="59" borderId="253" applyNumberFormat="0" applyProtection="0">
      <alignment horizontal="right" vertical="center"/>
    </xf>
    <xf numFmtId="186" fontId="27" fillId="63" borderId="261" applyNumberFormat="0" applyProtection="0">
      <alignment horizontal="left" vertical="center"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27" fillId="14" borderId="261" applyNumberFormat="0" applyProtection="0">
      <alignment horizontal="left" vertical="center" indent="1"/>
    </xf>
    <xf numFmtId="191" fontId="28" fillId="12" borderId="8">
      <alignment vertical="center"/>
      <protection locked="0"/>
    </xf>
    <xf numFmtId="4" fontId="56" fillId="58" borderId="253" applyNumberFormat="0" applyProtection="0">
      <alignment horizontal="right" vertical="center"/>
    </xf>
    <xf numFmtId="186" fontId="56" fillId="63" borderId="252" applyNumberFormat="0" applyProtection="0">
      <alignment horizontal="left" vertical="top" indent="1"/>
    </xf>
    <xf numFmtId="4" fontId="59" fillId="12" borderId="259" applyNumberFormat="0" applyProtection="0">
      <alignment vertical="center"/>
    </xf>
    <xf numFmtId="186" fontId="56" fillId="40" borderId="253" applyNumberFormat="0" applyFont="0" applyAlignment="0" applyProtection="0"/>
    <xf numFmtId="4" fontId="76" fillId="87" borderId="252" applyNumberFormat="0" applyProtection="0">
      <alignment horizontal="right" vertical="center"/>
    </xf>
    <xf numFmtId="4" fontId="56" fillId="55" borderId="253" applyNumberFormat="0" applyProtection="0">
      <alignment horizontal="right" vertical="center"/>
    </xf>
    <xf numFmtId="4" fontId="56" fillId="61" borderId="267" applyNumberFormat="0" applyProtection="0">
      <alignment horizontal="left" vertical="center" indent="1"/>
    </xf>
    <xf numFmtId="4" fontId="62" fillId="11" borderId="252" applyNumberFormat="0" applyProtection="0">
      <alignment horizontal="left" vertical="center" indent="1"/>
    </xf>
    <xf numFmtId="186" fontId="56" fillId="21" borderId="244"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0" fontId="37" fillId="15" borderId="252" applyNumberFormat="0" applyProtection="0">
      <alignment horizontal="left" vertical="top" indent="1"/>
    </xf>
    <xf numFmtId="191" fontId="5" fillId="7" borderId="249">
      <alignment vertical="center"/>
      <protection locked="0"/>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42" fillId="44" borderId="253" applyNumberFormat="0" applyAlignment="0" applyProtection="0"/>
    <xf numFmtId="4" fontId="56" fillId="23" borderId="263" applyNumberFormat="0" applyProtection="0">
      <alignment horizontal="right" vertical="center"/>
    </xf>
    <xf numFmtId="186" fontId="56" fillId="21" borderId="244" applyNumberFormat="0" applyProtection="0">
      <alignment horizontal="left" vertical="top" indent="1"/>
    </xf>
    <xf numFmtId="186" fontId="56" fillId="21" borderId="244" applyNumberFormat="0" applyProtection="0">
      <alignment horizontal="left" vertical="top" indent="1"/>
    </xf>
    <xf numFmtId="37" fontId="33" fillId="0" borderId="256" applyNumberFormat="0"/>
    <xf numFmtId="186" fontId="56" fillId="21" borderId="252" applyNumberFormat="0" applyProtection="0">
      <alignment horizontal="left" vertical="top" indent="1"/>
    </xf>
    <xf numFmtId="186" fontId="62" fillId="15" borderId="244" applyNumberFormat="0" applyProtection="0">
      <alignment horizontal="left" vertical="top" indent="1"/>
    </xf>
    <xf numFmtId="186" fontId="27" fillId="21" borderId="244" applyNumberFormat="0" applyProtection="0">
      <alignment horizontal="left" vertical="top" indent="1"/>
    </xf>
    <xf numFmtId="191" fontId="28" fillId="49" borderId="249">
      <alignment vertical="center"/>
    </xf>
    <xf numFmtId="186" fontId="42" fillId="44" borderId="253" applyNumberFormat="0" applyAlignment="0" applyProtection="0"/>
    <xf numFmtId="186" fontId="56" fillId="15" borderId="261"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90" fontId="28" fillId="51" borderId="8">
      <alignment horizontal="right" vertical="center"/>
      <protection locked="0"/>
    </xf>
    <xf numFmtId="186" fontId="27" fillId="21" borderId="252" applyNumberFormat="0" applyProtection="0">
      <alignment horizontal="left" vertical="center" indent="1"/>
    </xf>
    <xf numFmtId="4" fontId="56" fillId="14" borderId="257" applyNumberFormat="0" applyProtection="0">
      <alignment horizontal="left" vertical="center" indent="1"/>
    </xf>
    <xf numFmtId="186" fontId="27" fillId="15" borderId="244" applyNumberFormat="0" applyProtection="0">
      <alignment horizontal="left" vertical="top" indent="1"/>
    </xf>
    <xf numFmtId="186" fontId="56" fillId="40" borderId="253" applyNumberFormat="0" applyFont="0" applyAlignment="0" applyProtection="0"/>
    <xf numFmtId="186" fontId="56" fillId="14" borderId="253" applyNumberFormat="0" applyProtection="0">
      <alignment horizontal="left" vertical="center" indent="1"/>
    </xf>
    <xf numFmtId="186" fontId="56" fillId="40" borderId="253" applyNumberFormat="0" applyFont="0" applyAlignment="0" applyProtection="0"/>
    <xf numFmtId="4" fontId="72" fillId="87" borderId="244" applyNumberFormat="0" applyProtection="0">
      <alignment horizontal="right" vertical="center"/>
    </xf>
    <xf numFmtId="188" fontId="5" fillId="69" borderId="249">
      <alignment vertical="center"/>
    </xf>
    <xf numFmtId="186" fontId="27" fillId="14"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40" borderId="242" applyNumberFormat="0" applyFont="0" applyAlignment="0" applyProtection="0"/>
    <xf numFmtId="186" fontId="56" fillId="14" borderId="244" applyNumberFormat="0" applyProtection="0">
      <alignment horizontal="left" vertical="top" indent="1"/>
    </xf>
    <xf numFmtId="186" fontId="56" fillId="40" borderId="242" applyNumberFormat="0" applyFont="0" applyAlignment="0" applyProtection="0"/>
    <xf numFmtId="186" fontId="27" fillId="15" borderId="244" applyNumberFormat="0" applyProtection="0">
      <alignment horizontal="left" vertical="top" indent="1"/>
    </xf>
    <xf numFmtId="186" fontId="28" fillId="12" borderId="249">
      <alignment vertical="center"/>
      <protection locked="0"/>
    </xf>
    <xf numFmtId="194" fontId="33" fillId="0" borderId="231" applyFill="0"/>
    <xf numFmtId="186" fontId="56" fillId="14" borderId="244" applyNumberFormat="0" applyProtection="0">
      <alignment horizontal="left" vertical="top" indent="1"/>
    </xf>
    <xf numFmtId="4" fontId="64" fillId="64" borderId="242" applyNumberFormat="0" applyProtection="0">
      <alignment horizontal="right" vertical="center"/>
    </xf>
    <xf numFmtId="191" fontId="5" fillId="69" borderId="249">
      <alignment vertical="center"/>
    </xf>
    <xf numFmtId="186" fontId="42" fillId="44" borderId="242" applyNumberFormat="0" applyAlignment="0" applyProtection="0"/>
    <xf numFmtId="186" fontId="50" fillId="41" borderId="242" applyNumberFormat="0" applyAlignment="0" applyProtection="0"/>
    <xf numFmtId="194" fontId="33" fillId="0" borderId="231" applyFill="0"/>
    <xf numFmtId="193" fontId="28" fillId="50" borderId="25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28" fillId="49" borderId="8">
      <alignment vertical="center"/>
    </xf>
    <xf numFmtId="186" fontId="56" fillId="63" borderId="252" applyNumberFormat="0" applyProtection="0">
      <alignment horizontal="left" vertical="top" indent="1"/>
    </xf>
    <xf numFmtId="186" fontId="28" fillId="49" borderId="259">
      <alignment vertical="center"/>
    </xf>
    <xf numFmtId="4" fontId="63" fillId="66" borderId="257"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27" fillId="15" borderId="244" applyNumberFormat="0" applyProtection="0">
      <alignment horizontal="left" vertical="center"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91" fontId="28" fillId="51" borderId="259">
      <alignment horizontal="righ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4" fontId="56" fillId="53" borderId="242" applyNumberFormat="0" applyProtection="0">
      <alignment horizontal="left" vertical="center" indent="1"/>
    </xf>
    <xf numFmtId="4" fontId="56" fillId="0" borderId="242" applyNumberFormat="0" applyProtection="0">
      <alignment horizontal="right" vertical="center"/>
    </xf>
    <xf numFmtId="4" fontId="56" fillId="57" borderId="257" applyNumberFormat="0" applyProtection="0">
      <alignment horizontal="right" vertical="center"/>
    </xf>
    <xf numFmtId="188" fontId="5" fillId="69" borderId="249">
      <alignment vertical="center"/>
    </xf>
    <xf numFmtId="186" fontId="27" fillId="63" borderId="252" applyNumberFormat="0" applyProtection="0">
      <alignment horizontal="left" vertical="center" indent="1"/>
    </xf>
    <xf numFmtId="191" fontId="28" fillId="50" borderId="249">
      <alignment vertical="center"/>
    </xf>
    <xf numFmtId="186" fontId="56" fillId="15" borderId="252" applyNumberFormat="0" applyProtection="0">
      <alignment horizontal="left" vertical="top" indent="1"/>
    </xf>
    <xf numFmtId="186" fontId="57" fillId="44" borderId="243" applyNumberFormat="0" applyAlignment="0" applyProtection="0"/>
    <xf numFmtId="186" fontId="60" fillId="52" borderId="252" applyNumberFormat="0" applyProtection="0">
      <alignment horizontal="left" vertical="top" indent="1"/>
    </xf>
    <xf numFmtId="186" fontId="42" fillId="44" borderId="253" applyNumberFormat="0" applyAlignment="0" applyProtection="0"/>
    <xf numFmtId="186" fontId="42" fillId="44" borderId="253" applyNumberFormat="0" applyAlignment="0" applyProtection="0"/>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14" borderId="252" applyNumberFormat="0" applyProtection="0">
      <alignment horizontal="left" vertical="top" indent="1"/>
    </xf>
    <xf numFmtId="0" fontId="5" fillId="70" borderId="8">
      <alignment horizontal="righ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62" fillId="48" borderId="252" applyNumberFormat="0" applyProtection="0">
      <alignment horizontal="left" vertical="top" indent="1"/>
    </xf>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4" fontId="56" fillId="60" borderId="263" applyNumberFormat="0" applyProtection="0">
      <alignment horizontal="right" vertical="center"/>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44" fillId="0" borderId="268" applyNumberFormat="0" applyFill="0" applyAlignment="0" applyProtection="0"/>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27" fillId="63" borderId="261" applyNumberFormat="0" applyProtection="0">
      <alignment horizontal="left" vertical="center" indent="1"/>
    </xf>
    <xf numFmtId="0" fontId="5" fillId="13" borderId="8">
      <alignment vertical="center"/>
    </xf>
    <xf numFmtId="191" fontId="28" fillId="12" borderId="269">
      <alignment vertical="center"/>
      <protection locked="0"/>
    </xf>
    <xf numFmtId="186" fontId="27" fillId="63" borderId="261" applyNumberFormat="0" applyProtection="0">
      <alignment horizontal="left" vertical="top" indent="1"/>
    </xf>
    <xf numFmtId="186" fontId="27" fillId="21" borderId="252" applyNumberFormat="0" applyProtection="0">
      <alignment horizontal="left" vertical="top" indent="1"/>
    </xf>
    <xf numFmtId="4" fontId="56" fillId="0" borderId="253" applyNumberFormat="0" applyProtection="0">
      <alignment horizontal="right" vertical="center"/>
    </xf>
    <xf numFmtId="4" fontId="56" fillId="55"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27" fillId="21" borderId="252" applyNumberFormat="0" applyProtection="0">
      <alignment horizontal="left" vertical="center" indent="1"/>
    </xf>
    <xf numFmtId="191" fontId="28" fillId="50" borderId="8">
      <alignment vertical="center"/>
    </xf>
    <xf numFmtId="4" fontId="27" fillId="21" borderId="267" applyNumberFormat="0" applyProtection="0">
      <alignment horizontal="left" vertical="center" indent="1"/>
    </xf>
    <xf numFmtId="186" fontId="28" fillId="49" borderId="259">
      <alignment vertical="center"/>
    </xf>
    <xf numFmtId="186" fontId="56" fillId="63" borderId="252" applyNumberFormat="0" applyProtection="0">
      <alignment horizontal="left" vertical="top" indent="1"/>
    </xf>
    <xf numFmtId="191" fontId="28" fillId="51" borderId="259">
      <alignment horizontal="right" vertical="center"/>
      <protection locked="0"/>
    </xf>
    <xf numFmtId="186" fontId="56" fillId="21" borderId="252" applyNumberFormat="0" applyProtection="0">
      <alignment horizontal="left" vertical="top" indent="1"/>
    </xf>
    <xf numFmtId="191" fontId="5" fillId="13" borderId="259">
      <alignment vertical="center"/>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63" applyNumberFormat="0" applyProtection="0">
      <alignment horizontal="right" vertical="center"/>
    </xf>
    <xf numFmtId="186" fontId="56" fillId="21" borderId="252" applyNumberFormat="0" applyProtection="0">
      <alignment horizontal="left" vertical="top" indent="1"/>
    </xf>
    <xf numFmtId="4" fontId="56" fillId="60"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28" fillId="49" borderId="269">
      <alignment vertical="center"/>
    </xf>
    <xf numFmtId="186" fontId="56" fillId="14" borderId="252" applyNumberFormat="0" applyProtection="0">
      <alignment horizontal="left" vertical="top" indent="1"/>
    </xf>
    <xf numFmtId="37" fontId="33" fillId="0" borderId="256" applyNumberFormat="0"/>
    <xf numFmtId="0" fontId="73" fillId="52" borderId="252" applyNumberFormat="0" applyProtection="0">
      <alignment horizontal="left" vertical="top" indent="1"/>
    </xf>
    <xf numFmtId="0" fontId="5" fillId="13" borderId="8">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59" fillId="53" borderId="253" applyNumberFormat="0" applyProtection="0">
      <alignment vertical="center"/>
    </xf>
    <xf numFmtId="4" fontId="59" fillId="65" borderId="253" applyNumberFormat="0" applyProtection="0">
      <alignment horizontal="right" vertical="center"/>
    </xf>
    <xf numFmtId="186" fontId="56" fillId="40" borderId="253" applyNumberFormat="0" applyFont="0" applyAlignment="0" applyProtection="0"/>
    <xf numFmtId="4" fontId="56" fillId="15" borderId="253" applyNumberFormat="0" applyProtection="0">
      <alignment horizontal="right" vertical="center"/>
    </xf>
    <xf numFmtId="186" fontId="56" fillId="15" borderId="244" applyNumberFormat="0" applyProtection="0">
      <alignment horizontal="left" vertical="top" indent="1"/>
    </xf>
    <xf numFmtId="186" fontId="27" fillId="14" borderId="252" applyNumberFormat="0" applyProtection="0">
      <alignment horizontal="left" vertical="top" indent="1"/>
    </xf>
    <xf numFmtId="186" fontId="27" fillId="14" borderId="244" applyNumberFormat="0" applyProtection="0">
      <alignment horizontal="left" vertical="top" indent="1"/>
    </xf>
    <xf numFmtId="186" fontId="56" fillId="21" borderId="252" applyNumberFormat="0" applyProtection="0">
      <alignment horizontal="left" vertical="top" indent="1"/>
    </xf>
    <xf numFmtId="0" fontId="5" fillId="70" borderId="249">
      <alignment horizontal="righ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4" fontId="27" fillId="21" borderId="245" applyNumberFormat="0" applyProtection="0">
      <alignment horizontal="left" vertical="center" indent="1"/>
    </xf>
    <xf numFmtId="186" fontId="62" fillId="48" borderId="252" applyNumberFormat="0" applyProtection="0">
      <alignment horizontal="left" vertical="top" indent="1"/>
    </xf>
    <xf numFmtId="186" fontId="56" fillId="63" borderId="244" applyNumberFormat="0" applyProtection="0">
      <alignment horizontal="left" vertical="top" indent="1"/>
    </xf>
    <xf numFmtId="186" fontId="61" fillId="21" borderId="246" applyBorder="0"/>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42" applyNumberFormat="0" applyFont="0" applyAlignment="0" applyProtection="0"/>
    <xf numFmtId="188" fontId="28" fillId="49" borderId="8">
      <alignment vertical="center"/>
    </xf>
    <xf numFmtId="191" fontId="28" fillId="50" borderId="249">
      <alignment vertical="center"/>
    </xf>
    <xf numFmtId="186" fontId="56" fillId="14" borderId="252" applyNumberFormat="0" applyProtection="0">
      <alignment horizontal="left" vertical="top" indent="1"/>
    </xf>
    <xf numFmtId="4" fontId="56" fillId="59" borderId="253" applyNumberFormat="0" applyProtection="0">
      <alignment horizontal="right" vertical="center"/>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top" indent="1"/>
    </xf>
    <xf numFmtId="4" fontId="59" fillId="53" borderId="253" applyNumberFormat="0" applyProtection="0">
      <alignment vertical="center"/>
    </xf>
    <xf numFmtId="190" fontId="28" fillId="50" borderId="259">
      <alignment vertical="center"/>
    </xf>
    <xf numFmtId="186" fontId="56" fillId="63" borderId="253" applyNumberFormat="0" applyProtection="0">
      <alignment horizontal="left" vertical="center" indent="1"/>
    </xf>
    <xf numFmtId="186" fontId="27" fillId="14" borderId="244" applyNumberFormat="0" applyProtection="0">
      <alignment horizontal="left" vertical="top" indent="1"/>
    </xf>
    <xf numFmtId="186" fontId="62" fillId="48" borderId="252" applyNumberFormat="0" applyProtection="0">
      <alignment horizontal="left" vertical="top" indent="1"/>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40" borderId="242" applyNumberFormat="0" applyFont="0" applyAlignment="0" applyProtection="0"/>
    <xf numFmtId="186" fontId="27" fillId="21" borderId="244" applyNumberFormat="0" applyProtection="0">
      <alignment horizontal="left" vertical="top" indent="1"/>
    </xf>
    <xf numFmtId="4" fontId="64" fillId="64" borderId="242" applyNumberFormat="0" applyProtection="0">
      <alignment horizontal="right" vertical="center"/>
    </xf>
    <xf numFmtId="4" fontId="27" fillId="21" borderId="245" applyNumberFormat="0" applyProtection="0">
      <alignment horizontal="left" vertical="center" indent="1"/>
    </xf>
    <xf numFmtId="186" fontId="27" fillId="14" borderId="244" applyNumberFormat="0" applyProtection="0">
      <alignment horizontal="left" vertical="top" indent="1"/>
    </xf>
    <xf numFmtId="191" fontId="28" fillId="50" borderId="249">
      <alignment vertical="center"/>
    </xf>
    <xf numFmtId="4" fontId="56" fillId="59" borderId="253" applyNumberFormat="0" applyProtection="0">
      <alignment horizontal="right" vertical="center"/>
    </xf>
    <xf numFmtId="186" fontId="56" fillId="40" borderId="253" applyNumberFormat="0" applyFont="0" applyAlignment="0" applyProtection="0"/>
    <xf numFmtId="186" fontId="56" fillId="63" borderId="252" applyNumberFormat="0" applyProtection="0">
      <alignment horizontal="left" vertical="top" indent="1"/>
    </xf>
    <xf numFmtId="37" fontId="33" fillId="0" borderId="266" applyNumberFormat="0"/>
    <xf numFmtId="186" fontId="56" fillId="63" borderId="263" applyNumberFormat="0" applyProtection="0">
      <alignment horizontal="left" vertical="center" indent="1"/>
    </xf>
    <xf numFmtId="191" fontId="28" fillId="50" borderId="269">
      <alignment vertical="center"/>
    </xf>
    <xf numFmtId="186" fontId="56" fillId="11" borderId="253"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40" borderId="253" applyNumberFormat="0" applyFont="0" applyAlignment="0" applyProtection="0"/>
    <xf numFmtId="4" fontId="56" fillId="58" borderId="242" applyNumberFormat="0" applyProtection="0">
      <alignment horizontal="right" vertical="center"/>
    </xf>
    <xf numFmtId="186" fontId="57" fillId="44" borderId="243" applyNumberFormat="0" applyAlignment="0" applyProtection="0"/>
    <xf numFmtId="4" fontId="56" fillId="0" borderId="242" applyNumberFormat="0" applyProtection="0">
      <alignment horizontal="right" vertical="center"/>
    </xf>
    <xf numFmtId="4" fontId="56" fillId="53" borderId="242" applyNumberFormat="0" applyProtection="0">
      <alignment horizontal="left" vertical="center" indent="1"/>
    </xf>
    <xf numFmtId="186" fontId="27" fillId="63" borderId="244" applyNumberFormat="0" applyProtection="0">
      <alignment horizontal="left" vertical="center" indent="1"/>
    </xf>
    <xf numFmtId="191" fontId="28" fillId="50" borderId="249">
      <alignment vertical="center"/>
    </xf>
    <xf numFmtId="186" fontId="42" fillId="44" borderId="263" applyNumberFormat="0" applyAlignment="0" applyProtection="0"/>
    <xf numFmtId="186" fontId="27" fillId="63" borderId="261" applyNumberFormat="0" applyProtection="0">
      <alignment horizontal="left" vertical="center" indent="1"/>
    </xf>
    <xf numFmtId="194" fontId="33" fillId="0" borderId="231" applyFill="0"/>
    <xf numFmtId="0" fontId="27" fillId="15" borderId="244" applyNumberFormat="0" applyProtection="0">
      <alignment horizontal="left" vertical="center"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56" fillId="63" borderId="244" applyNumberFormat="0" applyProtection="0">
      <alignment horizontal="left" vertical="top" indent="1"/>
    </xf>
    <xf numFmtId="186" fontId="57" fillId="44" borderId="243" applyNumberFormat="0" applyAlignment="0" applyProtection="0"/>
    <xf numFmtId="186" fontId="56" fillId="14" borderId="244" applyNumberFormat="0" applyProtection="0">
      <alignment horizontal="left" vertical="top" indent="1"/>
    </xf>
    <xf numFmtId="193" fontId="5" fillId="69" borderId="249">
      <alignment vertical="center"/>
    </xf>
    <xf numFmtId="186" fontId="27" fillId="14" borderId="244"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4" fontId="56" fillId="54" borderId="253" applyNumberFormat="0" applyProtection="0">
      <alignment horizontal="left" vertical="center" indent="1"/>
    </xf>
    <xf numFmtId="186" fontId="60" fillId="52" borderId="252" applyNumberFormat="0" applyProtection="0">
      <alignment horizontal="left" vertical="top" indent="1"/>
    </xf>
    <xf numFmtId="186" fontId="62" fillId="15" borderId="252" applyNumberFormat="0" applyProtection="0">
      <alignment horizontal="left" vertical="top" indent="1"/>
    </xf>
    <xf numFmtId="4" fontId="56" fillId="15" borderId="242" applyNumberFormat="0" applyProtection="0">
      <alignment horizontal="right" vertical="center"/>
    </xf>
    <xf numFmtId="4" fontId="59" fillId="65" borderId="242" applyNumberFormat="0" applyProtection="0">
      <alignment horizontal="right" vertical="center"/>
    </xf>
    <xf numFmtId="186" fontId="56" fillId="40" borderId="242" applyNumberFormat="0" applyFont="0" applyAlignment="0" applyProtection="0"/>
    <xf numFmtId="4" fontId="56" fillId="16" borderId="242" applyNumberFormat="0" applyProtection="0">
      <alignment horizontal="right" vertical="center"/>
    </xf>
    <xf numFmtId="4" fontId="56" fillId="23" borderId="253" applyNumberFormat="0" applyProtection="0">
      <alignment horizontal="right" vertical="center"/>
    </xf>
    <xf numFmtId="4" fontId="56" fillId="15" borderId="253" applyNumberFormat="0" applyProtection="0">
      <alignment horizontal="right" vertical="center"/>
    </xf>
    <xf numFmtId="4" fontId="56" fillId="54" borderId="242" applyNumberFormat="0" applyProtection="0">
      <alignment horizontal="left" vertical="center" indent="1"/>
    </xf>
    <xf numFmtId="4" fontId="63" fillId="66" borderId="245" applyNumberFormat="0" applyProtection="0">
      <alignment horizontal="left" vertical="center" indent="1"/>
    </xf>
    <xf numFmtId="186" fontId="56" fillId="21" borderId="252" applyNumberFormat="0" applyProtection="0">
      <alignment horizontal="left" vertical="top" indent="1"/>
    </xf>
    <xf numFmtId="4" fontId="56" fillId="14" borderId="257" applyNumberFormat="0" applyProtection="0">
      <alignment horizontal="left" vertical="center" indent="1"/>
    </xf>
    <xf numFmtId="0" fontId="5" fillId="7" borderId="249">
      <alignment vertical="center"/>
      <protection locked="0"/>
    </xf>
    <xf numFmtId="0" fontId="27" fillId="63"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43" applyNumberFormat="0" applyAlignment="0" applyProtection="0"/>
    <xf numFmtId="186" fontId="27"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91" fontId="28" fillId="51" borderId="259">
      <alignment horizontal="right" vertical="center"/>
      <protection locked="0"/>
    </xf>
    <xf numFmtId="186" fontId="56" fillId="67" borderId="8"/>
    <xf numFmtId="4" fontId="64" fillId="64" borderId="253" applyNumberFormat="0" applyProtection="0">
      <alignment horizontal="right" vertical="center"/>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52" applyNumberFormat="0" applyProtection="0">
      <alignment horizontal="left" vertical="top" indent="1"/>
    </xf>
    <xf numFmtId="4" fontId="56" fillId="54" borderId="253" applyNumberFormat="0" applyProtection="0">
      <alignment horizontal="left" vertical="center" indent="1"/>
    </xf>
    <xf numFmtId="190" fontId="5" fillId="13" borderId="269">
      <alignment vertical="center"/>
    </xf>
    <xf numFmtId="186" fontId="61" fillId="21" borderId="255" applyBorder="0"/>
    <xf numFmtId="4" fontId="56" fillId="53" borderId="253" applyNumberFormat="0" applyProtection="0">
      <alignment horizontal="left" vertical="center" indent="1"/>
    </xf>
    <xf numFmtId="4" fontId="59" fillId="65" borderId="25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21" borderId="261" applyNumberFormat="0" applyProtection="0">
      <alignment horizontal="left" vertical="top" indent="1"/>
    </xf>
    <xf numFmtId="186" fontId="50" fillId="41" borderId="263" applyNumberFormat="0" applyAlignment="0" applyProtection="0"/>
    <xf numFmtId="172" fontId="28" fillId="12" borderId="259">
      <alignment vertical="center"/>
      <protection locked="0"/>
    </xf>
    <xf numFmtId="4" fontId="56" fillId="52" borderId="242" applyNumberFormat="0" applyProtection="0">
      <alignment vertical="center"/>
    </xf>
    <xf numFmtId="4" fontId="56" fillId="0" borderId="263" applyNumberFormat="0" applyProtection="0">
      <alignment horizontal="right" vertical="center"/>
    </xf>
    <xf numFmtId="172" fontId="28" fillId="12" borderId="249">
      <alignment vertical="center"/>
      <protection locked="0"/>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7" fillId="21" borderId="261" applyNumberFormat="0" applyProtection="0">
      <alignment horizontal="left" vertical="top" indent="1"/>
    </xf>
    <xf numFmtId="186" fontId="62" fillId="15" borderId="252" applyNumberFormat="0" applyProtection="0">
      <alignment horizontal="left" vertical="top" indent="1"/>
    </xf>
    <xf numFmtId="186" fontId="27" fillId="64" borderId="259" applyNumberFormat="0">
      <protection locked="0"/>
    </xf>
    <xf numFmtId="186" fontId="56" fillId="40" borderId="253" applyNumberFormat="0" applyFont="0" applyAlignment="0" applyProtection="0"/>
    <xf numFmtId="193" fontId="28" fillId="50" borderId="249">
      <alignment vertical="center"/>
    </xf>
    <xf numFmtId="186" fontId="27" fillId="63" borderId="244" applyNumberFormat="0" applyProtection="0">
      <alignment horizontal="left" vertical="top"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86" fontId="56" fillId="21" borderId="244" applyNumberFormat="0" applyProtection="0">
      <alignment horizontal="left" vertical="top" indent="1"/>
    </xf>
    <xf numFmtId="4" fontId="56" fillId="19" borderId="242" applyNumberFormat="0" applyProtection="0">
      <alignment horizontal="right" vertical="center"/>
    </xf>
    <xf numFmtId="194" fontId="33" fillId="0" borderId="231" applyFill="0"/>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56" fillId="40" borderId="253" applyNumberFormat="0" applyFont="0" applyAlignment="0" applyProtection="0"/>
    <xf numFmtId="0" fontId="5" fillId="13" borderId="249">
      <alignment vertical="center"/>
    </xf>
    <xf numFmtId="186" fontId="42" fillId="44" borderId="242" applyNumberFormat="0" applyAlignment="0" applyProtection="0"/>
    <xf numFmtId="4" fontId="56" fillId="57" borderId="257" applyNumberFormat="0" applyProtection="0">
      <alignment horizontal="right" vertical="center"/>
    </xf>
    <xf numFmtId="191" fontId="28" fillId="51" borderId="249">
      <alignment horizontal="right" vertical="center"/>
      <protection locked="0"/>
    </xf>
    <xf numFmtId="186" fontId="56" fillId="14"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86" fontId="56" fillId="21" borderId="244" applyNumberFormat="0" applyProtection="0">
      <alignment horizontal="left" vertical="top" indent="1"/>
    </xf>
    <xf numFmtId="190" fontId="5" fillId="70" borderId="249">
      <alignment horizontal="right" vertical="center"/>
      <protection locked="0"/>
    </xf>
    <xf numFmtId="186" fontId="57" fillId="44" borderId="243" applyNumberFormat="0" applyAlignment="0" applyProtection="0"/>
    <xf numFmtId="4" fontId="56" fillId="15" borderId="253" applyNumberFormat="0" applyProtection="0">
      <alignment horizontal="right" vertical="center"/>
    </xf>
    <xf numFmtId="186" fontId="62" fillId="15"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4" fontId="56" fillId="23" borderId="253" applyNumberFormat="0" applyProtection="0">
      <alignment horizontal="right" vertical="center"/>
    </xf>
    <xf numFmtId="4" fontId="56" fillId="59" borderId="263" applyNumberFormat="0" applyProtection="0">
      <alignment horizontal="right" vertical="center"/>
    </xf>
    <xf numFmtId="193" fontId="28" fillId="50" borderId="249">
      <alignment vertical="center"/>
    </xf>
    <xf numFmtId="186" fontId="56" fillId="21" borderId="261"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186" fontId="56" fillId="40" borderId="253" applyNumberFormat="0" applyFont="0" applyAlignment="0" applyProtection="0"/>
    <xf numFmtId="186" fontId="62" fillId="48"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4" fontId="56" fillId="14" borderId="245"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8" fontId="5" fillId="70" borderId="249">
      <alignment horizontal="right" vertical="center"/>
      <protection locked="0"/>
    </xf>
    <xf numFmtId="193" fontId="28" fillId="50" borderId="259">
      <alignment vertical="center"/>
    </xf>
    <xf numFmtId="186" fontId="56" fillId="14" borderId="244" applyNumberFormat="0" applyProtection="0">
      <alignment horizontal="left" vertical="top" indent="1"/>
    </xf>
    <xf numFmtId="186" fontId="28" fillId="50" borderId="269">
      <alignment vertical="center"/>
    </xf>
    <xf numFmtId="186" fontId="56" fillId="15" borderId="244" applyNumberFormat="0" applyProtection="0">
      <alignment horizontal="left" vertical="top" indent="1"/>
    </xf>
    <xf numFmtId="4" fontId="56" fillId="15" borderId="257" applyNumberFormat="0" applyProtection="0">
      <alignment horizontal="left" vertical="center" indent="1"/>
    </xf>
    <xf numFmtId="191" fontId="28" fillId="50" borderId="8">
      <alignment vertical="center"/>
    </xf>
    <xf numFmtId="186" fontId="56" fillId="63" borderId="252" applyNumberFormat="0" applyProtection="0">
      <alignment horizontal="left" vertical="top" indent="1"/>
    </xf>
    <xf numFmtId="186" fontId="62" fillId="48" borderId="252" applyNumberFormat="0" applyProtection="0">
      <alignment horizontal="left" vertical="top" indent="1"/>
    </xf>
    <xf numFmtId="0" fontId="5" fillId="13" borderId="8">
      <alignment vertical="center"/>
    </xf>
    <xf numFmtId="4" fontId="72" fillId="78" borderId="252" applyNumberFormat="0" applyProtection="0">
      <alignment horizontal="right" vertical="center"/>
    </xf>
    <xf numFmtId="186" fontId="56" fillId="14" borderId="252" applyNumberFormat="0" applyProtection="0">
      <alignment horizontal="left" vertical="top" indent="1"/>
    </xf>
    <xf numFmtId="186" fontId="62" fillId="48" borderId="252" applyNumberFormat="0" applyProtection="0">
      <alignment horizontal="left" vertical="top" indent="1"/>
    </xf>
    <xf numFmtId="186" fontId="56" fillId="63" borderId="261" applyNumberFormat="0" applyProtection="0">
      <alignment horizontal="left" vertical="top" indent="1"/>
    </xf>
    <xf numFmtId="186" fontId="56" fillId="40" borderId="253" applyNumberFormat="0" applyFont="0" applyAlignment="0" applyProtection="0"/>
    <xf numFmtId="4" fontId="56" fillId="14" borderId="25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186" fontId="27" fillId="21" borderId="261" applyNumberFormat="0" applyProtection="0">
      <alignment horizontal="left" vertical="center" indent="1"/>
    </xf>
    <xf numFmtId="186" fontId="28" fillId="12" borderId="8">
      <alignment vertical="center"/>
      <protection locked="0"/>
    </xf>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5" borderId="261" applyNumberFormat="0" applyProtection="0">
      <alignment horizontal="left" vertical="top" indent="1"/>
    </xf>
    <xf numFmtId="186" fontId="57" fillId="44" borderId="264" applyNumberFormat="0" applyAlignment="0" applyProtection="0"/>
    <xf numFmtId="186" fontId="42" fillId="44" borderId="253" applyNumberFormat="0" applyAlignment="0" applyProtection="0"/>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4" fontId="62" fillId="11" borderId="261" applyNumberFormat="0" applyProtection="0">
      <alignment horizontal="left" vertical="center" indent="1"/>
    </xf>
    <xf numFmtId="0" fontId="5" fillId="13" borderId="8">
      <alignment vertical="center"/>
    </xf>
    <xf numFmtId="186" fontId="56" fillId="63" borderId="261" applyNumberFormat="0" applyProtection="0">
      <alignment horizontal="left" vertical="top" indent="1"/>
    </xf>
    <xf numFmtId="191" fontId="28" fillId="49" borderId="26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4" fontId="62" fillId="11" borderId="25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8"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19" borderId="263" applyNumberFormat="0" applyProtection="0">
      <alignment horizontal="right" vertical="center"/>
    </xf>
    <xf numFmtId="186" fontId="60" fillId="52" borderId="261" applyNumberFormat="0" applyProtection="0">
      <alignment horizontal="left" vertical="top" indent="1"/>
    </xf>
    <xf numFmtId="4" fontId="56" fillId="59" borderId="253" applyNumberFormat="0" applyProtection="0">
      <alignment horizontal="right" vertical="center"/>
    </xf>
    <xf numFmtId="4" fontId="62" fillId="48" borderId="252" applyNumberFormat="0" applyProtection="0">
      <alignment vertical="center"/>
    </xf>
    <xf numFmtId="186" fontId="57" fillId="44" borderId="264"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21" borderId="252" applyNumberFormat="0" applyProtection="0">
      <alignment horizontal="left" vertical="top" indent="1"/>
    </xf>
    <xf numFmtId="190" fontId="5" fillId="69" borderId="8">
      <alignment vertical="center"/>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63" borderId="252" applyNumberFormat="0" applyProtection="0">
      <alignment horizontal="left" vertical="top" indent="1"/>
    </xf>
    <xf numFmtId="188" fontId="5" fillId="70" borderId="259">
      <alignment horizontal="righ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9" fillId="53" borderId="253" applyNumberFormat="0" applyProtection="0">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50" borderId="259">
      <alignment vertical="center"/>
    </xf>
    <xf numFmtId="188" fontId="5" fillId="70" borderId="8">
      <alignment horizontal="right" vertical="center"/>
      <protection locked="0"/>
    </xf>
    <xf numFmtId="186" fontId="61" fillId="21" borderId="255" applyBorder="0"/>
    <xf numFmtId="186" fontId="56" fillId="40" borderId="253" applyNumberFormat="0" applyFont="0" applyAlignment="0" applyProtection="0"/>
    <xf numFmtId="186" fontId="27" fillId="15" borderId="252" applyNumberFormat="0" applyProtection="0">
      <alignment horizontal="left" vertical="top" indent="1"/>
    </xf>
    <xf numFmtId="186" fontId="56" fillId="40" borderId="263" applyNumberFormat="0" applyFont="0" applyAlignment="0" applyProtection="0"/>
    <xf numFmtId="186" fontId="60" fillId="52" borderId="252" applyNumberFormat="0" applyProtection="0">
      <alignment horizontal="left" vertical="top" indent="1"/>
    </xf>
    <xf numFmtId="4" fontId="56" fillId="55" borderId="253" applyNumberFormat="0" applyProtection="0">
      <alignment horizontal="right" vertical="center"/>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27" fillId="21" borderId="252" applyNumberFormat="0" applyProtection="0">
      <alignment horizontal="left" vertical="top" indent="1"/>
    </xf>
    <xf numFmtId="186" fontId="57" fillId="44" borderId="254" applyNumberFormat="0" applyAlignment="0" applyProtection="0"/>
    <xf numFmtId="190" fontId="5" fillId="69" borderId="249">
      <alignment vertical="center"/>
    </xf>
    <xf numFmtId="186" fontId="27" fillId="21" borderId="261" applyNumberFormat="0" applyProtection="0">
      <alignment horizontal="left" vertical="center"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90" fontId="28" fillId="51" borderId="8">
      <alignment horizontal="righ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91" fontId="5" fillId="13" borderId="249">
      <alignment vertical="center"/>
    </xf>
    <xf numFmtId="186" fontId="27" fillId="15" borderId="244" applyNumberFormat="0" applyProtection="0">
      <alignment horizontal="left" vertical="top" indent="1"/>
    </xf>
    <xf numFmtId="193" fontId="28" fillId="12" borderId="249">
      <alignment vertical="center"/>
      <protection locked="0"/>
    </xf>
    <xf numFmtId="186" fontId="56" fillId="21" borderId="252" applyNumberFormat="0" applyProtection="0">
      <alignment horizontal="left" vertical="top" indent="1"/>
    </xf>
    <xf numFmtId="186" fontId="56" fillId="15" borderId="244" applyNumberFormat="0" applyProtection="0">
      <alignment horizontal="left" vertical="top" indent="1"/>
    </xf>
    <xf numFmtId="37" fontId="33" fillId="0" borderId="256" applyNumberFormat="0"/>
    <xf numFmtId="193" fontId="28" fillId="12" borderId="259">
      <alignment vertical="center"/>
      <protection locked="0"/>
    </xf>
    <xf numFmtId="186" fontId="56" fillId="40" borderId="253" applyNumberFormat="0" applyFont="0" applyAlignment="0" applyProtection="0"/>
    <xf numFmtId="186" fontId="56" fillId="21" borderId="261" applyNumberFormat="0" applyProtection="0">
      <alignment horizontal="left" vertical="top" indent="1"/>
    </xf>
    <xf numFmtId="186" fontId="27"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8" fontId="28" fillId="51" borderId="259">
      <alignment horizontal="right" vertical="center"/>
      <protection locked="0"/>
    </xf>
    <xf numFmtId="191" fontId="5" fillId="69" borderId="249">
      <alignment vertical="center"/>
    </xf>
    <xf numFmtId="186" fontId="56" fillId="21" borderId="244" applyNumberFormat="0" applyProtection="0">
      <alignment horizontal="left" vertical="top" indent="1"/>
    </xf>
    <xf numFmtId="193" fontId="28" fillId="12" borderId="249">
      <alignment vertical="center"/>
      <protection locked="0"/>
    </xf>
    <xf numFmtId="186" fontId="27" fillId="15" borderId="244" applyNumberFormat="0" applyProtection="0">
      <alignment horizontal="left" vertical="center" indent="1"/>
    </xf>
    <xf numFmtId="186" fontId="56" fillId="40" borderId="242" applyNumberFormat="0" applyFont="0" applyAlignment="0" applyProtection="0"/>
    <xf numFmtId="186" fontId="56" fillId="14" borderId="244" applyNumberFormat="0" applyProtection="0">
      <alignment horizontal="left" vertical="top" indent="1"/>
    </xf>
    <xf numFmtId="186" fontId="56" fillId="21" borderId="244" applyNumberFormat="0" applyProtection="0">
      <alignment horizontal="left" vertical="top" indent="1"/>
    </xf>
    <xf numFmtId="37" fontId="33" fillId="0" borderId="247" applyNumberFormat="0"/>
    <xf numFmtId="186" fontId="56" fillId="63" borderId="244" applyNumberFormat="0" applyProtection="0">
      <alignment horizontal="left" vertical="top" indent="1"/>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62" fillId="48" borderId="261" applyNumberFormat="0" applyProtection="0">
      <alignment horizontal="left" vertical="top" indent="1"/>
    </xf>
    <xf numFmtId="186" fontId="56" fillId="62" borderId="263"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186" fontId="27"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4" fontId="59" fillId="53" borderId="263" applyNumberFormat="0" applyProtection="0">
      <alignment vertical="center"/>
    </xf>
    <xf numFmtId="186" fontId="56" fillId="15" borderId="261" applyNumberFormat="0" applyProtection="0">
      <alignment horizontal="left" vertical="top" indent="1"/>
    </xf>
    <xf numFmtId="186" fontId="44" fillId="0" borderId="268" applyNumberFormat="0" applyFill="0" applyAlignment="0" applyProtection="0"/>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188" fontId="5" fillId="69" borderId="249">
      <alignment vertical="center"/>
    </xf>
    <xf numFmtId="4" fontId="70" fillId="86" borderId="251" applyNumberFormat="0" applyProtection="0">
      <alignment horizontal="left" vertical="center" indent="1"/>
    </xf>
    <xf numFmtId="186" fontId="27" fillId="64" borderId="249" applyNumberFormat="0">
      <protection locked="0"/>
    </xf>
    <xf numFmtId="172" fontId="28" fillId="12" borderId="269">
      <alignment vertical="center"/>
      <protection locked="0"/>
    </xf>
    <xf numFmtId="186" fontId="56" fillId="14" borderId="252" applyNumberFormat="0" applyProtection="0">
      <alignment horizontal="left" vertical="top" indent="1"/>
    </xf>
    <xf numFmtId="4" fontId="56" fillId="60" borderId="26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86" fontId="56" fillId="21" borderId="244" applyNumberFormat="0" applyProtection="0">
      <alignment horizontal="left" vertical="top" indent="1"/>
    </xf>
    <xf numFmtId="37" fontId="33" fillId="0" borderId="247" applyNumberFormat="0"/>
    <xf numFmtId="186" fontId="56" fillId="21" borderId="252" applyNumberFormat="0" applyProtection="0">
      <alignment horizontal="left" vertical="top" indent="1"/>
    </xf>
    <xf numFmtId="190" fontId="28" fillId="49" borderId="249">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4" fontId="59" fillId="65" borderId="242" applyNumberFormat="0" applyProtection="0">
      <alignment horizontal="right" vertical="center"/>
    </xf>
    <xf numFmtId="188" fontId="5" fillId="70" borderId="269">
      <alignment horizontal="right" vertical="center"/>
      <protection locked="0"/>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28" fillId="50" borderId="8">
      <alignment vertical="center"/>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56" fillId="40" borderId="263" applyNumberFormat="0" applyFont="0" applyAlignment="0" applyProtection="0"/>
    <xf numFmtId="186" fontId="56" fillId="40" borderId="253" applyNumberFormat="0" applyFont="0" applyAlignment="0" applyProtection="0"/>
    <xf numFmtId="186" fontId="27" fillId="14" borderId="261" applyNumberFormat="0" applyProtection="0">
      <alignment horizontal="left" vertical="center" indent="1"/>
    </xf>
    <xf numFmtId="4" fontId="56" fillId="15" borderId="263" applyNumberFormat="0" applyProtection="0">
      <alignment horizontal="right" vertical="center"/>
    </xf>
    <xf numFmtId="4" fontId="56" fillId="54"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4" fontId="59" fillId="65" borderId="263" applyNumberFormat="0" applyProtection="0">
      <alignment horizontal="right" vertical="center"/>
    </xf>
    <xf numFmtId="186" fontId="56" fillId="63" borderId="261" applyNumberFormat="0" applyProtection="0">
      <alignment horizontal="left" vertical="top" indent="1"/>
    </xf>
    <xf numFmtId="4" fontId="56" fillId="19" borderId="263" applyNumberFormat="0" applyProtection="0">
      <alignment horizontal="right" vertical="center"/>
    </xf>
    <xf numFmtId="4" fontId="59" fillId="65" borderId="263" applyNumberFormat="0" applyProtection="0">
      <alignment horizontal="right" vertical="center"/>
    </xf>
    <xf numFmtId="186" fontId="57" fillId="44" borderId="264" applyNumberFormat="0" applyAlignment="0" applyProtection="0"/>
    <xf numFmtId="4" fontId="56" fillId="57" borderId="267" applyNumberFormat="0" applyProtection="0">
      <alignment horizontal="right" vertical="center"/>
    </xf>
    <xf numFmtId="186" fontId="27" fillId="21" borderId="261" applyNumberFormat="0" applyProtection="0">
      <alignment horizontal="left" vertical="center"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60" fillId="52" borderId="261" applyNumberFormat="0" applyProtection="0">
      <alignment horizontal="left" vertical="top" indent="1"/>
    </xf>
    <xf numFmtId="186" fontId="56" fillId="40" borderId="263" applyNumberFormat="0" applyFont="0" applyAlignment="0" applyProtection="0"/>
    <xf numFmtId="4" fontId="56" fillId="55" borderId="263" applyNumberFormat="0" applyProtection="0">
      <alignment horizontal="right" vertical="center"/>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72" fontId="5" fillId="7" borderId="249">
      <alignment vertical="center"/>
      <protection locked="0"/>
    </xf>
    <xf numFmtId="4" fontId="74" fillId="87" borderId="252" applyNumberFormat="0" applyProtection="0">
      <alignment horizontal="right" vertical="center"/>
    </xf>
    <xf numFmtId="186" fontId="62" fillId="15" borderId="252" applyNumberFormat="0" applyProtection="0">
      <alignment horizontal="left" vertical="top" indent="1"/>
    </xf>
    <xf numFmtId="4" fontId="56" fillId="53" borderId="253" applyNumberFormat="0" applyProtection="0">
      <alignment horizontal="left" vertical="center" indent="1"/>
    </xf>
    <xf numFmtId="186" fontId="27" fillId="21" borderId="244" applyNumberFormat="0" applyProtection="0">
      <alignment horizontal="left" vertical="center" indent="1"/>
    </xf>
    <xf numFmtId="186" fontId="61" fillId="21" borderId="255" applyBorder="0"/>
    <xf numFmtId="4" fontId="56" fillId="52" borderId="253" applyNumberFormat="0" applyProtection="0">
      <alignment vertical="center"/>
    </xf>
    <xf numFmtId="186" fontId="56" fillId="14" borderId="252" applyNumberFormat="0" applyProtection="0">
      <alignment horizontal="left" vertical="top" indent="1"/>
    </xf>
    <xf numFmtId="190" fontId="28" fillId="51" borderId="259">
      <alignment horizontal="right" vertical="center"/>
      <protection locked="0"/>
    </xf>
    <xf numFmtId="186" fontId="60" fillId="52" borderId="252" applyNumberFormat="0" applyProtection="0">
      <alignment horizontal="left" vertical="top" indent="1"/>
    </xf>
    <xf numFmtId="186" fontId="56" fillId="15" borderId="252" applyNumberFormat="0" applyProtection="0">
      <alignment horizontal="left" vertical="top" indent="1"/>
    </xf>
    <xf numFmtId="191" fontId="28" fillId="50" borderId="8">
      <alignment vertical="center"/>
    </xf>
    <xf numFmtId="0" fontId="5" fillId="69" borderId="8">
      <alignment vertical="center"/>
    </xf>
    <xf numFmtId="0" fontId="37" fillId="15" borderId="252" applyNumberFormat="0" applyProtection="0">
      <alignment horizontal="left" vertical="top" indent="1"/>
    </xf>
    <xf numFmtId="186" fontId="56" fillId="40" borderId="253" applyNumberFormat="0" applyFont="0" applyAlignment="0" applyProtection="0"/>
    <xf numFmtId="4" fontId="56" fillId="19" borderId="253" applyNumberFormat="0" applyProtection="0">
      <alignment horizontal="right" vertical="center"/>
    </xf>
    <xf numFmtId="186" fontId="56" fillId="14" borderId="252" applyNumberFormat="0" applyProtection="0">
      <alignment horizontal="left" vertical="top" indent="1"/>
    </xf>
    <xf numFmtId="4" fontId="56" fillId="57" borderId="257" applyNumberFormat="0" applyProtection="0">
      <alignment horizontal="right" vertical="center"/>
    </xf>
    <xf numFmtId="4" fontId="56" fillId="0" borderId="253" applyNumberFormat="0" applyProtection="0">
      <alignment horizontal="right" vertical="center"/>
    </xf>
    <xf numFmtId="4" fontId="56" fillId="53" borderId="263" applyNumberFormat="0" applyProtection="0">
      <alignment horizontal="left" vertical="center" indent="1"/>
    </xf>
    <xf numFmtId="186" fontId="56" fillId="40" borderId="253" applyNumberFormat="0" applyFont="0" applyAlignment="0" applyProtection="0"/>
    <xf numFmtId="186" fontId="27" fillId="15"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63" borderId="261" applyNumberFormat="0" applyProtection="0">
      <alignment horizontal="left" vertical="top" indent="1"/>
    </xf>
    <xf numFmtId="4" fontId="56" fillId="19" borderId="253" applyNumberFormat="0" applyProtection="0">
      <alignment horizontal="right" vertical="center"/>
    </xf>
    <xf numFmtId="4" fontId="56" fillId="16" borderId="253" applyNumberFormat="0" applyProtection="0">
      <alignment horizontal="right" vertical="center"/>
    </xf>
    <xf numFmtId="186" fontId="56" fillId="15" borderId="261" applyNumberFormat="0" applyProtection="0">
      <alignment horizontal="left" vertical="top" indent="1"/>
    </xf>
    <xf numFmtId="4" fontId="62" fillId="11" borderId="244" applyNumberFormat="0" applyProtection="0">
      <alignment horizontal="left" vertical="center" indent="1"/>
    </xf>
    <xf numFmtId="186" fontId="56" fillId="40" borderId="242" applyNumberFormat="0" applyFont="0" applyAlignment="0" applyProtection="0"/>
    <xf numFmtId="4" fontId="56" fillId="57" borderId="245" applyNumberFormat="0" applyProtection="0">
      <alignment horizontal="right" vertical="center"/>
    </xf>
    <xf numFmtId="172" fontId="28" fillId="12" borderId="8">
      <alignment vertical="center"/>
      <protection locked="0"/>
    </xf>
    <xf numFmtId="194" fontId="33" fillId="0" borderId="231" applyFill="0"/>
    <xf numFmtId="186" fontId="56" fillId="15" borderId="244"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186" fontId="62" fillId="15" borderId="261" applyNumberFormat="0" applyProtection="0">
      <alignment horizontal="left" vertical="top" indent="1"/>
    </xf>
    <xf numFmtId="188" fontId="28" fillId="49" borderId="8">
      <alignment vertical="center"/>
    </xf>
    <xf numFmtId="186" fontId="56" fillId="40" borderId="253" applyNumberFormat="0" applyFont="0" applyAlignment="0" applyProtection="0"/>
    <xf numFmtId="0" fontId="5" fillId="13" borderId="249">
      <alignment vertical="center"/>
    </xf>
    <xf numFmtId="4" fontId="56" fillId="16" borderId="253" applyNumberFormat="0" applyProtection="0">
      <alignment horizontal="right" vertical="center"/>
    </xf>
    <xf numFmtId="191" fontId="28" fillId="50" borderId="249">
      <alignment vertical="center"/>
    </xf>
    <xf numFmtId="186" fontId="27" fillId="14" borderId="244" applyNumberFormat="0" applyProtection="0">
      <alignment horizontal="left" vertical="center" indent="1"/>
    </xf>
    <xf numFmtId="4" fontId="56" fillId="61" borderId="245" applyNumberFormat="0" applyProtection="0">
      <alignment horizontal="left" vertical="center"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8" fontId="5" fillId="13" borderId="249">
      <alignment vertical="center"/>
    </xf>
    <xf numFmtId="196"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186" fontId="62" fillId="48" borderId="244" applyNumberFormat="0" applyProtection="0">
      <alignment horizontal="left" vertical="top" indent="1"/>
    </xf>
    <xf numFmtId="4" fontId="59" fillId="65" borderId="253" applyNumberFormat="0" applyProtection="0">
      <alignment horizontal="right" vertical="center"/>
    </xf>
    <xf numFmtId="186" fontId="27" fillId="14" borderId="244" applyNumberFormat="0" applyProtection="0">
      <alignment horizontal="left" vertical="center" indent="1"/>
    </xf>
    <xf numFmtId="186" fontId="50" fillId="41" borderId="253" applyNumberFormat="0" applyAlignment="0" applyProtection="0"/>
    <xf numFmtId="193" fontId="28" fillId="50" borderId="8">
      <alignment vertical="center"/>
    </xf>
    <xf numFmtId="191" fontId="28" fillId="51" borderId="259">
      <alignment horizontal="right" vertical="center"/>
      <protection locked="0"/>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72" fontId="28" fillId="12" borderId="249">
      <alignment vertical="center"/>
      <protection locked="0"/>
    </xf>
    <xf numFmtId="186" fontId="28" fillId="49" borderId="8">
      <alignment vertical="center"/>
    </xf>
    <xf numFmtId="190" fontId="5" fillId="70" borderId="249">
      <alignment horizontal="right" vertical="center"/>
      <protection locked="0"/>
    </xf>
    <xf numFmtId="190" fontId="28" fillId="51" borderId="8">
      <alignment horizontal="right" vertical="center"/>
      <protection locked="0"/>
    </xf>
    <xf numFmtId="186" fontId="27" fillId="63" borderId="252" applyNumberFormat="0" applyProtection="0">
      <alignment horizontal="left" vertical="center"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28" fillId="12" borderId="259">
      <alignment vertical="center"/>
      <protection locked="0"/>
    </xf>
    <xf numFmtId="4" fontId="56" fillId="61" borderId="245" applyNumberFormat="0" applyProtection="0">
      <alignment horizontal="left" vertical="center" indent="1"/>
    </xf>
    <xf numFmtId="4" fontId="56" fillId="55" borderId="253" applyNumberFormat="0" applyProtection="0">
      <alignment horizontal="right" vertical="center"/>
    </xf>
    <xf numFmtId="4" fontId="56" fillId="61" borderId="257" applyNumberFormat="0" applyProtection="0">
      <alignment horizontal="left" vertical="center" indent="1"/>
    </xf>
    <xf numFmtId="0" fontId="5" fillId="70" borderId="249">
      <alignment horizontal="right" vertical="center"/>
      <protection locked="0"/>
    </xf>
    <xf numFmtId="4" fontId="56" fillId="60" borderId="253" applyNumberFormat="0" applyProtection="0">
      <alignment horizontal="right" vertical="center"/>
    </xf>
    <xf numFmtId="186" fontId="56" fillId="63" borderId="244" applyNumberFormat="0" applyProtection="0">
      <alignment horizontal="left" vertical="top" indent="1"/>
    </xf>
    <xf numFmtId="186" fontId="42" fillId="44" borderId="253" applyNumberFormat="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40" borderId="253" applyNumberFormat="0" applyFont="0" applyAlignment="0" applyProtection="0"/>
    <xf numFmtId="186" fontId="62" fillId="48" borderId="252"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91" fontId="5" fillId="13" borderId="8">
      <alignment vertical="center"/>
    </xf>
    <xf numFmtId="4" fontId="71" fillId="53" borderId="252" applyNumberFormat="0" applyProtection="0">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27" fillId="63" borderId="261"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28" fillId="12" borderId="8">
      <alignment vertical="center"/>
      <protection locked="0"/>
    </xf>
    <xf numFmtId="186" fontId="56" fillId="14" borderId="252"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90" fontId="5" fillId="70" borderId="259">
      <alignment horizontal="right" vertical="center"/>
      <protection locked="0"/>
    </xf>
    <xf numFmtId="186" fontId="27" fillId="21" borderId="252" applyNumberFormat="0" applyProtection="0">
      <alignment horizontal="left" vertical="top" indent="1"/>
    </xf>
    <xf numFmtId="4" fontId="56" fillId="57" borderId="257" applyNumberFormat="0" applyProtection="0">
      <alignment horizontal="right" vertical="center"/>
    </xf>
    <xf numFmtId="186" fontId="56" fillId="14" borderId="252" applyNumberFormat="0" applyProtection="0">
      <alignment horizontal="left" vertical="top" indent="1"/>
    </xf>
    <xf numFmtId="191" fontId="28" fillId="50" borderId="259">
      <alignment vertical="center"/>
    </xf>
    <xf numFmtId="4" fontId="56" fillId="61" borderId="267" applyNumberFormat="0" applyProtection="0">
      <alignment horizontal="left" vertical="center" indent="1"/>
    </xf>
    <xf numFmtId="191" fontId="28" fillId="51" borderId="8">
      <alignment horizontal="right" vertical="center"/>
      <protection locked="0"/>
    </xf>
    <xf numFmtId="4" fontId="56" fillId="15" borderId="257" applyNumberFormat="0" applyProtection="0">
      <alignment horizontal="left" vertical="center" indent="1"/>
    </xf>
    <xf numFmtId="186" fontId="56" fillId="40" borderId="263" applyNumberFormat="0" applyFon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60" fillId="52" borderId="252" applyNumberFormat="0" applyProtection="0">
      <alignment horizontal="left" vertical="top" indent="1"/>
    </xf>
    <xf numFmtId="4" fontId="62" fillId="11" borderId="252" applyNumberFormat="0" applyProtection="0">
      <alignment horizontal="left" vertical="center" indent="1"/>
    </xf>
    <xf numFmtId="186" fontId="27" fillId="21" borderId="252" applyNumberFormat="0" applyProtection="0">
      <alignment horizontal="left" vertical="center" indent="1"/>
    </xf>
    <xf numFmtId="191" fontId="28" fillId="12" borderId="269">
      <alignment vertical="center"/>
      <protection locked="0"/>
    </xf>
    <xf numFmtId="191" fontId="5" fillId="13" borderId="8">
      <alignment vertical="center"/>
    </xf>
    <xf numFmtId="186" fontId="56" fillId="63" borderId="263" applyNumberFormat="0" applyProtection="0">
      <alignment horizontal="left" vertical="center" indent="1"/>
    </xf>
    <xf numFmtId="4" fontId="76" fillId="87" borderId="261" applyNumberFormat="0" applyProtection="0">
      <alignment horizontal="right" vertical="center"/>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4" fontId="56" fillId="56" borderId="263" applyNumberFormat="0" applyProtection="0">
      <alignment horizontal="right" vertical="center"/>
    </xf>
    <xf numFmtId="4" fontId="63" fillId="66" borderId="267" applyNumberFormat="0" applyProtection="0">
      <alignment horizontal="left" vertical="center"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0" fillId="41" borderId="253" applyNumberFormat="0" applyAlignment="0" applyProtection="0"/>
    <xf numFmtId="186" fontId="27" fillId="63" borderId="252" applyNumberFormat="0" applyProtection="0">
      <alignment horizontal="left" vertical="top" indent="1"/>
    </xf>
    <xf numFmtId="186" fontId="57" fillId="44" borderId="264" applyNumberFormat="0" applyAlignment="0" applyProtection="0"/>
    <xf numFmtId="188" fontId="28" fillId="51" borderId="8">
      <alignment horizontal="right" vertical="center"/>
      <protection locked="0"/>
    </xf>
    <xf numFmtId="186" fontId="28" fillId="49" borderId="259">
      <alignment vertical="center"/>
    </xf>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0" fontId="5" fillId="70" borderId="8">
      <alignment horizontal="right" vertical="center"/>
      <protection locked="0"/>
    </xf>
    <xf numFmtId="4" fontId="56" fillId="23" borderId="263" applyNumberFormat="0" applyProtection="0">
      <alignment horizontal="right" vertical="center"/>
    </xf>
    <xf numFmtId="4" fontId="59" fillId="53" borderId="253" applyNumberFormat="0" applyProtection="0">
      <alignment vertical="center"/>
    </xf>
    <xf numFmtId="186" fontId="56" fillId="21"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40" borderId="242" applyNumberFormat="0" applyFont="0" applyAlignment="0" applyProtection="0"/>
    <xf numFmtId="37" fontId="33" fillId="0" borderId="256" applyNumberFormat="0"/>
    <xf numFmtId="186" fontId="57" fillId="44" borderId="254" applyNumberFormat="0" applyAlignment="0" applyProtection="0"/>
    <xf numFmtId="186" fontId="56" fillId="21" borderId="252" applyNumberFormat="0" applyProtection="0">
      <alignment horizontal="left" vertical="top" indent="1"/>
    </xf>
    <xf numFmtId="193" fontId="5" fillId="69" borderId="249">
      <alignment vertical="center"/>
    </xf>
    <xf numFmtId="186" fontId="56" fillId="40" borderId="253" applyNumberFormat="0" applyFont="0" applyAlignment="0" applyProtection="0"/>
    <xf numFmtId="4" fontId="62" fillId="11" borderId="244" applyNumberFormat="0" applyProtection="0">
      <alignment horizontal="left" vertical="center" indent="1"/>
    </xf>
    <xf numFmtId="4" fontId="56" fillId="52" borderId="242" applyNumberFormat="0" applyProtection="0">
      <alignment vertical="center"/>
    </xf>
    <xf numFmtId="188" fontId="5" fillId="13" borderId="259">
      <alignment vertical="center"/>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86" fontId="44" fillId="0" borderId="248" applyNumberFormat="0" applyFill="0" applyAlignment="0" applyProtection="0"/>
    <xf numFmtId="186" fontId="56" fillId="21" borderId="244" applyNumberFormat="0" applyProtection="0">
      <alignment horizontal="left" vertical="top" indent="1"/>
    </xf>
    <xf numFmtId="191" fontId="28" fillId="12" borderId="249">
      <alignment vertical="center"/>
      <protection locked="0"/>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4" fontId="56" fillId="15" borderId="257" applyNumberFormat="0" applyProtection="0">
      <alignment horizontal="left" vertical="center" indent="1"/>
    </xf>
    <xf numFmtId="186" fontId="28" fillId="49" borderId="25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72" fontId="28" fillId="12" borderId="259">
      <alignment vertical="center"/>
      <protection locked="0"/>
    </xf>
    <xf numFmtId="186" fontId="56" fillId="67" borderId="249"/>
    <xf numFmtId="0" fontId="5" fillId="69" borderId="249">
      <alignment vertical="center"/>
    </xf>
    <xf numFmtId="186" fontId="62" fillId="15" borderId="244" applyNumberFormat="0" applyProtection="0">
      <alignment horizontal="left" vertical="top" indent="1"/>
    </xf>
    <xf numFmtId="186" fontId="56" fillId="14" borderId="244" applyNumberFormat="0" applyProtection="0">
      <alignment horizontal="left" vertical="top" indent="1"/>
    </xf>
    <xf numFmtId="194" fontId="33" fillId="0" borderId="231" applyFill="0"/>
    <xf numFmtId="186" fontId="56" fillId="15" borderId="252"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191" fontId="28" fillId="51" borderId="249">
      <alignment horizontal="right" vertical="center"/>
      <protection locked="0"/>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5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4" fontId="64" fillId="64"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56" fillId="40" borderId="242" applyNumberFormat="0" applyFont="0" applyAlignment="0" applyProtection="0"/>
    <xf numFmtId="4" fontId="56" fillId="60"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72" fontId="5" fillId="7" borderId="249">
      <alignment vertical="center"/>
      <protection locked="0"/>
    </xf>
    <xf numFmtId="4" fontId="72" fillId="82" borderId="244" applyNumberFormat="0" applyProtection="0">
      <alignment horizontal="right" vertical="center"/>
    </xf>
    <xf numFmtId="186" fontId="27" fillId="63" borderId="244" applyNumberFormat="0" applyProtection="0">
      <alignment horizontal="left" vertical="center" indent="1"/>
    </xf>
    <xf numFmtId="37" fontId="33" fillId="0" borderId="256" applyNumberFormat="0"/>
    <xf numFmtId="4" fontId="56" fillId="19" borderId="253" applyNumberFormat="0" applyProtection="0">
      <alignment horizontal="right" vertical="center"/>
    </xf>
    <xf numFmtId="4" fontId="56" fillId="60" borderId="242" applyNumberFormat="0" applyProtection="0">
      <alignment horizontal="right" vertical="center"/>
    </xf>
    <xf numFmtId="4" fontId="64" fillId="64" borderId="253" applyNumberFormat="0" applyProtection="0">
      <alignment horizontal="right" vertical="center"/>
    </xf>
    <xf numFmtId="186" fontId="27" fillId="14" borderId="252" applyNumberFormat="0" applyProtection="0">
      <alignment horizontal="left" vertical="center" indent="1"/>
    </xf>
    <xf numFmtId="186" fontId="56" fillId="14" borderId="252"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186" fontId="27" fillId="21" borderId="25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4" fontId="59" fillId="53" borderId="242" applyNumberFormat="0" applyProtection="0">
      <alignment vertical="center"/>
    </xf>
    <xf numFmtId="186" fontId="56" fillId="63" borderId="244" applyNumberFormat="0" applyProtection="0">
      <alignment horizontal="left" vertical="top" indent="1"/>
    </xf>
    <xf numFmtId="191" fontId="28" fillId="12" borderId="269">
      <alignment vertical="center"/>
      <protection locked="0"/>
    </xf>
    <xf numFmtId="186" fontId="56" fillId="40" borderId="242" applyNumberFormat="0" applyFont="0" applyAlignment="0" applyProtection="0"/>
    <xf numFmtId="4" fontId="56" fillId="53" borderId="242" applyNumberFormat="0" applyProtection="0">
      <alignment horizontal="left" vertical="center"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8" fontId="5" fillId="13" borderId="249">
      <alignment vertical="center"/>
    </xf>
    <xf numFmtId="186" fontId="61" fillId="21" borderId="255" applyBorder="0"/>
    <xf numFmtId="186" fontId="56" fillId="63" borderId="261" applyNumberFormat="0" applyProtection="0">
      <alignment horizontal="left" vertical="top" indent="1"/>
    </xf>
    <xf numFmtId="186" fontId="27" fillId="63" borderId="252" applyNumberFormat="0" applyProtection="0">
      <alignment horizontal="left" vertical="top" indent="1"/>
    </xf>
    <xf numFmtId="186" fontId="60" fillId="52"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2" fillId="15" borderId="252" applyNumberFormat="0" applyProtection="0">
      <alignment horizontal="left" vertical="top"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4" fontId="56" fillId="15" borderId="253" applyNumberFormat="0" applyProtection="0">
      <alignment horizontal="right" vertical="center"/>
    </xf>
    <xf numFmtId="4" fontId="56" fillId="0" borderId="253" applyNumberFormat="0" applyProtection="0">
      <alignment horizontal="righ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193" fontId="28" fillId="50" borderId="259">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4" fontId="71" fillId="53" borderId="261" applyNumberFormat="0" applyProtection="0">
      <alignment vertical="center"/>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16" borderId="25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44" fillId="0" borderId="258" applyNumberFormat="0" applyFill="0" applyAlignment="0" applyProtection="0"/>
    <xf numFmtId="0" fontId="27" fillId="63" borderId="261" applyNumberFormat="0" applyProtection="0">
      <alignment horizontal="left" vertical="center" indent="1"/>
    </xf>
    <xf numFmtId="186" fontId="56" fillId="63" borderId="252" applyNumberFormat="0" applyProtection="0">
      <alignment horizontal="left" vertical="top" indent="1"/>
    </xf>
    <xf numFmtId="186" fontId="60" fillId="52" borderId="261" applyNumberFormat="0" applyProtection="0">
      <alignment horizontal="left" vertical="top" indent="1"/>
    </xf>
    <xf numFmtId="4" fontId="56" fillId="55" borderId="253" applyNumberFormat="0" applyProtection="0">
      <alignment horizontal="righ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0" borderId="263" applyNumberFormat="0" applyProtection="0">
      <alignment horizontal="right" vertical="center"/>
    </xf>
    <xf numFmtId="186" fontId="56" fillId="63" borderId="252" applyNumberFormat="0" applyProtection="0">
      <alignment horizontal="left" vertical="top" indent="1"/>
    </xf>
    <xf numFmtId="186" fontId="56" fillId="63" borderId="263" applyNumberFormat="0" applyProtection="0">
      <alignment horizontal="left" vertical="center" indent="1"/>
    </xf>
    <xf numFmtId="4" fontId="56" fillId="14" borderId="257" applyNumberFormat="0" applyProtection="0">
      <alignment horizontal="left" vertical="center"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93" fontId="28" fillId="50" borderId="259">
      <alignment vertical="center"/>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37" fontId="33" fillId="0" borderId="256" applyNumberFormat="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4" fontId="56" fillId="61" borderId="267" applyNumberFormat="0" applyProtection="0">
      <alignment horizontal="left" vertical="center" indent="1"/>
    </xf>
    <xf numFmtId="186" fontId="56" fillId="40" borderId="242" applyNumberFormat="0" applyFont="0" applyAlignment="0" applyProtection="0"/>
    <xf numFmtId="186" fontId="56" fillId="63" borderId="261"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0" fontId="37" fillId="48" borderId="252" applyNumberFormat="0" applyProtection="0">
      <alignment horizontal="left" vertical="top" indent="1"/>
    </xf>
    <xf numFmtId="186" fontId="27" fillId="21" borderId="244" applyNumberFormat="0" applyProtection="0">
      <alignment horizontal="left" vertical="center" indent="1"/>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7" fillId="44" borderId="254" applyNumberFormat="0" applyAlignment="0" applyProtection="0"/>
    <xf numFmtId="186" fontId="28" fillId="50" borderId="259">
      <alignment vertical="center"/>
    </xf>
    <xf numFmtId="186" fontId="56" fillId="40" borderId="253" applyNumberFormat="0" applyFont="0" applyAlignment="0" applyProtection="0"/>
    <xf numFmtId="186" fontId="56" fillId="14" borderId="261" applyNumberFormat="0" applyProtection="0">
      <alignment horizontal="left" vertical="top" indent="1"/>
    </xf>
    <xf numFmtId="186" fontId="27" fillId="21" borderId="252" applyNumberFormat="0" applyProtection="0">
      <alignment horizontal="left" vertical="top" indent="1"/>
    </xf>
    <xf numFmtId="186" fontId="56" fillId="15" borderId="244"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4" fontId="56" fillId="56" borderId="253" applyNumberFormat="0" applyProtection="0">
      <alignment horizontal="right" vertical="center"/>
    </xf>
    <xf numFmtId="186" fontId="56" fillId="40" borderId="253" applyNumberFormat="0" applyFont="0" applyAlignment="0" applyProtection="0"/>
    <xf numFmtId="186" fontId="27" fillId="15" borderId="252" applyNumberFormat="0" applyProtection="0">
      <alignment horizontal="left" vertical="top" indent="1"/>
    </xf>
    <xf numFmtId="4" fontId="59" fillId="65" borderId="253" applyNumberFormat="0" applyProtection="0">
      <alignment horizontal="right" vertical="center"/>
    </xf>
    <xf numFmtId="193" fontId="28" fillId="12" borderId="259">
      <alignment vertical="center"/>
      <protection locked="0"/>
    </xf>
    <xf numFmtId="4" fontId="56" fillId="56" borderId="253" applyNumberFormat="0" applyProtection="0">
      <alignment horizontal="righ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21" borderId="252" applyNumberFormat="0" applyProtection="0">
      <alignment horizontal="left" vertical="top" indent="1"/>
    </xf>
    <xf numFmtId="4" fontId="56" fillId="15" borderId="257" applyNumberFormat="0" applyProtection="0">
      <alignment horizontal="left" vertical="center" indent="1"/>
    </xf>
    <xf numFmtId="186" fontId="60" fillId="52" borderId="252" applyNumberFormat="0" applyProtection="0">
      <alignment horizontal="left" vertical="top" indent="1"/>
    </xf>
    <xf numFmtId="186" fontId="56" fillId="62" borderId="263" applyNumberFormat="0" applyProtection="0">
      <alignment horizontal="left" vertical="center" indent="1"/>
    </xf>
    <xf numFmtId="186" fontId="62" fillId="15" borderId="244" applyNumberFormat="0" applyProtection="0">
      <alignment horizontal="left" vertical="top" indent="1"/>
    </xf>
    <xf numFmtId="193" fontId="28" fillId="50" borderId="8">
      <alignment vertical="center"/>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7" fillId="44" borderId="254" applyNumberFormat="0" applyAlignment="0" applyProtection="0"/>
    <xf numFmtId="4" fontId="72" fillId="87" borderId="244" applyNumberFormat="0" applyProtection="0">
      <alignment vertical="center"/>
    </xf>
    <xf numFmtId="186" fontId="27"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72" fontId="28" fillId="12" borderId="249">
      <alignment vertical="center"/>
      <protection locked="0"/>
    </xf>
    <xf numFmtId="186" fontId="56" fillId="40" borderId="242" applyNumberFormat="0" applyFont="0" applyAlignment="0" applyProtection="0"/>
    <xf numFmtId="186" fontId="56" fillId="63" borderId="244" applyNumberFormat="0" applyProtection="0">
      <alignment horizontal="left" vertical="top" indent="1"/>
    </xf>
    <xf numFmtId="4" fontId="56" fillId="57" borderId="257" applyNumberFormat="0" applyProtection="0">
      <alignment horizontal="right" vertical="center"/>
    </xf>
    <xf numFmtId="194" fontId="33" fillId="0" borderId="231" applyFill="0"/>
    <xf numFmtId="4" fontId="56" fillId="58" borderId="253" applyNumberFormat="0" applyProtection="0">
      <alignment horizontal="right" vertical="center"/>
    </xf>
    <xf numFmtId="4" fontId="27" fillId="21" borderId="267" applyNumberFormat="0" applyProtection="0">
      <alignment horizontal="left" vertical="center" indent="1"/>
    </xf>
    <xf numFmtId="186" fontId="28" fillId="49" borderId="259">
      <alignment vertical="center"/>
    </xf>
    <xf numFmtId="0" fontId="37" fillId="15" borderId="261"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62" borderId="242" applyNumberFormat="0" applyProtection="0">
      <alignment horizontal="left" vertical="center" indent="1"/>
    </xf>
    <xf numFmtId="186" fontId="57" fillId="44" borderId="264" applyNumberFormat="0" applyAlignment="0" applyProtection="0"/>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91" fontId="28" fillId="50" borderId="259">
      <alignment vertical="center"/>
    </xf>
    <xf numFmtId="186" fontId="56" fillId="15" borderId="261" applyNumberFormat="0" applyProtection="0">
      <alignment horizontal="left" vertical="top" indent="1"/>
    </xf>
    <xf numFmtId="186" fontId="27" fillId="21" borderId="261"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4" fontId="72" fillId="81" borderId="252" applyNumberFormat="0" applyProtection="0">
      <alignment horizontal="right" vertical="center"/>
    </xf>
    <xf numFmtId="0" fontId="27" fillId="14" borderId="261"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52" borderId="242" applyNumberFormat="0" applyProtection="0">
      <alignmen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96" fontId="5" fillId="69" borderId="259">
      <alignment vertical="center"/>
    </xf>
    <xf numFmtId="193" fontId="28" fillId="50" borderId="259">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61" fillId="21" borderId="255" applyBorder="0"/>
    <xf numFmtId="4" fontId="59" fillId="53" borderId="253" applyNumberFormat="0" applyProtection="0">
      <alignment vertical="center"/>
    </xf>
    <xf numFmtId="186" fontId="56" fillId="40" borderId="263" applyNumberFormat="0" applyFont="0" applyAlignment="0" applyProtection="0"/>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91" fontId="28" fillId="50" borderId="259">
      <alignment vertical="center"/>
    </xf>
    <xf numFmtId="186" fontId="27" fillId="63" borderId="261" applyNumberFormat="0" applyProtection="0">
      <alignment horizontal="left" vertical="top" indent="1"/>
    </xf>
    <xf numFmtId="186" fontId="56" fillId="15" borderId="244" applyNumberFormat="0" applyProtection="0">
      <alignment horizontal="left" vertical="top" indent="1"/>
    </xf>
    <xf numFmtId="186" fontId="27" fillId="21" borderId="252"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37" fontId="33" fillId="0" borderId="266" applyNumberFormat="0"/>
    <xf numFmtId="4" fontId="56" fillId="57" borderId="267" applyNumberFormat="0" applyProtection="0">
      <alignment horizontal="right" vertical="center"/>
    </xf>
    <xf numFmtId="4" fontId="56" fillId="61" borderId="267" applyNumberFormat="0" applyProtection="0">
      <alignment horizontal="left" vertical="center" indent="1"/>
    </xf>
    <xf numFmtId="186" fontId="56" fillId="15" borderId="244" applyNumberFormat="0" applyProtection="0">
      <alignment horizontal="left" vertical="top" indent="1"/>
    </xf>
    <xf numFmtId="4" fontId="56" fillId="56" borderId="263" applyNumberFormat="0" applyProtection="0">
      <alignment horizontal="right" vertical="center"/>
    </xf>
    <xf numFmtId="186" fontId="27" fillId="15" borderId="261" applyNumberFormat="0" applyProtection="0">
      <alignment horizontal="left" vertical="top" indent="1"/>
    </xf>
    <xf numFmtId="186" fontId="56" fillId="14" borderId="263" applyNumberFormat="0" applyProtection="0">
      <alignment horizontal="left" vertical="center" indent="1"/>
    </xf>
    <xf numFmtId="194" fontId="33" fillId="0" borderId="231" applyFill="0"/>
    <xf numFmtId="0" fontId="27" fillId="21" borderId="244" applyNumberFormat="0" applyProtection="0">
      <alignment horizontal="left" vertical="center" indent="1"/>
    </xf>
    <xf numFmtId="4" fontId="59" fillId="53" borderId="253" applyNumberFormat="0" applyProtection="0">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56" fillId="21" borderId="244" applyNumberFormat="0" applyProtection="0">
      <alignment horizontal="left" vertical="top" indent="1"/>
    </xf>
    <xf numFmtId="190" fontId="5" fillId="13" borderId="249">
      <alignment vertical="center"/>
    </xf>
    <xf numFmtId="186" fontId="56" fillId="63" borderId="244" applyNumberFormat="0" applyProtection="0">
      <alignment horizontal="left" vertical="top" indent="1"/>
    </xf>
    <xf numFmtId="186" fontId="42" fillId="44" borderId="242" applyNumberFormat="0" applyAlignment="0" applyProtection="0"/>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186" fontId="56" fillId="21" borderId="244" applyNumberFormat="0" applyProtection="0">
      <alignment horizontal="left" vertical="top" indent="1"/>
    </xf>
    <xf numFmtId="4" fontId="56" fillId="23" borderId="253" applyNumberFormat="0" applyProtection="0">
      <alignment horizontal="right" vertical="center"/>
    </xf>
    <xf numFmtId="188" fontId="5" fillId="13" borderId="259">
      <alignment vertical="center"/>
    </xf>
    <xf numFmtId="186" fontId="56" fillId="14" borderId="261" applyNumberFormat="0" applyProtection="0">
      <alignment horizontal="left" vertical="top" indent="1"/>
    </xf>
    <xf numFmtId="4" fontId="27" fillId="21" borderId="245" applyNumberFormat="0" applyProtection="0">
      <alignment horizontal="left" vertical="center" indent="1"/>
    </xf>
    <xf numFmtId="186" fontId="62" fillId="48" borderId="244" applyNumberFormat="0" applyProtection="0">
      <alignment horizontal="left" vertical="top" indent="1"/>
    </xf>
    <xf numFmtId="4" fontId="56" fillId="52" borderId="253" applyNumberFormat="0" applyProtection="0">
      <alignment vertical="center"/>
    </xf>
    <xf numFmtId="186" fontId="56" fillId="40" borderId="242" applyNumberFormat="0" applyFont="0" applyAlignment="0" applyProtection="0"/>
    <xf numFmtId="4" fontId="56" fillId="59" borderId="242" applyNumberFormat="0" applyProtection="0">
      <alignment horizontal="right" vertical="center"/>
    </xf>
    <xf numFmtId="186" fontId="42" fillId="44" borderId="253" applyNumberFormat="0" applyAlignment="0" applyProtection="0"/>
    <xf numFmtId="186" fontId="56" fillId="40" borderId="253" applyNumberFormat="0" applyFont="0" applyAlignment="0" applyProtection="0"/>
    <xf numFmtId="4" fontId="56" fillId="16" borderId="242" applyNumberFormat="0" applyProtection="0">
      <alignment horizontal="right" vertical="center"/>
    </xf>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3" fontId="5" fillId="7" borderId="249">
      <alignment vertical="center"/>
      <protection locked="0"/>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center" indent="1"/>
    </xf>
    <xf numFmtId="186" fontId="50" fillId="41" borderId="242" applyNumberFormat="0" applyAlignment="0" applyProtection="0"/>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4" fontId="64" fillId="64" borderId="253" applyNumberFormat="0" applyProtection="0">
      <alignment horizontal="right" vertical="center"/>
    </xf>
    <xf numFmtId="4" fontId="56" fillId="16" borderId="253" applyNumberFormat="0" applyProtection="0">
      <alignment horizontal="right" vertical="center"/>
    </xf>
    <xf numFmtId="193" fontId="5" fillId="69" borderId="8">
      <alignment vertical="center"/>
    </xf>
    <xf numFmtId="0" fontId="27" fillId="63" borderId="252"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186" fontId="57" fillId="44" borderId="254" applyNumberFormat="0" applyAlignment="0" applyProtection="0"/>
    <xf numFmtId="186" fontId="62" fillId="48" borderId="261"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27" fillId="21" borderId="257" applyNumberFormat="0" applyProtection="0">
      <alignment horizontal="left" vertical="center" indent="1"/>
    </xf>
    <xf numFmtId="186" fontId="27" fillId="21" borderId="252" applyNumberFormat="0" applyProtection="0">
      <alignment horizontal="left" vertical="center" indent="1"/>
    </xf>
    <xf numFmtId="186" fontId="27" fillId="21" borderId="252" applyNumberFormat="0" applyProtection="0">
      <alignment horizontal="left" vertical="center" indent="1"/>
    </xf>
    <xf numFmtId="186" fontId="56" fillId="21" borderId="252" applyNumberFormat="0" applyProtection="0">
      <alignment horizontal="left" vertical="top" indent="1"/>
    </xf>
    <xf numFmtId="186" fontId="44" fillId="0" borderId="258" applyNumberFormat="0" applyFill="0" applyAlignment="0" applyProtection="0"/>
    <xf numFmtId="186" fontId="56" fillId="40" borderId="253" applyNumberFormat="0" applyFont="0" applyAlignment="0" applyProtection="0"/>
    <xf numFmtId="4" fontId="63" fillId="66" borderId="257" applyNumberFormat="0" applyProtection="0">
      <alignment horizontal="left" vertical="center" indent="1"/>
    </xf>
    <xf numFmtId="4" fontId="56" fillId="52" borderId="253" applyNumberFormat="0" applyProtection="0">
      <alignment vertical="center"/>
    </xf>
    <xf numFmtId="186" fontId="62" fillId="48" borderId="252" applyNumberFormat="0" applyProtection="0">
      <alignment horizontal="left" vertical="top" indent="1"/>
    </xf>
    <xf numFmtId="4" fontId="56" fillId="23" borderId="26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16" borderId="26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56" fillId="60" borderId="242" applyNumberFormat="0" applyProtection="0">
      <alignment horizontal="right" vertical="center"/>
    </xf>
    <xf numFmtId="4" fontId="72" fillId="82" borderId="261" applyNumberFormat="0" applyProtection="0">
      <alignment horizontal="right" vertical="center"/>
    </xf>
    <xf numFmtId="186" fontId="56" fillId="63"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40" borderId="253" applyNumberFormat="0" applyFont="0" applyAlignment="0" applyProtection="0"/>
    <xf numFmtId="4" fontId="56" fillId="14" borderId="267" applyNumberFormat="0" applyProtection="0">
      <alignment horizontal="left" vertical="center"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94" fontId="33" fillId="0" borderId="231" applyFill="0"/>
    <xf numFmtId="191" fontId="28" fillId="50" borderId="8">
      <alignment vertical="center"/>
    </xf>
    <xf numFmtId="190" fontId="28" fillId="51" borderId="249">
      <alignment horizontal="right" vertical="center"/>
      <protection locked="0"/>
    </xf>
    <xf numFmtId="186" fontId="56" fillId="63" borderId="252"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6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4" fontId="62" fillId="48" borderId="252" applyNumberFormat="0" applyProtection="0">
      <alignment vertical="center"/>
    </xf>
    <xf numFmtId="4" fontId="56" fillId="57" borderId="267" applyNumberFormat="0" applyProtection="0">
      <alignment horizontal="right" vertical="center"/>
    </xf>
    <xf numFmtId="186" fontId="27" fillId="21" borderId="252" applyNumberFormat="0" applyProtection="0">
      <alignment horizontal="left" vertical="top" indent="1"/>
    </xf>
    <xf numFmtId="186" fontId="56" fillId="14" borderId="263" applyNumberFormat="0" applyProtection="0">
      <alignment horizontal="left" vertical="center" indent="1"/>
    </xf>
    <xf numFmtId="37" fontId="33" fillId="0" borderId="266" applyNumberFormat="0"/>
    <xf numFmtId="186" fontId="56" fillId="14" borderId="244" applyNumberFormat="0" applyProtection="0">
      <alignment horizontal="left" vertical="top" indent="1"/>
    </xf>
    <xf numFmtId="186" fontId="56" fillId="14" borderId="252" applyNumberFormat="0" applyProtection="0">
      <alignment horizontal="left" vertical="top" indent="1"/>
    </xf>
    <xf numFmtId="4" fontId="62" fillId="48" borderId="252" applyNumberFormat="0" applyProtection="0">
      <alignment vertical="center"/>
    </xf>
    <xf numFmtId="4" fontId="59" fillId="65" borderId="263" applyNumberFormat="0" applyProtection="0">
      <alignment horizontal="right" vertical="center"/>
    </xf>
    <xf numFmtId="186" fontId="27" fillId="63" borderId="261" applyNumberFormat="0" applyProtection="0">
      <alignment horizontal="left" vertical="center" indent="1"/>
    </xf>
    <xf numFmtId="172" fontId="28" fillId="12" borderId="8">
      <alignment vertical="center"/>
      <protection locked="0"/>
    </xf>
    <xf numFmtId="4" fontId="56" fillId="59"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94" fontId="33" fillId="0" borderId="231" applyFill="0"/>
    <xf numFmtId="186" fontId="27" fillId="14" borderId="261" applyNumberFormat="0" applyProtection="0">
      <alignment horizontal="left" vertical="center" indent="1"/>
    </xf>
    <xf numFmtId="4" fontId="56" fillId="54" borderId="253"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3" fontId="28" fillId="50" borderId="259">
      <alignment vertical="center"/>
    </xf>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62" fillId="48" borderId="244" applyNumberFormat="0" applyProtection="0">
      <alignment horizontal="left" vertical="top" indent="1"/>
    </xf>
    <xf numFmtId="186" fontId="56" fillId="14" borderId="244" applyNumberFormat="0" applyProtection="0">
      <alignment horizontal="left" vertical="top" indent="1"/>
    </xf>
    <xf numFmtId="188" fontId="5" fillId="69" borderId="8">
      <alignment vertical="center"/>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42" fillId="44" borderId="242" applyNumberFormat="0" applyAlignment="0" applyProtection="0"/>
    <xf numFmtId="188" fontId="5" fillId="13" borderId="249">
      <alignmen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4" fontId="56" fillId="15" borderId="257" applyNumberFormat="0" applyProtection="0">
      <alignment horizontal="left" vertical="center" indent="1"/>
    </xf>
    <xf numFmtId="186" fontId="56" fillId="62" borderId="242" applyNumberFormat="0" applyProtection="0">
      <alignment horizontal="left" vertical="center" indent="1"/>
    </xf>
    <xf numFmtId="186" fontId="27" fillId="14" borderId="252" applyNumberFormat="0" applyProtection="0">
      <alignment horizontal="left" vertical="top" indent="1"/>
    </xf>
    <xf numFmtId="186" fontId="28" fillId="49" borderId="259">
      <alignment vertical="center"/>
    </xf>
    <xf numFmtId="194" fontId="33" fillId="0" borderId="260" applyFill="0"/>
    <xf numFmtId="191" fontId="28" fillId="50" borderId="8">
      <alignment vertical="center"/>
    </xf>
    <xf numFmtId="186" fontId="28" fillId="50" borderId="269">
      <alignmen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1" fillId="21" borderId="246" applyBorder="0"/>
    <xf numFmtId="188" fontId="28" fillId="49" borderId="249">
      <alignment vertical="center"/>
    </xf>
    <xf numFmtId="186" fontId="56" fillId="15" borderId="244" applyNumberFormat="0" applyProtection="0">
      <alignment horizontal="left" vertical="top" indent="1"/>
    </xf>
    <xf numFmtId="4" fontId="59" fillId="65" borderId="242" applyNumberFormat="0" applyProtection="0">
      <alignment horizontal="right" vertical="center"/>
    </xf>
    <xf numFmtId="186" fontId="56" fillId="40" borderId="263" applyNumberFormat="0" applyFont="0" applyAlignment="0" applyProtection="0"/>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8" borderId="253" applyNumberFormat="0" applyProtection="0">
      <alignment horizontal="right" vertical="center"/>
    </xf>
    <xf numFmtId="4" fontId="59" fillId="65" borderId="253" applyNumberFormat="0" applyProtection="0">
      <alignment horizontal="right" vertical="center"/>
    </xf>
    <xf numFmtId="190" fontId="5" fillId="13" borderId="8">
      <alignment vertical="center"/>
    </xf>
    <xf numFmtId="186" fontId="27" fillId="14" borderId="261" applyNumberFormat="0" applyProtection="0">
      <alignment horizontal="left" vertical="top" indent="1"/>
    </xf>
    <xf numFmtId="4" fontId="56" fillId="59" borderId="253" applyNumberFormat="0" applyProtection="0">
      <alignment horizontal="right" vertical="center"/>
    </xf>
    <xf numFmtId="194" fontId="33" fillId="0" borderId="231" applyFill="0"/>
    <xf numFmtId="186" fontId="56" fillId="21" borderId="252" applyNumberFormat="0" applyProtection="0">
      <alignment horizontal="left" vertical="top" indent="1"/>
    </xf>
    <xf numFmtId="4" fontId="56" fillId="15" borderId="257"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27" fillId="21" borderId="261" applyNumberFormat="0" applyProtection="0">
      <alignment horizontal="left" vertical="top" indent="1"/>
    </xf>
    <xf numFmtId="193" fontId="28" fillId="12" borderId="259">
      <alignment vertical="center"/>
      <protection locked="0"/>
    </xf>
    <xf numFmtId="193" fontId="28" fillId="12" borderId="269">
      <alignment vertical="center"/>
      <protection locked="0"/>
    </xf>
    <xf numFmtId="186" fontId="56" fillId="63" borderId="252" applyNumberFormat="0" applyProtection="0">
      <alignment horizontal="left" vertical="top" indent="1"/>
    </xf>
    <xf numFmtId="191" fontId="5" fillId="69" borderId="249">
      <alignment vertical="center"/>
    </xf>
    <xf numFmtId="4" fontId="59" fillId="65" borderId="263" applyNumberFormat="0" applyProtection="0">
      <alignment horizontal="right" vertical="center"/>
    </xf>
    <xf numFmtId="186" fontId="57" fillId="44" borderId="254" applyNumberFormat="0" applyAlignment="0" applyProtection="0"/>
    <xf numFmtId="186" fontId="28" fillId="50" borderId="259">
      <alignment vertical="center"/>
    </xf>
    <xf numFmtId="4" fontId="56" fillId="15" borderId="245" applyNumberFormat="0" applyProtection="0">
      <alignment horizontal="left" vertical="center" indent="1"/>
    </xf>
    <xf numFmtId="186" fontId="61" fillId="21" borderId="246" applyBorder="0"/>
    <xf numFmtId="194" fontId="33" fillId="0" borderId="231" applyFill="0"/>
    <xf numFmtId="186" fontId="28" fillId="12" borderId="249">
      <alignment vertical="center"/>
      <protection locked="0"/>
    </xf>
    <xf numFmtId="186" fontId="56" fillId="40" borderId="253" applyNumberFormat="0" applyFont="0" applyAlignment="0" applyProtection="0"/>
    <xf numFmtId="186" fontId="56" fillId="14" borderId="253" applyNumberFormat="0" applyProtection="0">
      <alignment horizontal="left" vertical="center" indent="1"/>
    </xf>
    <xf numFmtId="172" fontId="5" fillId="7"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8" fontId="5" fillId="69" borderId="249">
      <alignment vertical="center"/>
    </xf>
    <xf numFmtId="186" fontId="27" fillId="63" borderId="252" applyNumberFormat="0" applyProtection="0">
      <alignment horizontal="left" vertical="top" indent="1"/>
    </xf>
    <xf numFmtId="194" fontId="33" fillId="0" borderId="260" applyFill="0"/>
    <xf numFmtId="4" fontId="63" fillId="66" borderId="267" applyNumberFormat="0" applyProtection="0">
      <alignment horizontal="left" vertical="center" indent="1"/>
    </xf>
    <xf numFmtId="4" fontId="56" fillId="16" borderId="263" applyNumberFormat="0" applyProtection="0">
      <alignment horizontal="right" vertical="center"/>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23" borderId="253" applyNumberFormat="0" applyProtection="0">
      <alignment horizontal="righ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7" fillId="44" borderId="254" applyNumberFormat="0" applyAlignment="0" applyProtection="0"/>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8" fontId="5" fillId="70" borderId="249">
      <alignment horizontal="right" vertical="center"/>
      <protection locked="0"/>
    </xf>
    <xf numFmtId="188" fontId="5" fillId="69" borderId="249">
      <alignment vertical="center"/>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11" borderId="242" applyNumberFormat="0" applyProtection="0">
      <alignment horizontal="left" vertical="center" indent="1"/>
    </xf>
    <xf numFmtId="186" fontId="56" fillId="63" borderId="244" applyNumberFormat="0" applyProtection="0">
      <alignment horizontal="left" vertical="top" indent="1"/>
    </xf>
    <xf numFmtId="186" fontId="42" fillId="44" borderId="242" applyNumberForma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62" fillId="15" borderId="261" applyNumberFormat="0" applyProtection="0">
      <alignment horizontal="left" vertical="top" indent="1"/>
    </xf>
    <xf numFmtId="4" fontId="56" fillId="61" borderId="267" applyNumberFormat="0" applyProtection="0">
      <alignment horizontal="left" vertical="center" indent="1"/>
    </xf>
    <xf numFmtId="186" fontId="28" fillId="49" borderId="269">
      <alignment vertical="center"/>
    </xf>
    <xf numFmtId="4" fontId="56" fillId="15" borderId="253" applyNumberFormat="0" applyProtection="0">
      <alignment horizontal="right" vertical="center"/>
    </xf>
    <xf numFmtId="4" fontId="56" fillId="60" borderId="253" applyNumberFormat="0" applyProtection="0">
      <alignment horizontal="right" vertical="center"/>
    </xf>
    <xf numFmtId="186" fontId="56" fillId="14" borderId="252" applyNumberFormat="0" applyProtection="0">
      <alignment horizontal="left" vertical="top" indent="1"/>
    </xf>
    <xf numFmtId="194" fontId="33" fillId="0" borderId="250" applyFill="0"/>
    <xf numFmtId="193" fontId="5" fillId="69" borderId="24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91" fontId="28" fillId="51" borderId="8">
      <alignment horizontal="right" vertical="center"/>
      <protection locked="0"/>
    </xf>
    <xf numFmtId="4" fontId="56" fillId="55" borderId="263" applyNumberFormat="0" applyProtection="0">
      <alignment horizontal="right" vertical="center"/>
    </xf>
    <xf numFmtId="186" fontId="56" fillId="40" borderId="253" applyNumberFormat="0" applyFont="0" applyAlignment="0" applyProtection="0"/>
    <xf numFmtId="186" fontId="56" fillId="40" borderId="253" applyNumberFormat="0" applyFont="0" applyAlignment="0" applyProtection="0"/>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11" borderId="242" applyNumberFormat="0" applyProtection="0">
      <alignment horizontal="left" vertical="center" indent="1"/>
    </xf>
    <xf numFmtId="191" fontId="28" fillId="51" borderId="269">
      <alignment horizontal="right" vertical="center"/>
      <protection locked="0"/>
    </xf>
    <xf numFmtId="0" fontId="27" fillId="21" borderId="252" applyNumberFormat="0" applyProtection="0">
      <alignment horizontal="left" vertical="top" indent="1"/>
    </xf>
    <xf numFmtId="4" fontId="56" fillId="58" borderId="253" applyNumberFormat="0" applyProtection="0">
      <alignment horizontal="right" vertical="center"/>
    </xf>
    <xf numFmtId="4" fontId="62" fillId="11" borderId="261" applyNumberFormat="0" applyProtection="0">
      <alignment horizontal="left" vertical="center" indent="1"/>
    </xf>
    <xf numFmtId="191" fontId="28" fillId="49" borderId="249">
      <alignment vertical="center"/>
    </xf>
    <xf numFmtId="186" fontId="27" fillId="63" borderId="244"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186" fontId="50" fillId="41" borderId="242" applyNumberFormat="0" applyAlignment="0" applyProtection="0"/>
    <xf numFmtId="194" fontId="33" fillId="0" borderId="260" applyFill="0"/>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60" fillId="52" borderId="252" applyNumberFormat="0" applyProtection="0">
      <alignment horizontal="left" vertical="top" indent="1"/>
    </xf>
    <xf numFmtId="186" fontId="56" fillId="40" borderId="253" applyNumberFormat="0" applyFont="0" applyAlignment="0" applyProtection="0"/>
    <xf numFmtId="193" fontId="28" fillId="12" borderId="259">
      <alignment vertical="center"/>
      <protection locked="0"/>
    </xf>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4" fontId="56" fillId="15" borderId="253" applyNumberFormat="0" applyProtection="0">
      <alignment horizontal="right" vertical="center"/>
    </xf>
    <xf numFmtId="4" fontId="56" fillId="16" borderId="253" applyNumberFormat="0" applyProtection="0">
      <alignment horizontal="right" vertical="center"/>
    </xf>
    <xf numFmtId="186" fontId="56" fillId="15" borderId="244" applyNumberFormat="0" applyProtection="0">
      <alignment horizontal="left" vertical="top" indent="1"/>
    </xf>
    <xf numFmtId="186" fontId="28" fillId="50" borderId="8">
      <alignment vertical="center"/>
    </xf>
    <xf numFmtId="4" fontId="56" fillId="23" borderId="253" applyNumberFormat="0" applyProtection="0">
      <alignment horizontal="right" vertical="center"/>
    </xf>
    <xf numFmtId="186" fontId="56" fillId="40" borderId="253" applyNumberFormat="0" applyFont="0" applyAlignment="0" applyProtection="0"/>
    <xf numFmtId="191" fontId="5" fillId="69" borderId="249">
      <alignment vertical="center"/>
    </xf>
    <xf numFmtId="186" fontId="56" fillId="40" borderId="253" applyNumberFormat="0" applyFont="0" applyAlignment="0" applyProtection="0"/>
    <xf numFmtId="188" fontId="5" fillId="69" borderId="259">
      <alignment vertical="center"/>
    </xf>
    <xf numFmtId="4" fontId="56" fillId="16" borderId="242"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186" fontId="57" fillId="44" borderId="243" applyNumberFormat="0" applyAlignment="0" applyProtection="0"/>
    <xf numFmtId="186" fontId="27" fillId="15" borderId="252" applyNumberFormat="0" applyProtection="0">
      <alignment horizontal="left" vertical="top" indent="1"/>
    </xf>
    <xf numFmtId="191" fontId="5" fillId="70" borderId="249">
      <alignment horizontal="right" vertical="center"/>
      <protection locked="0"/>
    </xf>
    <xf numFmtId="186" fontId="50" fillId="41" borderId="242" applyNumberFormat="0" applyAlignment="0" applyProtection="0"/>
    <xf numFmtId="186" fontId="56" fillId="63" borderId="261" applyNumberFormat="0" applyProtection="0">
      <alignment horizontal="left" vertical="top" indent="1"/>
    </xf>
    <xf numFmtId="190" fontId="28" fillId="49" borderId="259">
      <alignment vertical="center"/>
    </xf>
    <xf numFmtId="186" fontId="56" fillId="15" borderId="244" applyNumberFormat="0" applyProtection="0">
      <alignment horizontal="left" vertical="top" indent="1"/>
    </xf>
    <xf numFmtId="186" fontId="60" fillId="52" borderId="244" applyNumberFormat="0" applyProtection="0">
      <alignment horizontal="left" vertical="top" indent="1"/>
    </xf>
    <xf numFmtId="186" fontId="57" fillId="44" borderId="243" applyNumberFormat="0" applyAlignment="0" applyProtection="0"/>
    <xf numFmtId="4" fontId="64" fillId="64"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1" borderId="255" applyBorder="0"/>
    <xf numFmtId="186" fontId="56" fillId="11" borderId="263" applyNumberFormat="0" applyProtection="0">
      <alignment horizontal="left" vertical="center" indent="1"/>
    </xf>
    <xf numFmtId="186" fontId="56" fillId="21" borderId="252" applyNumberFormat="0" applyProtection="0">
      <alignment horizontal="left" vertical="top" indent="1"/>
    </xf>
    <xf numFmtId="0" fontId="5" fillId="13" borderId="8">
      <alignment vertical="center"/>
    </xf>
    <xf numFmtId="4" fontId="63" fillId="66" borderId="257" applyNumberFormat="0" applyProtection="0">
      <alignment horizontal="left" vertical="center" indent="1"/>
    </xf>
    <xf numFmtId="0" fontId="5" fillId="13" borderId="8">
      <alignment vertical="center"/>
    </xf>
    <xf numFmtId="186" fontId="56" fillId="15" borderId="244" applyNumberFormat="0" applyProtection="0">
      <alignment horizontal="left" vertical="top" indent="1"/>
    </xf>
    <xf numFmtId="4" fontId="56" fillId="15" borderId="242" applyNumberFormat="0" applyProtection="0">
      <alignment horizontal="right" vertical="center"/>
    </xf>
    <xf numFmtId="186" fontId="56" fillId="21" borderId="261" applyNumberFormat="0" applyProtection="0">
      <alignment horizontal="left" vertical="top" indent="1"/>
    </xf>
    <xf numFmtId="4" fontId="56" fillId="16" borderId="253" applyNumberFormat="0" applyProtection="0">
      <alignment horizontal="right" vertical="center"/>
    </xf>
    <xf numFmtId="186" fontId="56" fillId="14" borderId="244" applyNumberFormat="0" applyProtection="0">
      <alignment horizontal="left" vertical="top" indent="1"/>
    </xf>
    <xf numFmtId="4" fontId="63" fillId="66" borderId="267" applyNumberFormat="0" applyProtection="0">
      <alignment horizontal="left" vertical="center" indent="1"/>
    </xf>
    <xf numFmtId="4" fontId="56" fillId="60" borderId="242" applyNumberFormat="0" applyProtection="0">
      <alignment horizontal="right" vertical="center"/>
    </xf>
    <xf numFmtId="4" fontId="56" fillId="59" borderId="242" applyNumberFormat="0" applyProtection="0">
      <alignment horizontal="right" vertical="center"/>
    </xf>
    <xf numFmtId="186" fontId="56" fillId="63" borderId="252" applyNumberFormat="0" applyProtection="0">
      <alignment horizontal="left" vertical="top" indent="1"/>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7" borderId="267" applyNumberFormat="0" applyProtection="0">
      <alignment horizontal="right" vertical="center"/>
    </xf>
    <xf numFmtId="4" fontId="56" fillId="15"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4" fontId="56" fillId="57" borderId="257" applyNumberFormat="0" applyProtection="0">
      <alignment horizontal="right" vertical="center"/>
    </xf>
    <xf numFmtId="186" fontId="50" fillId="41" borderId="253" applyNumberFormat="0" applyAlignment="0" applyProtection="0"/>
    <xf numFmtId="186" fontId="28" fillId="12" borderId="249">
      <alignment vertical="center"/>
      <protection locked="0"/>
    </xf>
    <xf numFmtId="186" fontId="56" fillId="40" borderId="253" applyNumberFormat="0" applyFont="0" applyAlignment="0" applyProtection="0"/>
    <xf numFmtId="186" fontId="56" fillId="14" borderId="244" applyNumberFormat="0" applyProtection="0">
      <alignment horizontal="left" vertical="top" indent="1"/>
    </xf>
    <xf numFmtId="193" fontId="5" fillId="69" borderId="249">
      <alignment vertical="center"/>
    </xf>
    <xf numFmtId="4" fontId="56" fillId="15" borderId="245" applyNumberFormat="0" applyProtection="0">
      <alignment horizontal="left" vertical="center" indent="1"/>
    </xf>
    <xf numFmtId="4" fontId="56" fillId="52" borderId="263" applyNumberFormat="0" applyProtection="0">
      <alignment vertical="center"/>
    </xf>
    <xf numFmtId="186" fontId="28" fillId="12" borderId="8">
      <alignment vertical="center"/>
      <protection locked="0"/>
    </xf>
    <xf numFmtId="172" fontId="28" fillId="12" borderId="249">
      <alignment vertical="center"/>
      <protection locked="0"/>
    </xf>
    <xf numFmtId="191" fontId="5" fillId="13" borderId="249">
      <alignment vertical="center"/>
    </xf>
    <xf numFmtId="4" fontId="62" fillId="48" borderId="244" applyNumberFormat="0" applyProtection="0">
      <alignment vertical="center"/>
    </xf>
    <xf numFmtId="186" fontId="56" fillId="21" borderId="252" applyNumberFormat="0" applyProtection="0">
      <alignment horizontal="left" vertical="top" indent="1"/>
    </xf>
    <xf numFmtId="193" fontId="28" fillId="12" borderId="8">
      <alignment vertical="center"/>
      <protection locked="0"/>
    </xf>
    <xf numFmtId="4" fontId="56" fillId="16" borderId="242" applyNumberFormat="0" applyProtection="0">
      <alignment horizontal="right" vertical="center"/>
    </xf>
    <xf numFmtId="194" fontId="33" fillId="0" borderId="231" applyFill="0"/>
    <xf numFmtId="4" fontId="56" fillId="59" borderId="253" applyNumberFormat="0" applyProtection="0">
      <alignment horizontal="right" vertical="center"/>
    </xf>
    <xf numFmtId="4" fontId="62" fillId="48" borderId="252"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center" indent="1"/>
    </xf>
    <xf numFmtId="4" fontId="63" fillId="66" borderId="267" applyNumberFormat="0" applyProtection="0">
      <alignment horizontal="left" vertical="center" indent="1"/>
    </xf>
    <xf numFmtId="186" fontId="44" fillId="0" borderId="268" applyNumberFormat="0" applyFill="0" applyAlignment="0" applyProtection="0"/>
    <xf numFmtId="186" fontId="27" fillId="21" borderId="261" applyNumberFormat="0" applyProtection="0">
      <alignment horizontal="left" vertical="top" indent="1"/>
    </xf>
    <xf numFmtId="186" fontId="56" fillId="62" borderId="253" applyNumberFormat="0" applyProtection="0">
      <alignment horizontal="left" vertical="center" indent="1"/>
    </xf>
    <xf numFmtId="188" fontId="28" fillId="49" borderId="259">
      <alignment vertical="center"/>
    </xf>
    <xf numFmtId="191" fontId="28" fillId="50" borderId="259">
      <alignment vertical="center"/>
    </xf>
    <xf numFmtId="186" fontId="56" fillId="21" borderId="244"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93" fontId="28" fillId="50" borderId="259">
      <alignment vertical="center"/>
    </xf>
    <xf numFmtId="186" fontId="44" fillId="0" borderId="258" applyNumberFormat="0" applyFill="0" applyAlignment="0" applyProtection="0"/>
    <xf numFmtId="4" fontId="56" fillId="57" borderId="257" applyNumberFormat="0" applyProtection="0">
      <alignment horizontal="righ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27" fillId="14" borderId="244"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7" fillId="44" borderId="243" applyNumberFormat="0" applyAlignment="0" applyProtection="0"/>
    <xf numFmtId="186" fontId="50" fillId="41"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2" fillId="48" borderId="261" applyNumberFormat="0" applyProtection="0">
      <alignment horizontal="left" vertical="top" indent="1"/>
    </xf>
    <xf numFmtId="186" fontId="56" fillId="14"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4" fontId="56" fillId="15" borderId="253" applyNumberFormat="0" applyProtection="0">
      <alignment horizontal="right" vertical="center"/>
    </xf>
    <xf numFmtId="186" fontId="27" fillId="14" borderId="252" applyNumberFormat="0" applyProtection="0">
      <alignment horizontal="left" vertical="top" indent="1"/>
    </xf>
    <xf numFmtId="186" fontId="56" fillId="63" borderId="253"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56" fillId="63" borderId="244" applyNumberFormat="0" applyProtection="0">
      <alignment horizontal="left" vertical="top" indent="1"/>
    </xf>
    <xf numFmtId="4" fontId="56" fillId="54" borderId="242" applyNumberFormat="0" applyProtection="0">
      <alignment horizontal="left" vertical="center" indent="1"/>
    </xf>
    <xf numFmtId="186" fontId="42" fillId="44" borderId="242" applyNumberFormat="0" applyAlignment="0" applyProtection="0"/>
    <xf numFmtId="186" fontId="57" fillId="44" borderId="243" applyNumberFormat="0" applyAlignment="0" applyProtection="0"/>
    <xf numFmtId="4" fontId="74" fillId="87" borderId="252" applyNumberFormat="0" applyProtection="0">
      <alignment horizontal="right" vertical="center"/>
    </xf>
    <xf numFmtId="186" fontId="56" fillId="67" borderId="259"/>
    <xf numFmtId="186" fontId="56" fillId="40" borderId="253" applyNumberFormat="0" applyFont="0" applyAlignment="0" applyProtection="0"/>
    <xf numFmtId="186" fontId="61" fillId="21" borderId="255" applyBorder="0"/>
    <xf numFmtId="4" fontId="62" fillId="11" borderId="252" applyNumberFormat="0" applyProtection="0">
      <alignment horizontal="left" vertical="center" indent="1"/>
    </xf>
    <xf numFmtId="186" fontId="56" fillId="14"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4" fontId="56" fillId="54" borderId="253" applyNumberFormat="0" applyProtection="0">
      <alignment horizontal="left" vertical="center" indent="1"/>
    </xf>
    <xf numFmtId="186" fontId="27"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6" fillId="21" borderId="252" applyNumberFormat="0" applyProtection="0">
      <alignment horizontal="left" vertical="top" indent="1"/>
    </xf>
    <xf numFmtId="186" fontId="56" fillId="63" borderId="263" applyNumberFormat="0" applyProtection="0">
      <alignment horizontal="left" vertical="center" indent="1"/>
    </xf>
    <xf numFmtId="4" fontId="56" fillId="54" borderId="253" applyNumberFormat="0" applyProtection="0">
      <alignment horizontal="left" vertical="center" indent="1"/>
    </xf>
    <xf numFmtId="196" fontId="5" fillId="70" borderId="249">
      <alignment horizontal="right" vertical="center"/>
      <protection locked="0"/>
    </xf>
    <xf numFmtId="186" fontId="57" fillId="44" borderId="254" applyNumberFormat="0" applyAlignment="0" applyProtection="0"/>
    <xf numFmtId="186" fontId="56" fillId="63" borderId="244" applyNumberFormat="0" applyProtection="0">
      <alignment horizontal="left" vertical="top" indent="1"/>
    </xf>
    <xf numFmtId="4" fontId="62" fillId="11" borderId="252" applyNumberFormat="0" applyProtection="0">
      <alignment horizontal="left" vertical="center" indent="1"/>
    </xf>
    <xf numFmtId="186" fontId="60" fillId="52" borderId="244" applyNumberFormat="0" applyProtection="0">
      <alignment horizontal="left" vertical="top" indent="1"/>
    </xf>
    <xf numFmtId="186" fontId="56" fillId="15" borderId="261" applyNumberFormat="0" applyProtection="0">
      <alignment horizontal="left" vertical="top" indent="1"/>
    </xf>
    <xf numFmtId="191" fontId="5" fillId="13" borderId="249">
      <alignment vertical="center"/>
    </xf>
    <xf numFmtId="186" fontId="62" fillId="48" borderId="252" applyNumberFormat="0" applyProtection="0">
      <alignment horizontal="left" vertical="top" indent="1"/>
    </xf>
    <xf numFmtId="4" fontId="56" fillId="23" borderId="242" applyNumberFormat="0" applyProtection="0">
      <alignment horizontal="right" vertical="center"/>
    </xf>
    <xf numFmtId="0" fontId="5" fillId="7" borderId="249">
      <alignment vertical="center"/>
      <protection locked="0"/>
    </xf>
    <xf numFmtId="4" fontId="56" fillId="54" borderId="253" applyNumberFormat="0" applyProtection="0">
      <alignment horizontal="left" vertical="center" indent="1"/>
    </xf>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56" fillId="14" borderId="245"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4" fontId="56" fillId="58" borderId="263" applyNumberFormat="0" applyProtection="0">
      <alignment horizontal="right" vertical="center"/>
    </xf>
    <xf numFmtId="186" fontId="56" fillId="63" borderId="252" applyNumberFormat="0" applyProtection="0">
      <alignment horizontal="left" vertical="top" indent="1"/>
    </xf>
    <xf numFmtId="186" fontId="50" fillId="41" borderId="263" applyNumberFormat="0" applyAlignment="0" applyProtection="0"/>
    <xf numFmtId="4" fontId="56" fillId="14" borderId="257" applyNumberFormat="0" applyProtection="0">
      <alignment horizontal="left" vertical="center" indent="1"/>
    </xf>
    <xf numFmtId="4" fontId="56" fillId="19" borderId="25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15" borderId="242" applyNumberFormat="0" applyProtection="0">
      <alignment horizontal="right" vertical="center"/>
    </xf>
    <xf numFmtId="191" fontId="28" fillId="50" borderId="249">
      <alignment vertical="center"/>
    </xf>
    <xf numFmtId="186" fontId="56" fillId="15" borderId="252" applyNumberFormat="0" applyProtection="0">
      <alignment horizontal="left" vertical="top" indent="1"/>
    </xf>
    <xf numFmtId="4" fontId="63" fillId="66" borderId="267" applyNumberFormat="0" applyProtection="0">
      <alignment horizontal="left" vertical="center" indent="1"/>
    </xf>
    <xf numFmtId="186" fontId="42" fillId="44" borderId="242" applyNumberFormat="0" applyAlignment="0" applyProtection="0"/>
    <xf numFmtId="186" fontId="56" fillId="14" borderId="252" applyNumberFormat="0" applyProtection="0">
      <alignment horizontal="left" vertical="top" indent="1"/>
    </xf>
    <xf numFmtId="186" fontId="62" fillId="15" borderId="252" applyNumberFormat="0" applyProtection="0">
      <alignment horizontal="left" vertical="top" indent="1"/>
    </xf>
    <xf numFmtId="186" fontId="28" fillId="49" borderId="8">
      <alignment vertical="center"/>
    </xf>
    <xf numFmtId="4" fontId="56" fillId="19" borderId="242" applyNumberFormat="0" applyProtection="0">
      <alignment horizontal="right" vertical="center"/>
    </xf>
    <xf numFmtId="186" fontId="56" fillId="40" borderId="263" applyNumberFormat="0" applyFont="0" applyAlignment="0" applyProtection="0"/>
    <xf numFmtId="186" fontId="56" fillId="14" borderId="244"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1" applyNumberFormat="0" applyProtection="0">
      <alignment horizontal="left" vertical="top" indent="1"/>
    </xf>
    <xf numFmtId="4" fontId="64" fillId="64" borderId="253" applyNumberFormat="0" applyProtection="0">
      <alignment horizontal="right" vertical="center"/>
    </xf>
    <xf numFmtId="186" fontId="56" fillId="63" borderId="244" applyNumberFormat="0" applyProtection="0">
      <alignment horizontal="left" vertical="top" indent="1"/>
    </xf>
    <xf numFmtId="191" fontId="28" fillId="50" borderId="249">
      <alignment vertical="center"/>
    </xf>
    <xf numFmtId="186" fontId="56" fillId="63" borderId="261" applyNumberFormat="0" applyProtection="0">
      <alignment horizontal="left" vertical="top" indent="1"/>
    </xf>
    <xf numFmtId="4" fontId="72" fillId="49" borderId="261"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0" fillId="41" borderId="242" applyNumberFormat="0" applyAlignment="0" applyProtection="0"/>
    <xf numFmtId="4" fontId="56" fillId="0" borderId="242" applyNumberFormat="0" applyProtection="0">
      <alignment horizontal="right" vertical="center"/>
    </xf>
    <xf numFmtId="4" fontId="27" fillId="21" borderId="257"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4" fontId="56" fillId="15" borderId="257" applyNumberFormat="0" applyProtection="0">
      <alignment horizontal="left" vertical="center" indent="1"/>
    </xf>
    <xf numFmtId="186" fontId="56" fillId="40" borderId="25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186" fontId="56" fillId="40" borderId="263" applyNumberFormat="0" applyFont="0" applyAlignment="0" applyProtection="0"/>
    <xf numFmtId="196" fontId="5" fillId="70" borderId="8">
      <alignment horizontal="right" vertical="center"/>
      <protection locked="0"/>
    </xf>
    <xf numFmtId="4" fontId="56" fillId="54" borderId="253" applyNumberFormat="0" applyProtection="0">
      <alignment horizontal="left" vertical="center" indent="1"/>
    </xf>
    <xf numFmtId="186" fontId="56" fillId="40" borderId="253" applyNumberFormat="0" applyFont="0" applyAlignment="0" applyProtection="0"/>
    <xf numFmtId="186" fontId="56" fillId="40" borderId="263" applyNumberFormat="0" applyFont="0" applyAlignment="0" applyProtection="0"/>
    <xf numFmtId="194" fontId="33" fillId="0" borderId="231" applyFill="0"/>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28" fillId="49" borderId="259">
      <alignment vertical="center"/>
    </xf>
    <xf numFmtId="186" fontId="56" fillId="21" borderId="244"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14" borderId="261" applyNumberFormat="0" applyProtection="0">
      <alignment horizontal="left" vertical="top" indent="1"/>
    </xf>
    <xf numFmtId="186" fontId="28" fillId="51" borderId="259">
      <alignment horizontal="right" vertical="center"/>
      <protection locked="0"/>
    </xf>
    <xf numFmtId="191" fontId="28" fillId="49" borderId="8">
      <alignment vertical="center"/>
    </xf>
    <xf numFmtId="186" fontId="56" fillId="63" borderId="244" applyNumberFormat="0" applyProtection="0">
      <alignment horizontal="left" vertical="top" indent="1"/>
    </xf>
    <xf numFmtId="4" fontId="56" fillId="55" borderId="24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61" fillId="21" borderId="255" applyBorder="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91" fontId="5" fillId="69" borderId="8">
      <alignment vertical="center"/>
    </xf>
    <xf numFmtId="186" fontId="61" fillId="21" borderId="255" applyBorder="0"/>
    <xf numFmtId="186" fontId="56" fillId="63" borderId="244" applyNumberFormat="0" applyProtection="0">
      <alignment horizontal="left" vertical="top" indent="1"/>
    </xf>
    <xf numFmtId="186" fontId="50" fillId="41" borderId="253" applyNumberFormat="0" applyAlignment="0" applyProtection="0"/>
    <xf numFmtId="4" fontId="72" fillId="83" borderId="252" applyNumberFormat="0" applyProtection="0">
      <alignment horizontal="right" vertical="center"/>
    </xf>
    <xf numFmtId="186" fontId="56" fillId="21" borderId="252" applyNumberFormat="0" applyProtection="0">
      <alignment horizontal="left" vertical="top" indent="1"/>
    </xf>
    <xf numFmtId="4" fontId="59" fillId="65" borderId="242" applyNumberFormat="0" applyProtection="0">
      <alignment horizontal="right" vertical="center"/>
    </xf>
    <xf numFmtId="186" fontId="57" fillId="44" borderId="243" applyNumberFormat="0" applyAlignment="0" applyProtection="0"/>
    <xf numFmtId="186" fontId="60" fillId="52" borderId="261" applyNumberFormat="0" applyProtection="0">
      <alignment horizontal="left" vertical="top" indent="1"/>
    </xf>
    <xf numFmtId="191" fontId="28" fillId="12" borderId="259">
      <alignment vertical="center"/>
      <protection locked="0"/>
    </xf>
    <xf numFmtId="186" fontId="56" fillId="40" borderId="263" applyNumberFormat="0" applyFont="0" applyAlignment="0" applyProtection="0"/>
    <xf numFmtId="4" fontId="56" fillId="59" borderId="263" applyNumberFormat="0" applyProtection="0">
      <alignment horizontal="right" vertical="center"/>
    </xf>
    <xf numFmtId="186" fontId="56" fillId="14" borderId="252" applyNumberFormat="0" applyProtection="0">
      <alignment horizontal="left" vertical="top" indent="1"/>
    </xf>
    <xf numFmtId="4" fontId="59" fillId="65" borderId="263" applyNumberFormat="0" applyProtection="0">
      <alignment horizontal="right" vertical="center"/>
    </xf>
    <xf numFmtId="186" fontId="56" fillId="63" borderId="242" applyNumberFormat="0" applyProtection="0">
      <alignment horizontal="left" vertical="center" indent="1"/>
    </xf>
    <xf numFmtId="4" fontId="56" fillId="54" borderId="263" applyNumberFormat="0" applyProtection="0">
      <alignment horizontal="left" vertical="center" indent="1"/>
    </xf>
    <xf numFmtId="186" fontId="56" fillId="62" borderId="263" applyNumberFormat="0" applyProtection="0">
      <alignment horizontal="left" vertical="center" indent="1"/>
    </xf>
    <xf numFmtId="4" fontId="56" fillId="52" borderId="263" applyNumberFormat="0" applyProtection="0">
      <alignment vertical="center"/>
    </xf>
    <xf numFmtId="4" fontId="62" fillId="11"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90" fontId="28" fillId="49" borderId="259">
      <alignment vertical="center"/>
    </xf>
    <xf numFmtId="186" fontId="56" fillId="15" borderId="261" applyNumberFormat="0" applyProtection="0">
      <alignment horizontal="left" vertical="top" indent="1"/>
    </xf>
    <xf numFmtId="186" fontId="56" fillId="14" borderId="252" applyNumberFormat="0" applyProtection="0">
      <alignment horizontal="left" vertical="top" indent="1"/>
    </xf>
    <xf numFmtId="4" fontId="56" fillId="59"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15" borderId="267"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62" borderId="263"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57" fillId="44" borderId="264" applyNumberFormat="0" applyAlignment="0" applyProtection="0"/>
    <xf numFmtId="186" fontId="62" fillId="15" borderId="261" applyNumberFormat="0" applyProtection="0">
      <alignment horizontal="left" vertical="top" indent="1"/>
    </xf>
    <xf numFmtId="186" fontId="56" fillId="40" borderId="263" applyNumberFormat="0" applyFont="0" applyAlignment="0" applyProtection="0"/>
    <xf numFmtId="4" fontId="56" fillId="16" borderId="263" applyNumberFormat="0" applyProtection="0">
      <alignment horizontal="right" vertical="center"/>
    </xf>
    <xf numFmtId="4" fontId="56" fillId="55" borderId="263" applyNumberFormat="0" applyProtection="0">
      <alignment horizontal="right" vertical="center"/>
    </xf>
    <xf numFmtId="186" fontId="27" fillId="63" borderId="252" applyNumberFormat="0" applyProtection="0">
      <alignment horizontal="left" vertical="center" indent="1"/>
    </xf>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91" fontId="5" fillId="13" borderId="8">
      <alignment vertical="center"/>
    </xf>
    <xf numFmtId="186" fontId="61" fillId="21" borderId="265" applyBorder="0"/>
    <xf numFmtId="4" fontId="56" fillId="55" borderId="263" applyNumberFormat="0" applyProtection="0">
      <alignment horizontal="right" vertical="center"/>
    </xf>
    <xf numFmtId="186" fontId="56" fillId="15" borderId="261" applyNumberFormat="0" applyProtection="0">
      <alignment horizontal="left" vertical="top" indent="1"/>
    </xf>
    <xf numFmtId="186" fontId="57" fillId="44" borderId="264" applyNumberForma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4" fontId="56" fillId="15" borderId="263" applyNumberFormat="0" applyProtection="0">
      <alignment horizontal="right" vertical="center"/>
    </xf>
    <xf numFmtId="186" fontId="42" fillId="44" borderId="263" applyNumberForma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3" fillId="66" borderId="25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4" borderId="263" applyNumberFormat="0" applyProtection="0">
      <alignment horizontal="left" vertical="center"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6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23" borderId="26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63" borderId="261" applyNumberFormat="0" applyProtection="0">
      <alignment horizontal="left" vertical="top" indent="1"/>
    </xf>
    <xf numFmtId="186" fontId="57" fillId="44" borderId="264" applyNumberFormat="0" applyAlignment="0" applyProtection="0"/>
    <xf numFmtId="186" fontId="56" fillId="63"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2"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63" fillId="66" borderId="267" applyNumberFormat="0" applyProtection="0">
      <alignment horizontal="left" vertical="center" indent="1"/>
    </xf>
    <xf numFmtId="186" fontId="42" fillId="44" borderId="263" applyNumberFormat="0" applyAlignment="0" applyProtection="0"/>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4" fontId="56" fillId="55" borderId="263"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27" fillId="21" borderId="261" applyNumberFormat="0" applyProtection="0">
      <alignment horizontal="left" vertical="center" indent="1"/>
    </xf>
    <xf numFmtId="186" fontId="57" fillId="44" borderId="264" applyNumberFormat="0" applyAlignment="0" applyProtection="0"/>
    <xf numFmtId="4" fontId="59" fillId="65" borderId="263" applyNumberFormat="0" applyProtection="0">
      <alignment horizontal="right" vertical="center"/>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4" fontId="56" fillId="15" borderId="263" applyNumberFormat="0" applyProtection="0">
      <alignment horizontal="righ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center" indent="1"/>
    </xf>
    <xf numFmtId="4" fontId="27" fillId="21" borderId="267" applyNumberFormat="0" applyProtection="0">
      <alignment horizontal="left" vertical="center" indent="1"/>
    </xf>
    <xf numFmtId="4" fontId="56" fillId="52" borderId="263" applyNumberFormat="0" applyProtection="0">
      <alignmen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4" fontId="56" fillId="56" borderId="263" applyNumberFormat="0" applyProtection="0">
      <alignment horizontal="right" vertical="center"/>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15" borderId="263" applyNumberFormat="0" applyProtection="0">
      <alignment horizontal="right" vertical="center"/>
    </xf>
    <xf numFmtId="186" fontId="62" fillId="15"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6" fillId="52" borderId="263" applyNumberFormat="0" applyProtection="0">
      <alignment vertical="center"/>
    </xf>
    <xf numFmtId="4" fontId="56" fillId="58" borderId="263" applyNumberFormat="0" applyProtection="0">
      <alignment horizontal="right" vertical="center"/>
    </xf>
    <xf numFmtId="186" fontId="27" fillId="21"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4" fontId="56" fillId="57" borderId="267" applyNumberFormat="0" applyProtection="0">
      <alignment horizontal="right" vertical="center"/>
    </xf>
    <xf numFmtId="4" fontId="56" fillId="14"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4" fontId="59" fillId="65" borderId="263" applyNumberFormat="0" applyProtection="0">
      <alignment horizontal="right" vertical="center"/>
    </xf>
    <xf numFmtId="186" fontId="42" fillId="44" borderId="263" applyNumberFormat="0" applyAlignment="0" applyProtection="0"/>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21" borderId="261" applyNumberFormat="0" applyProtection="0">
      <alignment horizontal="left" vertical="top" indent="1"/>
    </xf>
    <xf numFmtId="37" fontId="33" fillId="0" borderId="247" applyNumberFormat="0"/>
    <xf numFmtId="186" fontId="56" fillId="15" borderId="244" applyNumberFormat="0" applyProtection="0">
      <alignment horizontal="left" vertical="top" indent="1"/>
    </xf>
    <xf numFmtId="186" fontId="56" fillId="63" borderId="244" applyNumberFormat="0" applyProtection="0">
      <alignment horizontal="left" vertical="top" indent="1"/>
    </xf>
    <xf numFmtId="4" fontId="72" fillId="49" borderId="244" applyNumberFormat="0" applyProtection="0">
      <alignment horizontal="right" vertical="center"/>
    </xf>
    <xf numFmtId="186" fontId="56" fillId="15" borderId="244"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4" fontId="56" fillId="19" borderId="242"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4" fontId="56" fillId="54" borderId="242" applyNumberFormat="0" applyProtection="0">
      <alignment horizontal="left" vertical="center" indent="1"/>
    </xf>
    <xf numFmtId="4" fontId="56" fillId="59" borderId="253" applyNumberFormat="0" applyProtection="0">
      <alignment horizontal="right" vertical="center"/>
    </xf>
    <xf numFmtId="186" fontId="42" fillId="44" borderId="253" applyNumberFormat="0" applyAlignment="0" applyProtection="0"/>
    <xf numFmtId="4" fontId="56" fillId="58" borderId="253" applyNumberFormat="0" applyProtection="0">
      <alignment horizontal="right" vertical="center"/>
    </xf>
    <xf numFmtId="191" fontId="28" fillId="51" borderId="249">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56" fillId="40" borderId="242" applyNumberFormat="0" applyFont="0" applyAlignment="0" applyProtection="0"/>
    <xf numFmtId="4" fontId="56" fillId="53" borderId="242" applyNumberFormat="0" applyProtection="0">
      <alignment horizontal="left" vertical="center" indent="1"/>
    </xf>
    <xf numFmtId="4" fontId="56" fillId="14" borderId="257" applyNumberFormat="0" applyProtection="0">
      <alignment horizontal="left" vertical="center" indent="1"/>
    </xf>
    <xf numFmtId="186" fontId="50" fillId="41" borderId="253" applyNumberFormat="0" applyAlignment="0" applyProtection="0"/>
    <xf numFmtId="186" fontId="56" fillId="15" borderId="244" applyNumberFormat="0" applyProtection="0">
      <alignment horizontal="left" vertical="top" indent="1"/>
    </xf>
    <xf numFmtId="186" fontId="56" fillId="63" borderId="252" applyNumberFormat="0" applyProtection="0">
      <alignment horizontal="left" vertical="top" indent="1"/>
    </xf>
    <xf numFmtId="196" fontId="5" fillId="13" borderId="249">
      <alignment vertical="center"/>
    </xf>
    <xf numFmtId="4" fontId="72" fillId="83" borderId="252"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191" fontId="5" fillId="13" borderId="8">
      <alignment vertical="center"/>
    </xf>
    <xf numFmtId="186" fontId="56" fillId="15" borderId="252" applyNumberFormat="0" applyProtection="0">
      <alignment horizontal="left" vertical="top" indent="1"/>
    </xf>
    <xf numFmtId="4" fontId="27" fillId="21" borderId="257" applyNumberFormat="0" applyProtection="0">
      <alignment horizontal="left" vertical="center" indent="1"/>
    </xf>
    <xf numFmtId="37" fontId="33" fillId="0" borderId="266" applyNumberFormat="0"/>
    <xf numFmtId="186" fontId="56" fillId="14" borderId="252" applyNumberFormat="0" applyProtection="0">
      <alignment horizontal="left" vertical="top" indent="1"/>
    </xf>
    <xf numFmtId="4" fontId="59" fillId="65" borderId="263" applyNumberFormat="0" applyProtection="0">
      <alignment horizontal="right" vertical="center"/>
    </xf>
    <xf numFmtId="186" fontId="27" fillId="63" borderId="261" applyNumberFormat="0" applyProtection="0">
      <alignment horizontal="left" vertical="center" indent="1"/>
    </xf>
    <xf numFmtId="186" fontId="56" fillId="14" borderId="261" applyNumberFormat="0" applyProtection="0">
      <alignment horizontal="left" vertical="top" indent="1"/>
    </xf>
    <xf numFmtId="4" fontId="56" fillId="19" borderId="253" applyNumberFormat="0" applyProtection="0">
      <alignment horizontal="right" vertical="center"/>
    </xf>
    <xf numFmtId="186" fontId="56" fillId="40" borderId="263" applyNumberFormat="0" applyFont="0" applyAlignment="0" applyProtection="0"/>
    <xf numFmtId="4" fontId="56" fillId="15" borderId="25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40" borderId="263" applyNumberFormat="0" applyFont="0" applyAlignment="0" applyProtection="0"/>
    <xf numFmtId="186" fontId="27" fillId="63" borderId="252"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top" indent="1"/>
    </xf>
    <xf numFmtId="4" fontId="56" fillId="54" borderId="253" applyNumberFormat="0" applyProtection="0">
      <alignment horizontal="left" vertical="center" indent="1"/>
    </xf>
    <xf numFmtId="186" fontId="56" fillId="63" borderId="252" applyNumberFormat="0" applyProtection="0">
      <alignment horizontal="left" vertical="top" indent="1"/>
    </xf>
    <xf numFmtId="190" fontId="5" fillId="70" borderId="259">
      <alignment horizontal="righ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4" fontId="33" fillId="0" borderId="231" applyFill="0"/>
    <xf numFmtId="4" fontId="56" fillId="19" borderId="242" applyNumberFormat="0" applyProtection="0">
      <alignment horizontal="right" vertical="center"/>
    </xf>
    <xf numFmtId="186" fontId="56" fillId="40" borderId="242" applyNumberFormat="0" applyFont="0" applyAlignment="0" applyProtection="0"/>
    <xf numFmtId="186" fontId="56" fillId="14" borderId="263"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194" fontId="33" fillId="0" borderId="231" applyFill="0"/>
    <xf numFmtId="186" fontId="62" fillId="48"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91" fontId="28" fillId="50" borderId="8">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8" fillId="50" borderId="259">
      <alignment vertical="center"/>
    </xf>
    <xf numFmtId="186" fontId="42" fillId="44" borderId="263" applyNumberFormat="0" applyAlignment="0" applyProtection="0"/>
    <xf numFmtId="186" fontId="56" fillId="40" borderId="263" applyNumberFormat="0" applyFont="0" applyAlignment="0" applyProtection="0"/>
    <xf numFmtId="188" fontId="28" fillId="50" borderId="259">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37" fontId="33" fillId="0" borderId="266" applyNumberFormat="0"/>
    <xf numFmtId="186" fontId="56" fillId="14" borderId="252" applyNumberFormat="0" applyProtection="0">
      <alignment horizontal="left" vertical="top" indent="1"/>
    </xf>
    <xf numFmtId="186" fontId="27" fillId="14" borderId="252" applyNumberFormat="0" applyProtection="0">
      <alignment horizontal="left" vertical="top" indent="1"/>
    </xf>
    <xf numFmtId="4" fontId="59" fillId="53" borderId="253" applyNumberFormat="0" applyProtection="0">
      <alignment vertical="center"/>
    </xf>
    <xf numFmtId="4" fontId="64" fillId="64" borderId="253" applyNumberFormat="0" applyProtection="0">
      <alignment horizontal="right" vertical="center"/>
    </xf>
    <xf numFmtId="4" fontId="56" fillId="53" borderId="263" applyNumberFormat="0" applyProtection="0">
      <alignment horizontal="left" vertical="center" indent="1"/>
    </xf>
    <xf numFmtId="186" fontId="50" fillId="41" borderId="263" applyNumberFormat="0" applyAlignment="0" applyProtection="0"/>
    <xf numFmtId="4" fontId="56" fillId="15" borderId="263" applyNumberFormat="0" applyProtection="0">
      <alignment horizontal="right" vertical="center"/>
    </xf>
    <xf numFmtId="4" fontId="59" fillId="65" borderId="263" applyNumberFormat="0" applyProtection="0">
      <alignment horizontal="right" vertical="center"/>
    </xf>
    <xf numFmtId="186" fontId="27" fillId="14" borderId="261" applyNumberFormat="0" applyProtection="0">
      <alignment horizontal="left" vertical="top" indent="1"/>
    </xf>
    <xf numFmtId="4" fontId="56" fillId="54" borderId="263" applyNumberFormat="0" applyProtection="0">
      <alignment horizontal="left" vertical="center" indent="1"/>
    </xf>
    <xf numFmtId="186" fontId="27" fillId="63" borderId="261" applyNumberFormat="0" applyProtection="0">
      <alignment horizontal="left" vertical="center" indent="1"/>
    </xf>
    <xf numFmtId="186" fontId="56" fillId="14" borderId="252" applyNumberFormat="0" applyProtection="0">
      <alignment horizontal="left" vertical="top" indent="1"/>
    </xf>
    <xf numFmtId="186" fontId="56" fillId="63"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4" fillId="87" borderId="261"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27" fillId="63" borderId="252" applyNumberFormat="0" applyProtection="0">
      <alignment horizontal="left" vertical="top" indent="1"/>
    </xf>
    <xf numFmtId="186" fontId="27" fillId="15" borderId="261" applyNumberFormat="0" applyProtection="0">
      <alignment horizontal="left" vertical="center" indent="1"/>
    </xf>
    <xf numFmtId="4" fontId="27" fillId="21" borderId="257"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4" fontId="56" fillId="52" borderId="253" applyNumberFormat="0" applyProtection="0">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7" fillId="44" borderId="254" applyNumberFormat="0" applyAlignment="0" applyProtection="0"/>
    <xf numFmtId="186" fontId="42" fillId="44" borderId="253" applyNumberFormat="0" applyAlignment="0" applyProtection="0"/>
    <xf numFmtId="4" fontId="56" fillId="59" borderId="253" applyNumberFormat="0" applyProtection="0">
      <alignment horizontal="right" vertical="center"/>
    </xf>
    <xf numFmtId="4" fontId="64" fillId="64" borderId="253" applyNumberFormat="0" applyProtection="0">
      <alignment horizontal="right" vertical="center"/>
    </xf>
    <xf numFmtId="4" fontId="56" fillId="61" borderId="257" applyNumberFormat="0" applyProtection="0">
      <alignment horizontal="left" vertical="center" indent="1"/>
    </xf>
    <xf numFmtId="186" fontId="56" fillId="14" borderId="263" applyNumberFormat="0" applyProtection="0">
      <alignment horizontal="left" vertical="center"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86" fontId="56" fillId="21" borderId="244" applyNumberFormat="0" applyProtection="0">
      <alignment horizontal="left" vertical="top" indent="1"/>
    </xf>
    <xf numFmtId="190" fontId="5" fillId="69" borderId="259">
      <alignment vertical="center"/>
    </xf>
    <xf numFmtId="186" fontId="56" fillId="14" borderId="244"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63" borderId="252" applyNumberFormat="0" applyProtection="0">
      <alignment horizontal="left" vertical="top" indent="1"/>
    </xf>
    <xf numFmtId="4" fontId="27" fillId="21" borderId="267" applyNumberFormat="0" applyProtection="0">
      <alignment horizontal="left" vertical="center" indent="1"/>
    </xf>
    <xf numFmtId="186" fontId="56" fillId="62" borderId="253" applyNumberFormat="0" applyProtection="0">
      <alignment horizontal="left" vertical="center"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0" fontId="27" fillId="15" borderId="261" applyNumberFormat="0" applyProtection="0">
      <alignment horizontal="left" vertical="center" indent="1"/>
    </xf>
    <xf numFmtId="4" fontId="56" fillId="14" borderId="267" applyNumberFormat="0" applyProtection="0">
      <alignment horizontal="left" vertical="center" indent="1"/>
    </xf>
    <xf numFmtId="4" fontId="56" fillId="54" borderId="263" applyNumberFormat="0" applyProtection="0">
      <alignment horizontal="left" vertical="center" indent="1"/>
    </xf>
    <xf numFmtId="4" fontId="56" fillId="54" borderId="253" applyNumberFormat="0" applyProtection="0">
      <alignment horizontal="left" vertical="center" indent="1"/>
    </xf>
    <xf numFmtId="4" fontId="59" fillId="65" borderId="263" applyNumberFormat="0" applyProtection="0">
      <alignment horizontal="right" vertical="center"/>
    </xf>
    <xf numFmtId="188" fontId="28" fillId="49" borderId="259">
      <alignment vertical="center"/>
    </xf>
    <xf numFmtId="186" fontId="56" fillId="14" borderId="253"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4" fontId="63" fillId="66" borderId="257" applyNumberFormat="0" applyProtection="0">
      <alignment horizontal="left" vertical="center" indent="1"/>
    </xf>
    <xf numFmtId="186" fontId="56" fillId="62" borderId="253" applyNumberFormat="0" applyProtection="0">
      <alignment horizontal="left" vertical="center" indent="1"/>
    </xf>
    <xf numFmtId="186" fontId="56" fillId="14" borderId="261" applyNumberFormat="0" applyProtection="0">
      <alignment horizontal="left" vertical="top" indent="1"/>
    </xf>
    <xf numFmtId="0" fontId="37" fillId="48" borderId="252" applyNumberFormat="0" applyProtection="0">
      <alignment horizontal="left" vertical="top" indent="1"/>
    </xf>
    <xf numFmtId="186" fontId="57" fillId="44" borderId="254" applyNumberFormat="0" applyAlignment="0" applyProtection="0"/>
    <xf numFmtId="186" fontId="27" fillId="21" borderId="252" applyNumberFormat="0" applyProtection="0">
      <alignment horizontal="left" vertical="top" indent="1"/>
    </xf>
    <xf numFmtId="4" fontId="56" fillId="15" borderId="245"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21" borderId="244" applyNumberFormat="0" applyProtection="0">
      <alignment horizontal="left" vertical="top" indent="1"/>
    </xf>
    <xf numFmtId="191" fontId="28" fillId="50" borderId="259">
      <alignment vertical="center"/>
    </xf>
    <xf numFmtId="186" fontId="56" fillId="63" borderId="244" applyNumberFormat="0" applyProtection="0">
      <alignment horizontal="left" vertical="top" indent="1"/>
    </xf>
    <xf numFmtId="186" fontId="57" fillId="44" borderId="254" applyNumberFormat="0" applyAlignment="0" applyProtection="0"/>
    <xf numFmtId="186" fontId="27" fillId="15" borderId="252" applyNumberFormat="0" applyProtection="0">
      <alignment horizontal="left" vertical="center" indent="1"/>
    </xf>
    <xf numFmtId="191" fontId="28" fillId="50" borderId="259">
      <alignment vertical="center"/>
    </xf>
    <xf numFmtId="186" fontId="27" fillId="63" borderId="252" applyNumberFormat="0" applyProtection="0">
      <alignment horizontal="left" vertical="center" indent="1"/>
    </xf>
    <xf numFmtId="186" fontId="56" fillId="14" borderId="253" applyNumberFormat="0" applyProtection="0">
      <alignment horizontal="left" vertical="center" indent="1"/>
    </xf>
    <xf numFmtId="190" fontId="28" fillId="50" borderId="259">
      <alignmen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67" applyNumberFormat="0" applyProtection="0">
      <alignment horizontal="right" vertical="center"/>
    </xf>
    <xf numFmtId="186" fontId="42" fillId="44" borderId="253" applyNumberFormat="0" applyAlignment="0" applyProtection="0"/>
    <xf numFmtId="191" fontId="28" fillId="50" borderId="259">
      <alignment vertical="center"/>
    </xf>
    <xf numFmtId="186" fontId="56" fillId="15" borderId="252" applyNumberFormat="0" applyProtection="0">
      <alignment horizontal="left" vertical="top"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1" borderId="253" applyNumberFormat="0" applyProtection="0">
      <alignment horizontal="left" vertical="center" indent="1"/>
    </xf>
    <xf numFmtId="172"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23" borderId="25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27" fillId="21" borderId="261" applyNumberFormat="0" applyProtection="0">
      <alignment horizontal="left" vertical="center"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59" fillId="53" borderId="263" applyNumberFormat="0" applyProtection="0">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28" fillId="12" borderId="269">
      <alignment vertical="center"/>
      <protection locked="0"/>
    </xf>
    <xf numFmtId="186" fontId="56" fillId="63" borderId="261" applyNumberFormat="0" applyProtection="0">
      <alignment horizontal="left" vertical="top" indent="1"/>
    </xf>
    <xf numFmtId="0" fontId="5" fillId="13" borderId="8">
      <alignment vertical="center"/>
    </xf>
    <xf numFmtId="191" fontId="28" fillId="12" borderId="269">
      <alignment vertical="center"/>
      <protection locked="0"/>
    </xf>
    <xf numFmtId="186" fontId="44" fillId="0" borderId="268" applyNumberFormat="0" applyFill="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4" fontId="56" fillId="56"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28" fillId="50" borderId="8">
      <alignment vertical="center"/>
    </xf>
    <xf numFmtId="4" fontId="56" fillId="14" borderId="267" applyNumberFormat="0" applyProtection="0">
      <alignment horizontal="left" vertical="center" indent="1"/>
    </xf>
    <xf numFmtId="191" fontId="28" fillId="49" borderId="259">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44" fillId="0" borderId="258" applyNumberFormat="0" applyFill="0" applyAlignment="0" applyProtection="0"/>
    <xf numFmtId="4" fontId="56" fillId="15" borderId="253" applyNumberFormat="0" applyProtection="0">
      <alignment horizontal="right" vertical="center"/>
    </xf>
    <xf numFmtId="4" fontId="56" fillId="15" borderId="257" applyNumberFormat="0" applyProtection="0">
      <alignment horizontal="left" vertical="center" indent="1"/>
    </xf>
    <xf numFmtId="4" fontId="56" fillId="57" borderId="267" applyNumberFormat="0" applyProtection="0">
      <alignment horizontal="right" vertical="center"/>
    </xf>
    <xf numFmtId="186" fontId="56" fillId="63"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1" borderId="252" applyNumberFormat="0" applyProtection="0">
      <alignment horizontal="left" vertical="top" indent="1"/>
    </xf>
    <xf numFmtId="191" fontId="28" fillId="51" borderId="259">
      <alignment horizontal="right" vertical="center"/>
      <protection locked="0"/>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86" fontId="56" fillId="21" borderId="252" applyNumberFormat="0" applyProtection="0">
      <alignment horizontal="left" vertical="top" indent="1"/>
    </xf>
    <xf numFmtId="4" fontId="56" fillId="58" borderId="253" applyNumberFormat="0" applyProtection="0">
      <alignment horizontal="right" vertical="center"/>
    </xf>
    <xf numFmtId="186" fontId="44" fillId="0" borderId="268" applyNumberFormat="0" applyFill="0" applyAlignment="0" applyProtection="0"/>
    <xf numFmtId="186" fontId="56" fillId="14" borderId="261"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63" borderId="252" applyNumberFormat="0" applyProtection="0">
      <alignment horizontal="left" vertical="top" indent="1"/>
    </xf>
    <xf numFmtId="186" fontId="27" fillId="15" borderId="261" applyNumberFormat="0" applyProtection="0">
      <alignment horizontal="left" vertical="top" indent="1"/>
    </xf>
    <xf numFmtId="37" fontId="33" fillId="0" borderId="266" applyNumberFormat="0"/>
    <xf numFmtId="4" fontId="56" fillId="23" borderId="242" applyNumberFormat="0" applyProtection="0">
      <alignment horizontal="right" vertical="center"/>
    </xf>
    <xf numFmtId="186" fontId="56" fillId="63" borderId="263" applyNumberFormat="0" applyProtection="0">
      <alignment horizontal="left" vertical="center" indent="1"/>
    </xf>
    <xf numFmtId="186" fontId="27" fillId="21" borderId="252" applyNumberFormat="0" applyProtection="0">
      <alignment horizontal="left" vertical="top" indent="1"/>
    </xf>
    <xf numFmtId="0" fontId="27" fillId="21"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186" fontId="56" fillId="40" borderId="253" applyNumberFormat="0" applyFont="0" applyAlignment="0" applyProtection="0"/>
    <xf numFmtId="186" fontId="62" fillId="48"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91" fontId="28" fillId="49" borderId="8">
      <alignment vertical="center"/>
    </xf>
    <xf numFmtId="186" fontId="27" fillId="21" borderId="252" applyNumberFormat="0" applyProtection="0">
      <alignment horizontal="left" vertical="top" indent="1"/>
    </xf>
    <xf numFmtId="186" fontId="56" fillId="14" borderId="252" applyNumberFormat="0" applyProtection="0">
      <alignment horizontal="left" vertical="top" indent="1"/>
    </xf>
    <xf numFmtId="4" fontId="56" fillId="0" borderId="253" applyNumberFormat="0" applyProtection="0">
      <alignment horizontal="right" vertical="center"/>
    </xf>
    <xf numFmtId="4" fontId="56" fillId="55" borderId="263" applyNumberFormat="0" applyProtection="0">
      <alignment horizontal="right" vertical="center"/>
    </xf>
    <xf numFmtId="186" fontId="56" fillId="40" borderId="253" applyNumberFormat="0" applyFont="0" applyAlignment="0" applyProtection="0"/>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7" fillId="44" borderId="264" applyNumberFormat="0" applyAlignment="0" applyProtection="0"/>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4" fontId="72" fillId="80" borderId="261" applyNumberFormat="0" applyProtection="0">
      <alignment horizontal="right" vertical="center"/>
    </xf>
    <xf numFmtId="186" fontId="56" fillId="15" borderId="244" applyNumberFormat="0" applyProtection="0">
      <alignment horizontal="left" vertical="top" indent="1"/>
    </xf>
    <xf numFmtId="4" fontId="64" fillId="64" borderId="263" applyNumberFormat="0" applyProtection="0">
      <alignment horizontal="right" vertical="center"/>
    </xf>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62" fillId="48" borderId="261" applyNumberFormat="0" applyProtection="0">
      <alignment horizontal="left" vertical="top" indent="1"/>
    </xf>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186" fontId="44" fillId="0" borderId="268" applyNumberFormat="0" applyFill="0" applyAlignment="0" applyProtection="0"/>
    <xf numFmtId="4" fontId="56" fillId="56" borderId="263" applyNumberFormat="0" applyProtection="0">
      <alignment horizontal="right" vertical="center"/>
    </xf>
    <xf numFmtId="186" fontId="42" fillId="44" borderId="263" applyNumberFormat="0" applyAlignment="0" applyProtection="0"/>
    <xf numFmtId="4" fontId="59" fillId="53" borderId="26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6" borderId="263" applyNumberFormat="0" applyProtection="0">
      <alignment horizontal="right" vertical="center"/>
    </xf>
    <xf numFmtId="4" fontId="59" fillId="53" borderId="263"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8" borderId="263" applyNumberFormat="0" applyProtection="0">
      <alignment horizontal="right" vertical="center"/>
    </xf>
    <xf numFmtId="4" fontId="56" fillId="52" borderId="263" applyNumberFormat="0" applyProtection="0">
      <alignmen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23" borderId="263" applyNumberFormat="0" applyProtection="0">
      <alignment horizontal="righ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4" fillId="64" borderId="263" applyNumberFormat="0" applyProtection="0">
      <alignment horizontal="right" vertical="center"/>
    </xf>
    <xf numFmtId="186" fontId="42" fillId="44" borderId="263" applyNumberFormat="0" applyAlignment="0" applyProtection="0"/>
    <xf numFmtId="186" fontId="56" fillId="14" borderId="261" applyNumberFormat="0" applyProtection="0">
      <alignment horizontal="left" vertical="top" indent="1"/>
    </xf>
    <xf numFmtId="37" fontId="33" fillId="0" borderId="266" applyNumberFormat="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4" fontId="56" fillId="14" borderId="267" applyNumberFormat="0" applyProtection="0">
      <alignment horizontal="left" vertical="center" indent="1"/>
    </xf>
    <xf numFmtId="186" fontId="50" fillId="41" borderId="263" applyNumberFormat="0" applyAlignment="0" applyProtection="0"/>
    <xf numFmtId="186" fontId="50" fillId="41" borderId="263" applyNumberFormat="0" applyAlignment="0" applyProtection="0"/>
    <xf numFmtId="186" fontId="44" fillId="0" borderId="268" applyNumberFormat="0" applyFill="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4" fontId="56" fillId="57" borderId="267" applyNumberFormat="0" applyProtection="0">
      <alignment horizontal="right" vertical="center"/>
    </xf>
    <xf numFmtId="4" fontId="56" fillId="58"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4" fontId="64" fillId="64" borderId="263" applyNumberFormat="0" applyProtection="0">
      <alignment horizontal="right" vertical="center"/>
    </xf>
    <xf numFmtId="186" fontId="56" fillId="15" borderId="261" applyNumberFormat="0" applyProtection="0">
      <alignment horizontal="left" vertical="top" indent="1"/>
    </xf>
    <xf numFmtId="186" fontId="62" fillId="15" borderId="261" applyNumberFormat="0" applyProtection="0">
      <alignment horizontal="left" vertical="top" indent="1"/>
    </xf>
    <xf numFmtId="186" fontId="56" fillId="14" borderId="261" applyNumberFormat="0" applyProtection="0">
      <alignment horizontal="left" vertical="top" indent="1"/>
    </xf>
    <xf numFmtId="186" fontId="27" fillId="63" borderId="261" applyNumberFormat="0" applyProtection="0">
      <alignment horizontal="left" vertical="center"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4" fontId="59" fillId="65" borderId="263" applyNumberFormat="0" applyProtection="0">
      <alignment horizontal="right" vertical="center"/>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7" borderId="267" applyNumberFormat="0" applyProtection="0">
      <alignment horizontal="right" vertical="center"/>
    </xf>
    <xf numFmtId="4" fontId="62" fillId="11"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186" fontId="56" fillId="14" borderId="261" applyNumberFormat="0" applyProtection="0">
      <alignment horizontal="left" vertical="top"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27" fillId="21" borderId="267"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4" fontId="56" fillId="52" borderId="263" applyNumberFormat="0" applyProtection="0">
      <alignmen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27"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3" borderId="263"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64" fillId="64" borderId="263" applyNumberFormat="0" applyProtection="0">
      <alignment horizontal="right" vertical="center"/>
    </xf>
    <xf numFmtId="4" fontId="62" fillId="11" borderId="261" applyNumberFormat="0" applyProtection="0">
      <alignment horizontal="left" vertical="center"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186" fontId="27" fillId="21" borderId="261" applyNumberFormat="0" applyProtection="0">
      <alignment horizontal="left" vertical="top" indent="1"/>
    </xf>
    <xf numFmtId="4" fontId="56" fillId="57" borderId="267" applyNumberFormat="0" applyProtection="0">
      <alignment horizontal="right" vertical="center"/>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60" borderId="263" applyNumberFormat="0" applyProtection="0">
      <alignment horizontal="righ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0"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60" fillId="52"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42" fillId="44" borderId="263" applyNumberFormat="0" applyAlignment="0" applyProtection="0"/>
    <xf numFmtId="4" fontId="59" fillId="65" borderId="263" applyNumberFormat="0" applyProtection="0">
      <alignment horizontal="right" vertical="center"/>
    </xf>
    <xf numFmtId="186" fontId="50" fillId="41" borderId="263" applyNumberFormat="0" applyAlignment="0" applyProtection="0"/>
    <xf numFmtId="186" fontId="42" fillId="44" borderId="263" applyNumberFormat="0" applyAlignment="0" applyProtection="0"/>
    <xf numFmtId="4" fontId="56" fillId="53"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19" borderId="263" applyNumberFormat="0" applyProtection="0">
      <alignment horizontal="right" vertical="center"/>
    </xf>
    <xf numFmtId="4" fontId="64" fillId="64" borderId="263" applyNumberFormat="0" applyProtection="0">
      <alignment horizontal="right" vertical="center"/>
    </xf>
    <xf numFmtId="4" fontId="56" fillId="23"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60" fillId="52" borderId="261" applyNumberFormat="0" applyProtection="0">
      <alignment horizontal="left" vertical="top"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2" fillId="48" borderId="261" applyNumberFormat="0" applyProtection="0">
      <alignment vertical="center"/>
    </xf>
    <xf numFmtId="4" fontId="62" fillId="11" borderId="261" applyNumberFormat="0" applyProtection="0">
      <alignment horizontal="left" vertical="center" indent="1"/>
    </xf>
    <xf numFmtId="186" fontId="62" fillId="48" borderId="261" applyNumberFormat="0" applyProtection="0">
      <alignment horizontal="left" vertical="top" indent="1"/>
    </xf>
    <xf numFmtId="186" fontId="62" fillId="15"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61" fillId="21"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4" fillId="0" borderId="268" applyNumberFormat="0" applyFill="0" applyAlignment="0" applyProtection="0"/>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42" fillId="44" borderId="263" applyNumberFormat="0" applyAlignment="0" applyProtection="0"/>
    <xf numFmtId="4" fontId="64" fillId="64" borderId="263" applyNumberFormat="0" applyProtection="0">
      <alignment horizontal="right" vertical="center"/>
    </xf>
    <xf numFmtId="4" fontId="56" fillId="54" borderId="263" applyNumberFormat="0" applyProtection="0">
      <alignment horizontal="left" vertical="center"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0" fillId="41" borderId="263" applyNumberFormat="0" applyAlignment="0" applyProtection="0"/>
    <xf numFmtId="186" fontId="42" fillId="44" borderId="263" applyNumberFormat="0" applyAlignment="0" applyProtection="0"/>
    <xf numFmtId="186" fontId="56" fillId="40" borderId="263" applyNumberFormat="0" applyFont="0" applyAlignment="0" applyProtection="0"/>
    <xf numFmtId="186" fontId="56" fillId="14"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4"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5" applyNumberFormat="0" applyFont="0" applyAlignment="0" applyProtection="0"/>
    <xf numFmtId="0" fontId="2" fillId="103" borderId="165" applyNumberFormat="0" applyFont="0" applyAlignment="0" applyProtection="0"/>
    <xf numFmtId="0" fontId="2" fillId="103"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5"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4"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cellStyleXfs>
  <cellXfs count="552">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4"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4"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4"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4" fontId="8" fillId="0" borderId="0" xfId="6" applyFont="1" applyFill="1" applyBorder="1" applyAlignment="1">
      <alignment vertical="center"/>
    </xf>
    <xf numFmtId="164" fontId="8" fillId="0" borderId="276" xfId="6" applyFont="1" applyFill="1" applyBorder="1" applyAlignment="1">
      <alignment vertical="center"/>
    </xf>
    <xf numFmtId="164"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4" fontId="0" fillId="0" borderId="0" xfId="6" applyFont="1" applyFill="1"/>
    <xf numFmtId="164"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1"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5" fontId="10" fillId="2" borderId="0" xfId="0" applyNumberFormat="1" applyFont="1" applyFill="1" applyAlignment="1">
      <alignment vertical="top" wrapText="1"/>
    </xf>
  </cellXfs>
  <cellStyles count="55256">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151">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14" dropStyle="combo" dx="22" fmlaLink="UserInterface!$E$29" fmlaRange="$E$15:$E$28" sel="2" val="0"/>
</file>

<file path=xl/ctrlProps/ctrlProp10.xml><?xml version="1.0" encoding="utf-8"?>
<formControlPr xmlns="http://schemas.microsoft.com/office/spreadsheetml/2009/9/main" objectType="Drop" dropLines="14" dropStyle="combo" dx="22" fmlaLink="UserInterface!$E$29" fmlaRange="UserInterface!$E$15:$E$28" sel="2" val="0"/>
</file>

<file path=xl/ctrlProps/ctrlProp11.xml><?xml version="1.0" encoding="utf-8"?>
<formControlPr xmlns="http://schemas.microsoft.com/office/spreadsheetml/2009/9/main" objectType="Drop" dropLines="14" dropStyle="combo" dx="22" fmlaLink="UserInterface!$E$29" fmlaRange="UserInterface!$E$15:$E$28" sel="2" val="0"/>
</file>

<file path=xl/ctrlProps/ctrlProp12.xml><?xml version="1.0" encoding="utf-8"?>
<formControlPr xmlns="http://schemas.microsoft.com/office/spreadsheetml/2009/9/main" objectType="Drop" dropLines="14" dropStyle="combo" dx="22" fmlaLink="UserInterface!$E$29" fmlaRange="UserInterface!$E$15:$E$28" sel="2" val="0"/>
</file>

<file path=xl/ctrlProps/ctrlProp13.xml><?xml version="1.0" encoding="utf-8"?>
<formControlPr xmlns="http://schemas.microsoft.com/office/spreadsheetml/2009/9/main" objectType="Drop" dropLines="14" dropStyle="combo" dx="22" fmlaLink="UserInterface!$E$29" fmlaRange="UserInterface!$E$15:$E$28" sel="2" val="0"/>
</file>

<file path=xl/ctrlProps/ctrlProp14.xml><?xml version="1.0" encoding="utf-8"?>
<formControlPr xmlns="http://schemas.microsoft.com/office/spreadsheetml/2009/9/main" objectType="Drop" dropLines="14" dropStyle="combo" dx="22" fmlaLink="UserInterface!$E$29" fmlaRange="UserInterface!$E$15:$E$28" sel="2" val="0"/>
</file>

<file path=xl/ctrlProps/ctrlProp15.xml><?xml version="1.0" encoding="utf-8"?>
<formControlPr xmlns="http://schemas.microsoft.com/office/spreadsheetml/2009/9/main" objectType="Drop" dropLines="14" dropStyle="combo" dx="22" fmlaLink="UserInterface!$E$29" fmlaRange="UserInterface!$E$15:$E$28" sel="2" val="0"/>
</file>

<file path=xl/ctrlProps/ctrlProp16.xml><?xml version="1.0" encoding="utf-8"?>
<formControlPr xmlns="http://schemas.microsoft.com/office/spreadsheetml/2009/9/main" objectType="Drop" dropLines="14" dropStyle="combo" dx="22" fmlaLink="UserInterface!$E$29" fmlaRange="UserInterface!$E$15:$E$28" sel="2" val="0"/>
</file>

<file path=xl/ctrlProps/ctrlProp17.xml><?xml version="1.0" encoding="utf-8"?>
<formControlPr xmlns="http://schemas.microsoft.com/office/spreadsheetml/2009/9/main" objectType="Drop" dropLines="14" dropStyle="combo" dx="22" fmlaLink="UserInterface!$E$29" fmlaRange="UserInterface!$E$15:$E$28" sel="2" val="0"/>
</file>

<file path=xl/ctrlProps/ctrlProp18.xml><?xml version="1.0" encoding="utf-8"?>
<formControlPr xmlns="http://schemas.microsoft.com/office/spreadsheetml/2009/9/main" objectType="Drop" dropLines="14" dropStyle="combo" dx="22" fmlaLink="UserInterface!$E$29" fmlaRange="UserInterface!$E$15:$E$28" sel="2" val="0"/>
</file>

<file path=xl/ctrlProps/ctrlProp19.xml><?xml version="1.0" encoding="utf-8"?>
<formControlPr xmlns="http://schemas.microsoft.com/office/spreadsheetml/2009/9/main" objectType="Drop" dropLines="14" dropStyle="combo" dx="22" fmlaLink="UserInterface!$E$29" fmlaRange="UserInterface!$E$15:$E$28" sel="2" val="0"/>
</file>

<file path=xl/ctrlProps/ctrlProp2.xml><?xml version="1.0" encoding="utf-8"?>
<formControlPr xmlns="http://schemas.microsoft.com/office/spreadsheetml/2009/9/main" objectType="Drop" dropLines="14" dropStyle="combo" dx="22" fmlaLink="UserInterface!$E$29" fmlaRange="UserInterface!$E$15:$E$28" sel="2" val="0"/>
</file>

<file path=xl/ctrlProps/ctrlProp20.xml><?xml version="1.0" encoding="utf-8"?>
<formControlPr xmlns="http://schemas.microsoft.com/office/spreadsheetml/2009/9/main" objectType="Drop" dropLines="14" dropStyle="combo" dx="22" fmlaLink="UserInterface!$E$29" fmlaRange="UserInterface!$E$15:$E$28" sel="2" val="0"/>
</file>

<file path=xl/ctrlProps/ctrlProp21.xml><?xml version="1.0" encoding="utf-8"?>
<formControlPr xmlns="http://schemas.microsoft.com/office/spreadsheetml/2009/9/main" objectType="Drop" dropLines="14" dropStyle="combo" dx="22" fmlaLink="UserInterface!$E$29" fmlaRange="UserInterface!$E$15:$E$28" sel="2" val="0"/>
</file>

<file path=xl/ctrlProps/ctrlProp22.xml><?xml version="1.0" encoding="utf-8"?>
<formControlPr xmlns="http://schemas.microsoft.com/office/spreadsheetml/2009/9/main" objectType="Drop" dropLines="14" dropStyle="combo" dx="22" fmlaLink="UserInterface!$E$29" fmlaRange="UserInterface!$E$15:$E$28" sel="2" val="0"/>
</file>

<file path=xl/ctrlProps/ctrlProp23.xml><?xml version="1.0" encoding="utf-8"?>
<formControlPr xmlns="http://schemas.microsoft.com/office/spreadsheetml/2009/9/main" objectType="Drop" dropLines="14" dropStyle="combo" dx="22" fmlaLink="UserInterface!$E$29" fmlaRange="UserInterface!$E$15:$E$28" sel="2" val="0"/>
</file>

<file path=xl/ctrlProps/ctrlProp24.xml><?xml version="1.0" encoding="utf-8"?>
<formControlPr xmlns="http://schemas.microsoft.com/office/spreadsheetml/2009/9/main" objectType="Drop" dropLines="14" dropStyle="combo" dx="22" fmlaLink="UserInterface!$E$29" fmlaRange="UserInterface!$E$15:$E$28" sel="2" val="0"/>
</file>

<file path=xl/ctrlProps/ctrlProp25.xml><?xml version="1.0" encoding="utf-8"?>
<formControlPr xmlns="http://schemas.microsoft.com/office/spreadsheetml/2009/9/main" objectType="Drop" dropLines="14" dropStyle="combo" dx="22" fmlaLink="UserInterface!$E$29" fmlaRange="UserInterface!$E$15:$E$28" sel="2" val="0"/>
</file>

<file path=xl/ctrlProps/ctrlProp26.xml><?xml version="1.0" encoding="utf-8"?>
<formControlPr xmlns="http://schemas.microsoft.com/office/spreadsheetml/2009/9/main" objectType="Drop" dropLines="14" dropStyle="combo" dx="22" fmlaLink="UserInterface!$E$29" fmlaRange="UserInterface!$E$15:$E$28" sel="2" val="0"/>
</file>

<file path=xl/ctrlProps/ctrlProp27.xml><?xml version="1.0" encoding="utf-8"?>
<formControlPr xmlns="http://schemas.microsoft.com/office/spreadsheetml/2009/9/main" objectType="Drop" dropLines="14" dropStyle="combo" dx="22" fmlaLink="UserInterface!$E$29" fmlaRange="UserInterface!$E$15:$E$28" sel="2" val="0"/>
</file>

<file path=xl/ctrlProps/ctrlProp28.xml><?xml version="1.0" encoding="utf-8"?>
<formControlPr xmlns="http://schemas.microsoft.com/office/spreadsheetml/2009/9/main" objectType="Drop" dropLines="14" dropStyle="combo" dx="22" fmlaLink="UserInterface!$E$29" fmlaRange="UserInterface!$E$15:$E$28" sel="2" val="0"/>
</file>

<file path=xl/ctrlProps/ctrlProp3.xml><?xml version="1.0" encoding="utf-8"?>
<formControlPr xmlns="http://schemas.microsoft.com/office/spreadsheetml/2009/9/main" objectType="Drop" dropLines="14" dropStyle="combo" dx="22" fmlaLink="UserInterface!$E$29" fmlaRange="UserInterface!$E$15:$E$28" sel="2" val="0"/>
</file>

<file path=xl/ctrlProps/ctrlProp4.xml><?xml version="1.0" encoding="utf-8"?>
<formControlPr xmlns="http://schemas.microsoft.com/office/spreadsheetml/2009/9/main" objectType="Drop" dropLines="14" dropStyle="combo" dx="22" fmlaLink="UserInterface!$E$29" fmlaRange="UserInterface!$E$15:$E$28" sel="2" val="0"/>
</file>

<file path=xl/ctrlProps/ctrlProp5.xml><?xml version="1.0" encoding="utf-8"?>
<formControlPr xmlns="http://schemas.microsoft.com/office/spreadsheetml/2009/9/main" objectType="Drop" dropLines="14" dropStyle="combo" dx="22" fmlaLink="UserInterface!$E$29" fmlaRange="UserInterface!$E$15:$E$28" sel="2" val="0"/>
</file>

<file path=xl/ctrlProps/ctrlProp6.xml><?xml version="1.0" encoding="utf-8"?>
<formControlPr xmlns="http://schemas.microsoft.com/office/spreadsheetml/2009/9/main" objectType="Drop" dropLines="14" dropStyle="combo" dx="22" fmlaLink="UserInterface!$E$29" fmlaRange="UserInterface!$E$15:$E$28" sel="2" val="0"/>
</file>

<file path=xl/ctrlProps/ctrlProp7.xml><?xml version="1.0" encoding="utf-8"?>
<formControlPr xmlns="http://schemas.microsoft.com/office/spreadsheetml/2009/9/main" objectType="Drop" dropLines="14" dropStyle="combo" dx="22" fmlaLink="UserInterface!$E$29" fmlaRange="UserInterface!$E$15:$E$28" sel="2" val="0"/>
</file>

<file path=xl/ctrlProps/ctrlProp8.xml><?xml version="1.0" encoding="utf-8"?>
<formControlPr xmlns="http://schemas.microsoft.com/office/spreadsheetml/2009/9/main" objectType="Drop" dropLines="14" dropStyle="combo" dx="22" fmlaLink="UserInterface!$E$29" fmlaRange="UserInterface!$E$15:$E$28" sel="2" val="0"/>
</file>

<file path=xl/ctrlProps/ctrlProp9.xml><?xml version="1.0" encoding="utf-8"?>
<formControlPr xmlns="http://schemas.microsoft.com/office/spreadsheetml/2009/9/main" objectType="Drop" dropLines="14" dropStyle="combo" dx="22" fmlaLink="UserInterface!$E$29" fmlaRange="UserInterface!$E$15:$E$28"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152401</xdr:colOff>
      <xdr:row>0</xdr:row>
      <xdr:rowOff>407684</xdr:rowOff>
    </xdr:to>
    <xdr:pic>
      <xdr:nvPicPr>
        <xdr:cNvPr id="4" name="Picture 3" descr="image of the Ofgem logo" title="Ofgem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638300" cy="4060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8</xdr:col>
          <xdr:colOff>0</xdr:colOff>
          <xdr:row>0</xdr:row>
          <xdr:rowOff>161925</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3457575</xdr:colOff>
          <xdr:row>0</xdr:row>
          <xdr:rowOff>47625</xdr:rowOff>
        </xdr:from>
        <xdr:to>
          <xdr:col>4</xdr:col>
          <xdr:colOff>4391025</xdr:colOff>
          <xdr:row>0</xdr:row>
          <xdr:rowOff>180975</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1</xdr:row>
          <xdr:rowOff>9525</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9525</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180975</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161925</xdr:colOff>
          <xdr:row>0</xdr:row>
          <xdr:rowOff>161925</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tabSelected="1" zoomScale="85" zoomScaleNormal="85" workbookViewId="0">
      <selection activeCell="E1" sqref="E1"/>
    </sheetView>
  </sheetViews>
  <sheetFormatPr defaultColWidth="0" defaultRowHeight="12.75" zeroHeight="1"/>
  <cols>
    <col min="1" max="4" width="1.5" customWidth="1"/>
    <col min="5" max="5" width="24.5" customWidth="1"/>
    <col min="6" max="6" width="2.5" customWidth="1"/>
    <col min="7" max="7" width="47" customWidth="1"/>
    <col min="8" max="8" width="2.375" customWidth="1"/>
    <col min="9" max="9" width="22.375" customWidth="1"/>
    <col min="10" max="10" width="2.75" customWidth="1"/>
    <col min="11" max="11" width="66" customWidth="1"/>
    <col min="12" max="12" width="1.75" customWidth="1"/>
    <col min="13" max="46" width="9.625" hidden="1" customWidth="1"/>
    <col min="47" max="47" width="3" hidden="1" customWidth="1"/>
  </cols>
  <sheetData>
    <row r="1" spans="1:12" ht="40.9" customHeight="1">
      <c r="A1" s="150"/>
      <c r="B1" s="150"/>
      <c r="C1" s="150"/>
      <c r="D1" s="150"/>
      <c r="E1" s="150"/>
      <c r="F1" s="150"/>
      <c r="G1" s="150"/>
      <c r="H1" s="150"/>
      <c r="I1" s="150"/>
      <c r="J1" s="150"/>
      <c r="K1" s="150"/>
      <c r="L1" s="150"/>
    </row>
    <row r="2" spans="1:12" ht="24.75">
      <c r="A2" s="156" t="s">
        <v>4</v>
      </c>
      <c r="B2" s="151"/>
      <c r="C2" s="151"/>
      <c r="D2" s="151"/>
      <c r="E2" s="151"/>
      <c r="F2" s="158"/>
      <c r="G2" s="158"/>
      <c r="H2" s="181"/>
      <c r="I2" s="181"/>
      <c r="J2" s="196"/>
      <c r="K2" s="196"/>
      <c r="L2" s="196"/>
    </row>
    <row r="3" spans="1:12" ht="19.5">
      <c r="A3" s="152"/>
      <c r="B3" s="152" t="s">
        <v>5</v>
      </c>
      <c r="C3" s="151"/>
      <c r="D3" s="151"/>
      <c r="E3" s="151"/>
      <c r="F3" s="158"/>
      <c r="G3" s="158"/>
      <c r="H3" s="181"/>
      <c r="I3" s="181"/>
      <c r="J3" s="181"/>
      <c r="K3" s="181"/>
      <c r="L3" s="181"/>
    </row>
    <row r="4" spans="1:12" ht="15">
      <c r="A4" s="151"/>
      <c r="B4" s="151"/>
      <c r="C4" s="153" t="s">
        <v>6</v>
      </c>
      <c r="D4" s="153"/>
      <c r="E4" s="153"/>
      <c r="F4" s="154"/>
      <c r="G4" s="158" t="str">
        <f ca="1">MID(CELL("filename"),SEARCH("[",CELL("filename"))+1,SEARCH("]",CELL("filename"))-SEARCH("[",CELL("filename"))-1)</f>
        <v>ED2 PCFM NPgN 20231222.xlsx</v>
      </c>
      <c r="H4" s="179"/>
      <c r="I4" s="179"/>
      <c r="J4" s="172"/>
      <c r="K4" s="172"/>
      <c r="L4" s="172"/>
    </row>
    <row r="5" spans="1:12" ht="15">
      <c r="A5" s="151"/>
      <c r="B5" s="151"/>
      <c r="C5" s="153" t="s">
        <v>7</v>
      </c>
      <c r="D5" s="155"/>
      <c r="E5" s="155"/>
      <c r="F5" s="155"/>
      <c r="G5" s="551">
        <v>45282</v>
      </c>
      <c r="H5" s="158"/>
      <c r="I5" s="169"/>
      <c r="J5" s="158"/>
      <c r="K5" s="168"/>
      <c r="L5" s="168"/>
    </row>
    <row r="6" spans="1:12" ht="15">
      <c r="A6" s="2"/>
      <c r="B6" s="2"/>
      <c r="C6" s="2"/>
      <c r="D6" s="2"/>
      <c r="E6" s="2"/>
      <c r="F6" s="2"/>
      <c r="G6" s="2"/>
      <c r="H6" s="2"/>
      <c r="I6" s="2"/>
      <c r="J6" s="2"/>
      <c r="K6" s="2"/>
      <c r="L6" s="2"/>
    </row>
    <row r="7" spans="1:12" ht="15">
      <c r="A7" s="159"/>
      <c r="B7" s="37" t="s">
        <v>8</v>
      </c>
      <c r="C7" s="37"/>
      <c r="D7" s="37"/>
      <c r="E7" s="37"/>
      <c r="F7" s="37"/>
      <c r="G7" s="37"/>
      <c r="H7" s="37"/>
      <c r="I7" s="37"/>
      <c r="J7" s="37"/>
      <c r="K7" s="37"/>
    </row>
    <row r="8" spans="1:12" ht="15">
      <c r="A8" s="159"/>
      <c r="B8" s="159"/>
      <c r="C8" s="159"/>
      <c r="D8" s="159"/>
      <c r="E8" s="21"/>
      <c r="F8" s="159"/>
      <c r="G8" s="160"/>
      <c r="H8" s="159"/>
      <c r="I8" s="159"/>
      <c r="J8" s="159"/>
      <c r="K8" s="159"/>
    </row>
    <row r="9" spans="1:12" ht="15">
      <c r="A9" s="159"/>
      <c r="B9" s="159"/>
      <c r="C9" s="159"/>
      <c r="D9" s="159"/>
      <c r="E9" s="160" t="s">
        <v>9</v>
      </c>
      <c r="F9" s="159"/>
      <c r="G9" s="160" t="s">
        <v>10</v>
      </c>
      <c r="H9" s="159"/>
      <c r="I9" s="172" t="s">
        <v>9</v>
      </c>
      <c r="J9" s="159"/>
      <c r="K9" s="159" t="s">
        <v>11</v>
      </c>
    </row>
    <row r="10" spans="1:12" ht="15">
      <c r="A10" s="159"/>
      <c r="B10" s="159"/>
      <c r="C10" s="159"/>
      <c r="D10" s="159"/>
      <c r="E10" s="8" t="s">
        <v>9</v>
      </c>
      <c r="F10" s="159"/>
      <c r="G10" s="160" t="s">
        <v>12</v>
      </c>
      <c r="H10" s="159"/>
      <c r="I10" s="175" t="s">
        <v>9</v>
      </c>
      <c r="J10" s="159"/>
      <c r="K10" s="159" t="s">
        <v>13</v>
      </c>
    </row>
    <row r="11" spans="1:12" ht="15.75" thickBot="1">
      <c r="A11" s="159"/>
      <c r="B11" s="159"/>
      <c r="C11" s="159"/>
      <c r="D11" s="159"/>
      <c r="E11" s="30" t="s">
        <v>9</v>
      </c>
      <c r="F11" s="159"/>
      <c r="G11" s="160" t="s">
        <v>14</v>
      </c>
      <c r="H11" s="159"/>
      <c r="I11" s="176" t="s">
        <v>9</v>
      </c>
      <c r="J11" s="159"/>
      <c r="K11" s="159" t="s">
        <v>15</v>
      </c>
    </row>
    <row r="12" spans="1:12" ht="15.75" thickBot="1">
      <c r="A12" s="159"/>
      <c r="B12" s="159"/>
      <c r="C12" s="159"/>
      <c r="D12" s="159"/>
      <c r="E12" s="161" t="s">
        <v>9</v>
      </c>
      <c r="F12" s="159"/>
      <c r="G12" s="160" t="s">
        <v>16</v>
      </c>
      <c r="H12" s="159"/>
      <c r="I12" s="177" t="s">
        <v>9</v>
      </c>
      <c r="J12" s="159"/>
      <c r="K12" s="159" t="s">
        <v>17</v>
      </c>
    </row>
    <row r="13" spans="1:12" ht="15">
      <c r="A13" s="159"/>
      <c r="B13" s="159"/>
      <c r="C13" s="159"/>
      <c r="D13" s="159"/>
      <c r="E13" s="159" t="s">
        <v>9</v>
      </c>
      <c r="F13" s="159"/>
      <c r="G13" s="159" t="s">
        <v>18</v>
      </c>
      <c r="H13" s="159"/>
      <c r="I13" s="178" t="s">
        <v>9</v>
      </c>
      <c r="J13" s="159"/>
      <c r="K13" s="159" t="s">
        <v>19</v>
      </c>
    </row>
    <row r="14" spans="1:12" ht="15">
      <c r="A14" s="159"/>
      <c r="B14" s="159"/>
      <c r="C14" s="159"/>
      <c r="D14" s="159"/>
      <c r="E14" s="159"/>
      <c r="F14" s="159"/>
      <c r="G14" s="159"/>
      <c r="H14" s="159"/>
      <c r="I14" s="12" t="s">
        <v>9</v>
      </c>
      <c r="J14" s="159"/>
      <c r="K14" s="159" t="s">
        <v>20</v>
      </c>
    </row>
    <row r="15" spans="1:12" ht="15">
      <c r="A15" s="159"/>
      <c r="B15" s="159"/>
      <c r="C15" s="159"/>
      <c r="D15" s="159"/>
      <c r="E15" s="159"/>
      <c r="F15" s="159"/>
      <c r="G15" s="159"/>
      <c r="H15" s="159"/>
      <c r="I15" s="174" t="s">
        <v>9</v>
      </c>
      <c r="J15" s="159"/>
      <c r="K15" s="159" t="s">
        <v>21</v>
      </c>
    </row>
    <row r="16" spans="1:12" ht="15">
      <c r="A16" s="159"/>
      <c r="B16" s="159"/>
      <c r="C16" s="159"/>
      <c r="D16" s="159"/>
      <c r="E16" s="159"/>
      <c r="F16" s="159"/>
      <c r="G16" s="159"/>
      <c r="H16" s="159"/>
      <c r="I16" s="292" t="s">
        <v>9</v>
      </c>
      <c r="J16" s="159"/>
      <c r="K16" s="159" t="s">
        <v>22</v>
      </c>
    </row>
    <row r="17" spans="1:11" ht="15">
      <c r="A17" s="159"/>
      <c r="B17" s="159"/>
      <c r="C17" s="159"/>
      <c r="D17" s="159"/>
      <c r="E17" s="159"/>
      <c r="F17" s="159"/>
      <c r="G17" s="159"/>
      <c r="H17" s="159"/>
    </row>
    <row r="18" spans="1:11" ht="15">
      <c r="A18" s="159"/>
      <c r="B18" s="159"/>
      <c r="C18" s="159"/>
      <c r="D18" s="159"/>
      <c r="E18" s="159"/>
      <c r="F18" s="159"/>
      <c r="G18" s="159"/>
      <c r="H18" s="159"/>
      <c r="I18" s="159"/>
      <c r="J18" s="159"/>
      <c r="K18" s="159"/>
    </row>
    <row r="19" spans="1:11" ht="15">
      <c r="A19" s="159"/>
      <c r="B19" s="37" t="s">
        <v>23</v>
      </c>
      <c r="C19" s="37"/>
      <c r="D19" s="37"/>
      <c r="E19" s="37"/>
      <c r="F19" s="37"/>
      <c r="G19" s="37"/>
      <c r="H19" s="37"/>
      <c r="I19" s="37"/>
      <c r="J19" s="37"/>
      <c r="K19" s="37"/>
    </row>
    <row r="20" spans="1:11" ht="15">
      <c r="A20" s="159"/>
      <c r="B20" s="159"/>
      <c r="C20" s="159"/>
      <c r="D20" s="159"/>
      <c r="E20" s="21"/>
      <c r="F20" s="159"/>
      <c r="G20" s="160"/>
      <c r="H20" s="159"/>
      <c r="I20" s="159"/>
      <c r="J20" s="159"/>
      <c r="K20" s="159"/>
    </row>
    <row r="21" spans="1:11" ht="15.75" thickBot="1">
      <c r="A21" s="159"/>
      <c r="B21" s="159"/>
      <c r="C21" s="159"/>
      <c r="D21" s="159"/>
      <c r="E21" s="159" t="s">
        <v>24</v>
      </c>
      <c r="F21" s="159"/>
      <c r="G21" s="159"/>
      <c r="H21" s="159"/>
      <c r="I21" s="159" t="s">
        <v>25</v>
      </c>
      <c r="J21" s="159"/>
      <c r="K21" s="160"/>
    </row>
    <row r="22" spans="1:11" ht="16.5" thickTop="1" thickBot="1">
      <c r="A22" s="159"/>
      <c r="B22" s="159"/>
      <c r="C22" s="159"/>
      <c r="D22" s="159"/>
      <c r="E22" s="162" t="s">
        <v>26</v>
      </c>
      <c r="F22" s="173"/>
      <c r="G22" s="163" t="s">
        <v>27</v>
      </c>
      <c r="H22" s="159"/>
      <c r="I22" s="162" t="s">
        <v>28</v>
      </c>
      <c r="J22" s="167"/>
      <c r="K22" s="163"/>
    </row>
    <row r="23" spans="1:11" ht="16.5" thickTop="1" thickBot="1">
      <c r="A23" s="159"/>
      <c r="B23" s="159"/>
      <c r="C23" s="159"/>
      <c r="D23" s="159"/>
      <c r="E23" s="162" t="s">
        <v>29</v>
      </c>
      <c r="F23" s="173"/>
      <c r="G23" s="163" t="s">
        <v>30</v>
      </c>
      <c r="H23" s="159"/>
      <c r="I23" s="162" t="s">
        <v>31</v>
      </c>
      <c r="J23" s="167"/>
      <c r="K23" s="163"/>
    </row>
    <row r="24" spans="1:11" ht="16.5" thickTop="1" thickBot="1">
      <c r="A24" s="159"/>
      <c r="B24" s="159"/>
      <c r="C24" s="159"/>
      <c r="D24" s="159"/>
      <c r="E24" s="162" t="s">
        <v>32</v>
      </c>
      <c r="F24" s="173"/>
      <c r="G24" s="163" t="s">
        <v>33</v>
      </c>
      <c r="H24" s="159"/>
      <c r="I24" s="162" t="s">
        <v>34</v>
      </c>
      <c r="J24" s="167"/>
      <c r="K24" s="163"/>
    </row>
    <row r="25" spans="1:11" ht="16.5" thickTop="1" thickBot="1">
      <c r="A25" s="159"/>
      <c r="B25" s="159"/>
      <c r="C25" s="159"/>
      <c r="D25" s="159"/>
      <c r="E25" s="164"/>
      <c r="F25" s="164"/>
      <c r="G25" s="163"/>
      <c r="H25" s="159"/>
      <c r="I25" s="162" t="s">
        <v>35</v>
      </c>
      <c r="J25" s="167"/>
      <c r="K25" s="163"/>
    </row>
    <row r="26" spans="1:11" ht="16.5" thickTop="1" thickBot="1">
      <c r="A26" s="159"/>
      <c r="B26" s="159"/>
      <c r="C26" s="159"/>
      <c r="D26" s="159"/>
      <c r="E26" s="159" t="s">
        <v>36</v>
      </c>
      <c r="F26" s="159"/>
      <c r="G26" s="160"/>
      <c r="H26" s="159"/>
      <c r="I26" s="162" t="s">
        <v>37</v>
      </c>
      <c r="J26" s="167"/>
      <c r="K26" s="163"/>
    </row>
    <row r="27" spans="1:11" ht="16.5" thickTop="1" thickBot="1">
      <c r="A27" s="159"/>
      <c r="B27" s="159"/>
      <c r="C27" s="159"/>
      <c r="D27" s="159"/>
      <c r="E27" s="162" t="s">
        <v>14</v>
      </c>
      <c r="F27" s="167"/>
      <c r="G27" s="163" t="s">
        <v>38</v>
      </c>
      <c r="H27" s="159"/>
      <c r="I27" s="162" t="s">
        <v>39</v>
      </c>
      <c r="J27" s="167"/>
      <c r="K27" s="163"/>
    </row>
    <row r="28" spans="1:11" ht="16.5" thickTop="1" thickBot="1">
      <c r="A28" s="159"/>
      <c r="B28" s="159"/>
      <c r="C28" s="159"/>
      <c r="D28" s="159"/>
      <c r="E28" s="162" t="s">
        <v>40</v>
      </c>
      <c r="F28" s="167"/>
      <c r="G28" s="163" t="s">
        <v>41</v>
      </c>
      <c r="H28" s="159"/>
      <c r="I28" s="162" t="s">
        <v>42</v>
      </c>
      <c r="J28" s="167"/>
      <c r="K28" s="163"/>
    </row>
    <row r="29" spans="1:11" ht="16.5" thickTop="1" thickBot="1">
      <c r="A29" s="159"/>
      <c r="B29" s="159"/>
      <c r="C29" s="159"/>
      <c r="D29" s="159"/>
      <c r="E29" s="162" t="s">
        <v>43</v>
      </c>
      <c r="F29" s="167"/>
      <c r="G29" s="163" t="s">
        <v>44</v>
      </c>
      <c r="H29" s="159"/>
      <c r="I29" s="162" t="s">
        <v>45</v>
      </c>
      <c r="J29" s="167"/>
      <c r="K29" s="163"/>
    </row>
    <row r="30" spans="1:11" ht="16.5" thickTop="1" thickBot="1">
      <c r="A30" s="159"/>
      <c r="B30" s="159"/>
      <c r="C30" s="159"/>
      <c r="D30" s="159"/>
      <c r="E30" s="159"/>
      <c r="F30" s="159"/>
      <c r="G30" s="160"/>
      <c r="H30" s="159"/>
      <c r="I30" s="162" t="s">
        <v>46</v>
      </c>
      <c r="J30" s="167"/>
      <c r="K30" s="163"/>
    </row>
    <row r="31" spans="1:11" ht="16.5" thickTop="1" thickBot="1">
      <c r="E31" s="159" t="s">
        <v>47</v>
      </c>
      <c r="F31" s="159"/>
      <c r="G31" s="159"/>
      <c r="I31" s="162" t="s">
        <v>48</v>
      </c>
      <c r="J31" s="167"/>
      <c r="K31" s="159"/>
    </row>
    <row r="32" spans="1:11" ht="16.5" thickTop="1" thickBot="1">
      <c r="E32" s="162" t="s">
        <v>49</v>
      </c>
      <c r="F32" s="332"/>
      <c r="G32" s="163" t="s">
        <v>50</v>
      </c>
      <c r="I32" s="162" t="s">
        <v>51</v>
      </c>
      <c r="J32" s="167"/>
      <c r="K32" s="159"/>
    </row>
    <row r="33" spans="1:11" ht="16.5" thickTop="1" thickBot="1">
      <c r="A33" s="159"/>
      <c r="B33" s="159"/>
      <c r="C33" s="159"/>
      <c r="D33" s="159"/>
      <c r="E33" s="162" t="s">
        <v>52</v>
      </c>
      <c r="F33" s="332"/>
      <c r="G33" s="163" t="s">
        <v>53</v>
      </c>
      <c r="H33" s="159"/>
      <c r="I33" s="162" t="s">
        <v>54</v>
      </c>
      <c r="J33" s="167"/>
      <c r="K33" s="159"/>
    </row>
    <row r="34" spans="1:11" ht="16.5" thickTop="1" thickBot="1">
      <c r="A34" s="159"/>
      <c r="B34" s="159"/>
      <c r="C34" s="159"/>
      <c r="D34" s="159"/>
      <c r="E34" s="162" t="s">
        <v>55</v>
      </c>
      <c r="F34" s="332"/>
      <c r="G34" s="163" t="s">
        <v>56</v>
      </c>
      <c r="H34" s="159"/>
      <c r="I34" s="162" t="s">
        <v>57</v>
      </c>
      <c r="J34" s="167"/>
      <c r="K34" s="159"/>
    </row>
    <row r="35" spans="1:11" ht="16.5" thickTop="1" thickBot="1">
      <c r="A35" s="159"/>
      <c r="B35" s="159"/>
      <c r="C35" s="159"/>
      <c r="D35" s="159"/>
      <c r="E35" s="162" t="s">
        <v>58</v>
      </c>
      <c r="F35" s="332"/>
      <c r="G35" s="159" t="s">
        <v>59</v>
      </c>
      <c r="H35" s="159"/>
      <c r="I35" s="162" t="s">
        <v>60</v>
      </c>
      <c r="J35" s="167"/>
      <c r="K35" s="159"/>
    </row>
    <row r="36" spans="1:11" ht="15.75" thickBot="1">
      <c r="A36" s="159"/>
      <c r="B36" s="159"/>
      <c r="C36" s="159"/>
      <c r="D36" s="159"/>
      <c r="E36" s="162" t="s">
        <v>61</v>
      </c>
      <c r="F36" s="332"/>
      <c r="G36" s="163" t="s">
        <v>62</v>
      </c>
      <c r="H36" s="159"/>
      <c r="K36" s="159"/>
    </row>
    <row r="37" spans="1:11" ht="15.75" thickBot="1">
      <c r="A37" s="159"/>
      <c r="B37" s="159"/>
      <c r="C37" s="159"/>
      <c r="D37" s="159"/>
      <c r="E37" s="162" t="s">
        <v>63</v>
      </c>
      <c r="F37" s="332"/>
      <c r="G37" s="163" t="s">
        <v>64</v>
      </c>
      <c r="H37" s="159"/>
    </row>
    <row r="38" spans="1:11" ht="15.75" thickBot="1">
      <c r="A38" s="159"/>
      <c r="B38" s="159"/>
      <c r="C38" s="159"/>
      <c r="D38" s="159"/>
      <c r="E38" s="162" t="s">
        <v>65</v>
      </c>
      <c r="F38" s="332"/>
      <c r="G38" s="163" t="s">
        <v>66</v>
      </c>
      <c r="H38" s="159"/>
    </row>
    <row r="39" spans="1:11" ht="15.75" thickBot="1">
      <c r="A39" s="159"/>
      <c r="B39" s="159"/>
      <c r="C39" s="159"/>
      <c r="D39" s="159"/>
      <c r="E39" s="162" t="s">
        <v>67</v>
      </c>
      <c r="F39" s="332"/>
      <c r="G39" s="163" t="s">
        <v>68</v>
      </c>
      <c r="H39" s="159"/>
    </row>
    <row r="40" spans="1:11" ht="15.75" thickBot="1">
      <c r="A40" s="159"/>
      <c r="B40" s="159"/>
      <c r="C40" s="159"/>
      <c r="D40" s="159"/>
      <c r="E40" s="162" t="s">
        <v>69</v>
      </c>
      <c r="F40" s="332"/>
      <c r="G40" s="163" t="s">
        <v>70</v>
      </c>
      <c r="H40" s="159"/>
      <c r="I40" s="164"/>
      <c r="J40" s="159"/>
      <c r="K40" s="159"/>
    </row>
    <row r="41" spans="1:11" ht="15">
      <c r="A41" s="159"/>
      <c r="B41" s="159"/>
      <c r="C41" s="159"/>
      <c r="D41" s="159"/>
      <c r="H41" s="159"/>
    </row>
    <row r="42" spans="1:11" ht="15.75" thickBot="1">
      <c r="A42" s="159"/>
      <c r="B42" s="159"/>
      <c r="C42" s="159"/>
      <c r="D42" s="159"/>
      <c r="E42" s="159" t="s">
        <v>71</v>
      </c>
      <c r="F42" s="159"/>
      <c r="G42" s="159"/>
      <c r="H42" s="159"/>
    </row>
    <row r="43" spans="1:11" ht="16.5" thickTop="1" thickBot="1">
      <c r="A43" s="159"/>
      <c r="B43" s="159"/>
      <c r="C43" s="159"/>
      <c r="D43" s="159"/>
      <c r="E43" s="164" t="s">
        <v>72</v>
      </c>
      <c r="F43" s="167"/>
      <c r="G43" s="159" t="s">
        <v>73</v>
      </c>
      <c r="H43" s="159"/>
    </row>
    <row r="44" spans="1:11" ht="16.5" thickTop="1" thickBot="1">
      <c r="A44" s="159"/>
      <c r="B44" s="159"/>
      <c r="C44" s="159"/>
      <c r="D44" s="159"/>
      <c r="E44" s="164" t="s">
        <v>74</v>
      </c>
      <c r="F44" s="167"/>
      <c r="G44" s="159" t="s">
        <v>75</v>
      </c>
      <c r="H44" s="159"/>
    </row>
    <row r="45" spans="1:11" ht="15.75" thickTop="1">
      <c r="A45" s="159"/>
      <c r="B45" s="159"/>
      <c r="C45" s="159"/>
      <c r="D45" s="159"/>
      <c r="H45" s="159"/>
    </row>
    <row r="46" spans="1:11" ht="15.75" thickBot="1">
      <c r="A46" s="159"/>
      <c r="B46" s="159"/>
      <c r="C46" s="159"/>
      <c r="D46" s="159"/>
      <c r="E46" s="159" t="s">
        <v>76</v>
      </c>
      <c r="F46" s="2"/>
      <c r="G46" s="2"/>
      <c r="H46" s="2"/>
    </row>
    <row r="47" spans="1:11" ht="15.75" thickBot="1">
      <c r="A47" s="159"/>
      <c r="B47" s="159"/>
      <c r="C47" s="159"/>
      <c r="D47" s="159"/>
      <c r="E47" s="164" t="s">
        <v>77</v>
      </c>
      <c r="F47" s="173"/>
      <c r="G47" s="163" t="s">
        <v>78</v>
      </c>
      <c r="H47" s="2"/>
    </row>
    <row r="48" spans="1:11" ht="15">
      <c r="A48" s="159"/>
      <c r="B48" s="159"/>
      <c r="C48" s="159"/>
      <c r="D48" s="159"/>
      <c r="H48" s="2"/>
    </row>
    <row r="49" spans="1:12" ht="15">
      <c r="A49" s="159"/>
      <c r="B49" s="159"/>
      <c r="C49" s="159"/>
      <c r="D49" s="159"/>
      <c r="H49" s="2"/>
      <c r="I49" s="164"/>
      <c r="J49" s="159"/>
      <c r="K49" s="163"/>
      <c r="L49" s="2"/>
    </row>
    <row r="50" spans="1:12" ht="15">
      <c r="A50" s="159"/>
      <c r="B50" s="37" t="s">
        <v>79</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16384" width="9" hidden="1"/>
  </cols>
  <sheetData>
    <row r="1" spans="1:49" s="82" customFormat="1" ht="19.5">
      <c r="A1" s="195" t="s">
        <v>947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s="82" customFormat="1"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s="82" customFormat="1"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5">
      <c r="A6" s="2"/>
      <c r="B6" s="22" t="s">
        <v>948</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s="2" customFormat="1" ht="15">
      <c r="B7" s="4" t="s">
        <v>949</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5">
      <c r="A9" s="2"/>
      <c r="B9" s="2"/>
      <c r="C9" s="20" t="s">
        <v>544</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5">
      <c r="B11" s="34"/>
      <c r="C11" s="34"/>
      <c r="D11" s="34"/>
      <c r="E11" s="34" t="s">
        <v>547</v>
      </c>
      <c r="F11" s="34"/>
      <c r="G11" s="2" t="s">
        <v>550</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4"/>
      <c r="AR11" s="454">
        <f>InputSummary!AR21</f>
        <v>1</v>
      </c>
      <c r="AS11" s="454">
        <f>InputSummary!AS21</f>
        <v>0</v>
      </c>
      <c r="AT11" s="454">
        <f>InputSummary!AT21</f>
        <v>0</v>
      </c>
      <c r="AU11" s="454">
        <f>InputSummary!AU21</f>
        <v>0</v>
      </c>
      <c r="AV11" s="454">
        <f>InputSummary!AV21</f>
        <v>0</v>
      </c>
    </row>
    <row r="12" spans="1:49" s="2" customFormat="1" ht="15">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5">
      <c r="C13" s="28" t="s">
        <v>950</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5">
      <c r="I14" s="182"/>
      <c r="AQ14" s="147"/>
    </row>
    <row r="15" spans="1:49" s="82" customFormat="1" ht="15">
      <c r="E15" s="2" t="s">
        <v>951</v>
      </c>
      <c r="G15" s="2" t="s">
        <v>100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92">
        <f>InputSummary!AR$194</f>
        <v>1.2891506141768156</v>
      </c>
      <c r="AS15" s="92">
        <f>InputSummary!AS$194</f>
        <v>1.3284361388165782</v>
      </c>
      <c r="AT15" s="92">
        <f>InputSummary!AT$194</f>
        <v>1.3511547218960771</v>
      </c>
      <c r="AU15" s="92">
        <f>InputSummary!AU$194</f>
        <v>1.3719916643626167</v>
      </c>
      <c r="AV15" s="92">
        <f>InputSummary!AV$194</f>
        <v>1.3966351746111914</v>
      </c>
    </row>
    <row r="16" spans="1:49" s="82" customFormat="1"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5">
      <c r="A17" s="2"/>
      <c r="B17" s="2"/>
      <c r="C17" s="20" t="s">
        <v>952</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5">
      <c r="A18" s="2"/>
      <c r="B18" s="2"/>
      <c r="C18" s="4" t="s">
        <v>953</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5">
      <c r="A20" s="2"/>
      <c r="B20" s="2"/>
      <c r="C20" s="2"/>
      <c r="D20" s="10" t="s">
        <v>954</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5">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2"/>
      <c r="AR21" s="27"/>
      <c r="AS21" s="27"/>
      <c r="AT21" s="27"/>
      <c r="AU21" s="27"/>
      <c r="AV21" s="27"/>
      <c r="AW21" s="2"/>
    </row>
    <row r="22" spans="1:49" s="82" customFormat="1" ht="15">
      <c r="A22" s="2"/>
      <c r="B22" s="2"/>
      <c r="C22" s="2"/>
      <c r="D22" s="2"/>
      <c r="E22" s="7" t="s">
        <v>129</v>
      </c>
      <c r="F22" s="2"/>
      <c r="G22" s="2" t="s">
        <v>105</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16.831800059714652</v>
      </c>
      <c r="AS22" s="8">
        <f>Totex!AS75</f>
        <v>28.766955469879935</v>
      </c>
      <c r="AT22" s="8">
        <f>Totex!AT75</f>
        <v>30.491847031722671</v>
      </c>
      <c r="AU22" s="8">
        <f>Totex!AU75</f>
        <v>33.330006366125261</v>
      </c>
      <c r="AV22" s="8">
        <f>Totex!AV75</f>
        <v>24.158240451759578</v>
      </c>
      <c r="AW22" s="2"/>
    </row>
    <row r="23" spans="1:49" s="82" customFormat="1" ht="15">
      <c r="A23" s="2"/>
      <c r="B23" s="2"/>
      <c r="C23" s="2"/>
      <c r="D23" s="2"/>
      <c r="E23" s="7" t="s">
        <v>955</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45.581264146446259</v>
      </c>
      <c r="AS23" s="8">
        <f>Totex!AS76</f>
        <v>62.918254679822383</v>
      </c>
      <c r="AT23" s="8">
        <f>Totex!AT76</f>
        <v>74.862672769446249</v>
      </c>
      <c r="AU23" s="8">
        <f>Totex!AU76</f>
        <v>72.843036591530648</v>
      </c>
      <c r="AV23" s="8">
        <f>Totex!AV76</f>
        <v>70.113198889340723</v>
      </c>
      <c r="AW23" s="2"/>
    </row>
    <row r="24" spans="1:49" s="82" customFormat="1" ht="15">
      <c r="A24" s="2"/>
      <c r="B24" s="2"/>
      <c r="C24" s="2"/>
      <c r="D24" s="2"/>
      <c r="E24" s="7" t="s">
        <v>956</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23.077417548874926</v>
      </c>
      <c r="AS24" s="8">
        <f>Totex!AS77</f>
        <v>36.32030815845372</v>
      </c>
      <c r="AT24" s="8">
        <f>Totex!AT77</f>
        <v>41.055375315981237</v>
      </c>
      <c r="AU24" s="8">
        <f>Totex!AU77</f>
        <v>35.975301480723246</v>
      </c>
      <c r="AV24" s="8">
        <f>Totex!AV77</f>
        <v>22.554527542143035</v>
      </c>
      <c r="AW24" s="2"/>
    </row>
    <row r="25" spans="1:49" s="82" customFormat="1" ht="15">
      <c r="A25" s="2"/>
      <c r="B25" s="2"/>
      <c r="C25" s="2"/>
      <c r="D25" s="2"/>
      <c r="E25" s="7" t="s">
        <v>957</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27.703300516138484</v>
      </c>
      <c r="AS25" s="8">
        <f>Totex!AS78</f>
        <v>29.490477993800184</v>
      </c>
      <c r="AT25" s="8">
        <f>Totex!AT78</f>
        <v>29.528860632521543</v>
      </c>
      <c r="AU25" s="8">
        <f>Totex!AU78</f>
        <v>29.553204470273357</v>
      </c>
      <c r="AV25" s="8">
        <f>Totex!AV78</f>
        <v>29.584603555058059</v>
      </c>
      <c r="AW25" s="2"/>
    </row>
    <row r="26" spans="1:49" s="82" customFormat="1" ht="15">
      <c r="A26" s="2"/>
      <c r="B26" s="2"/>
      <c r="C26" s="2"/>
      <c r="D26" s="2"/>
      <c r="E26" s="7" t="s">
        <v>958</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3.497849952457512</v>
      </c>
      <c r="AS26" s="8">
        <f>Totex!AS79</f>
        <v>6.0335689889629887</v>
      </c>
      <c r="AT26" s="8">
        <f>Totex!AT79</f>
        <v>4.1967251720223633</v>
      </c>
      <c r="AU26" s="8">
        <f>Totex!AU79</f>
        <v>4.1790438753201657</v>
      </c>
      <c r="AV26" s="8">
        <f>Totex!AV79</f>
        <v>4.3620959591330903</v>
      </c>
      <c r="AW26" s="2"/>
    </row>
    <row r="27" spans="1:49" s="82" customFormat="1" ht="15">
      <c r="A27" s="2"/>
      <c r="B27" s="2"/>
      <c r="C27" s="2"/>
      <c r="D27" s="2"/>
      <c r="E27" s="7" t="s">
        <v>959</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6.3093940938820356</v>
      </c>
      <c r="AS27" s="8">
        <f>Totex!AS80</f>
        <v>6.3712449237630864</v>
      </c>
      <c r="AT27" s="8">
        <f>Totex!AT80</f>
        <v>6.3718517862666531</v>
      </c>
      <c r="AU27" s="8">
        <f>Totex!AU80</f>
        <v>6.4381156839255151</v>
      </c>
      <c r="AV27" s="8">
        <f>Totex!AV80</f>
        <v>6.3775426168462737</v>
      </c>
      <c r="AW27" s="2"/>
    </row>
    <row r="28" spans="1:49" s="82" customFormat="1" ht="15">
      <c r="A28" s="2"/>
      <c r="B28" s="2"/>
      <c r="C28" s="2"/>
      <c r="D28" s="2"/>
      <c r="E28" s="7" t="s">
        <v>960</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64.867657944494653</v>
      </c>
      <c r="AS28" s="8">
        <f>Totex!AS81</f>
        <v>73.693751752695036</v>
      </c>
      <c r="AT28" s="8">
        <f>Totex!AT81</f>
        <v>74.360301628938984</v>
      </c>
      <c r="AU28" s="8">
        <f>Totex!AU81</f>
        <v>74.727133537189204</v>
      </c>
      <c r="AV28" s="8">
        <f>Totex!AV81</f>
        <v>73.769859734500912</v>
      </c>
      <c r="AW28" s="2"/>
    </row>
    <row r="29" spans="1:49" s="82" customFormat="1" ht="15">
      <c r="A29" s="2"/>
      <c r="B29" s="2"/>
      <c r="C29" s="2"/>
      <c r="D29" s="2"/>
      <c r="E29" s="13" t="s">
        <v>961</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3"/>
      <c r="AR29" s="431">
        <f t="shared" ref="AR29:AV29" si="0">SUM(AR22:AR28)</f>
        <v>187.86868426200851</v>
      </c>
      <c r="AS29" s="431">
        <f t="shared" si="0"/>
        <v>243.59456196737733</v>
      </c>
      <c r="AT29" s="431">
        <f t="shared" si="0"/>
        <v>260.8676343368997</v>
      </c>
      <c r="AU29" s="431">
        <f t="shared" si="0"/>
        <v>257.04584200508737</v>
      </c>
      <c r="AV29" s="431">
        <f t="shared" si="0"/>
        <v>230.92006874878166</v>
      </c>
      <c r="AW29" s="2"/>
    </row>
    <row r="30" spans="1:49" s="82" customFormat="1" ht="15">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5">
      <c r="A31" s="2"/>
      <c r="B31" s="2"/>
      <c r="C31" s="2"/>
      <c r="D31" s="10" t="s">
        <v>962</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5">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2"/>
      <c r="AR32" s="27"/>
      <c r="AS32" s="27"/>
      <c r="AT32" s="27"/>
      <c r="AU32" s="27"/>
      <c r="AV32" s="27"/>
      <c r="AW32" s="2"/>
    </row>
    <row r="33" spans="1:49" s="82" customFormat="1" ht="15">
      <c r="A33" s="2"/>
      <c r="B33" s="2"/>
      <c r="C33" s="2"/>
      <c r="D33" s="2"/>
      <c r="E33" s="2" t="s">
        <v>963</v>
      </c>
      <c r="F33" s="2"/>
      <c r="G33" s="2" t="s">
        <v>105</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47.273409133187982</v>
      </c>
      <c r="AS33" s="8">
        <f>InputSummary!AS97</f>
        <v>2.0850963412769374E-2</v>
      </c>
      <c r="AT33" s="8">
        <f>InputSummary!AT97</f>
        <v>32.088294548153613</v>
      </c>
      <c r="AU33" s="8">
        <f>InputSummary!AU97</f>
        <v>32.431332171924097</v>
      </c>
      <c r="AV33" s="8">
        <f>InputSummary!AV97</f>
        <v>32.641919857311827</v>
      </c>
      <c r="AW33" s="2"/>
    </row>
    <row r="34" spans="1:49" s="82" customFormat="1" ht="15">
      <c r="A34" s="2"/>
      <c r="B34" s="2"/>
      <c r="C34" s="2"/>
      <c r="D34" s="2"/>
      <c r="E34" s="2" t="s">
        <v>964</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1.1689793067469152</v>
      </c>
      <c r="AS34" s="8">
        <f>InputSummary!AS124 * (-1)</f>
        <v>0.72105080789491205</v>
      </c>
      <c r="AT34" s="8">
        <f>InputSummary!AT124 * (-1)</f>
        <v>0.72105080789491205</v>
      </c>
      <c r="AU34" s="8">
        <f>InputSummary!AU124 * (-1)</f>
        <v>0.72105080789491205</v>
      </c>
      <c r="AV34" s="8">
        <f>InputSummary!AV124 * (-1)</f>
        <v>0.67135196842035205</v>
      </c>
      <c r="AW34" s="2"/>
    </row>
    <row r="35" spans="1:49" s="82" customFormat="1" ht="15">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5">
      <c r="A36" s="2"/>
      <c r="B36" s="2"/>
      <c r="C36" s="20" t="s">
        <v>965</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5">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5">
      <c r="E38" s="82" t="s">
        <v>624</v>
      </c>
      <c r="G38" s="7" t="s">
        <v>209</v>
      </c>
      <c r="AJ38" s="193"/>
      <c r="AK38" s="193"/>
      <c r="AL38" s="193"/>
      <c r="AM38" s="193"/>
      <c r="AN38" s="193"/>
      <c r="AO38" s="193"/>
      <c r="AP38" s="193"/>
      <c r="AQ38" s="187"/>
      <c r="AR38" s="49">
        <f>SUMPRODUCT(AR$22:AR$28,InputSummary!AR436:AR442)/SUM(Totex!AR$75:AR$81)</f>
        <v>8.9495357413780216E-2</v>
      </c>
      <c r="AS38" s="49">
        <f>SUMPRODUCT(AS$22:AS$28,InputSummary!AS436:AS442)/SUM(Totex!AS$75:AS$81)</f>
        <v>8.9161788981708359E-2</v>
      </c>
      <c r="AT38" s="49">
        <f>SUMPRODUCT(AT$22:AT$28,InputSummary!AT436:AT442)/SUM(Totex!AT$75:AT$81)</f>
        <v>9.9326666730763374E-2</v>
      </c>
      <c r="AU38" s="49">
        <f>SUMPRODUCT(AU$22:AU$28,InputSummary!AU436:AU442)/SUM(Totex!AU$75:AU$81)</f>
        <v>8.8350216475081983E-2</v>
      </c>
      <c r="AV38" s="49">
        <f>SUMPRODUCT(AV$22:AV$28,InputSummary!AV436:AV442)/SUM(Totex!AV$75:AV$81)</f>
        <v>6.7723353065490446E-2</v>
      </c>
    </row>
    <row r="39" spans="1:49" s="82" customFormat="1" ht="15">
      <c r="E39" s="82" t="s">
        <v>625</v>
      </c>
      <c r="G39" s="7" t="s">
        <v>209</v>
      </c>
      <c r="AJ39" s="193"/>
      <c r="AK39" s="193"/>
      <c r="AL39" s="193"/>
      <c r="AM39" s="193"/>
      <c r="AN39" s="193"/>
      <c r="AO39" s="193"/>
      <c r="AP39" s="193"/>
      <c r="AQ39" s="187"/>
      <c r="AR39" s="49">
        <f>SUMPRODUCT(AR$22:AR$28,InputSummary!AR443:AR449)/SUM(Totex!AR$75:AR$81)</f>
        <v>0.15667596686740637</v>
      </c>
      <c r="AS39" s="49">
        <f>SUMPRODUCT(AS$22:AS$28,InputSummary!AS443:AS449)/SUM(Totex!AS$75:AS$81)</f>
        <v>0.19270577262485844</v>
      </c>
      <c r="AT39" s="49">
        <f>SUMPRODUCT(AT$22:AT$28,InputSummary!AT443:AT449)/SUM(Totex!AT$75:AT$81)</f>
        <v>0.17501108688739722</v>
      </c>
      <c r="AU39" s="49">
        <f>SUMPRODUCT(AU$22:AU$28,InputSummary!AU443:AU449)/SUM(Totex!AU$75:AU$81)</f>
        <v>0.16768500040564915</v>
      </c>
      <c r="AV39" s="49">
        <f>SUMPRODUCT(AV$22:AV$28,InputSummary!AV443:AV449)/SUM(Totex!AV$75:AV$81)</f>
        <v>0.13840672534203238</v>
      </c>
    </row>
    <row r="40" spans="1:49" s="82" customFormat="1" ht="15">
      <c r="E40" s="82" t="s">
        <v>626</v>
      </c>
      <c r="G40" s="7" t="s">
        <v>209</v>
      </c>
      <c r="AJ40" s="193"/>
      <c r="AK40" s="193"/>
      <c r="AL40" s="193"/>
      <c r="AM40" s="193"/>
      <c r="AN40" s="193"/>
      <c r="AO40" s="193"/>
      <c r="AP40" s="193"/>
      <c r="AQ40" s="187"/>
      <c r="AR40" s="49">
        <f>SUMPRODUCT(AR$22:AR$28,InputSummary!AR450:AR456)/SUM(Totex!AR$75:AR$81)</f>
        <v>0.49913654284374709</v>
      </c>
      <c r="AS40" s="49">
        <f>SUMPRODUCT(AS$22:AS$28,InputSummary!AS450:AS456)/SUM(Totex!AS$75:AS$81)</f>
        <v>0.48912191763803486</v>
      </c>
      <c r="AT40" s="49">
        <f>SUMPRODUCT(AT$22:AT$28,InputSummary!AT450:AT456)/SUM(Totex!AT$75:AT$81)</f>
        <v>0.48431595557851498</v>
      </c>
      <c r="AU40" s="49">
        <f>SUMPRODUCT(AU$22:AU$28,InputSummary!AU450:AU456)/SUM(Totex!AU$75:AU$81)</f>
        <v>0.49720886598345243</v>
      </c>
      <c r="AV40" s="49">
        <f>SUMPRODUCT(AV$22:AV$28,InputSummary!AV450:AV456)/SUM(Totex!AV$75:AV$81)</f>
        <v>0.55123507157050033</v>
      </c>
    </row>
    <row r="41" spans="1:49" s="82" customFormat="1" ht="15">
      <c r="E41" s="82" t="s">
        <v>627</v>
      </c>
      <c r="G41" s="7" t="s">
        <v>209</v>
      </c>
      <c r="AJ41" s="193"/>
      <c r="AK41" s="193"/>
      <c r="AL41" s="193"/>
      <c r="AM41" s="193"/>
      <c r="AN41" s="193"/>
      <c r="AO41" s="193"/>
      <c r="AP41" s="193"/>
      <c r="AQ41" s="187"/>
      <c r="AR41" s="49">
        <f>SUMPRODUCT(AR$22:AR$28,InputSummary!AR457:AR463)/SUM(Totex!AR$75:AR$81)</f>
        <v>0</v>
      </c>
      <c r="AS41" s="49">
        <f>SUMPRODUCT(AS$22:AS$28,InputSummary!AS457:AS463)/SUM(Totex!AS$75:AS$81)</f>
        <v>0</v>
      </c>
      <c r="AT41" s="49">
        <f>SUMPRODUCT(AT$22:AT$28,InputSummary!AT457:AT463)/SUM(Totex!AT$75:AT$81)</f>
        <v>0</v>
      </c>
      <c r="AU41" s="49">
        <f>SUMPRODUCT(AU$22:AU$28,InputSummary!AU457:AU463)/SUM(Totex!AU$75:AU$81)</f>
        <v>0</v>
      </c>
      <c r="AV41" s="49">
        <f>SUMPRODUCT(AV$22:AV$28,InputSummary!AV457:AV463)/SUM(Totex!AV$75:AV$81)</f>
        <v>0</v>
      </c>
    </row>
    <row r="42" spans="1:49" s="82" customFormat="1" ht="15">
      <c r="E42" s="82" t="s">
        <v>628</v>
      </c>
      <c r="G42" s="7" t="s">
        <v>209</v>
      </c>
      <c r="AJ42" s="193"/>
      <c r="AK42" s="193"/>
      <c r="AL42" s="193"/>
      <c r="AM42" s="193"/>
      <c r="AN42" s="193"/>
      <c r="AO42" s="193"/>
      <c r="AP42" s="193"/>
      <c r="AQ42" s="187"/>
      <c r="AR42" s="49">
        <f>SUMPRODUCT(AR$22:AR$28,InputSummary!AR464:AR470)/SUM(Totex!AR$75:AR$81)</f>
        <v>0.22490410992664292</v>
      </c>
      <c r="AS42" s="49">
        <f>SUMPRODUCT(AS$22:AS$28,InputSummary!AS464:AS470)/SUM(Totex!AS$75:AS$81)</f>
        <v>0.20584859965420166</v>
      </c>
      <c r="AT42" s="49">
        <f>SUMPRODUCT(AT$22:AT$28,InputSummary!AT464:AT470)/SUM(Totex!AT$75:AT$81)</f>
        <v>0.18883681140059663</v>
      </c>
      <c r="AU42" s="49">
        <f>SUMPRODUCT(AU$22:AU$28,InputSummary!AU464:AU470)/SUM(Totex!AU$75:AU$81)</f>
        <v>0.19329749543274935</v>
      </c>
      <c r="AV42" s="49">
        <f>SUMPRODUCT(AV$22:AV$28,InputSummary!AV464:AV470)/SUM(Totex!AV$75:AV$81)</f>
        <v>0.21283415794821353</v>
      </c>
    </row>
    <row r="43" spans="1:49" s="82" customFormat="1" ht="15">
      <c r="E43" s="82" t="s">
        <v>629</v>
      </c>
      <c r="G43" s="7" t="s">
        <v>209</v>
      </c>
      <c r="AJ43" s="193"/>
      <c r="AK43" s="193"/>
      <c r="AL43" s="193"/>
      <c r="AM43" s="193"/>
      <c r="AN43" s="193"/>
      <c r="AO43" s="193"/>
      <c r="AP43" s="193"/>
      <c r="AQ43" s="187"/>
      <c r="AR43" s="49">
        <f>SUMPRODUCT(AR$22:AR$28,InputSummary!AR471:AR477)/SUM(Totex!AR$75:AR$81)</f>
        <v>2.9788022948423434E-2</v>
      </c>
      <c r="AS43" s="49">
        <f>SUMPRODUCT(AS$22:AS$28,InputSummary!AS471:AS477)/SUM(Totex!AS$75:AS$81)</f>
        <v>2.3161921101196727E-2</v>
      </c>
      <c r="AT43" s="49">
        <f>SUMPRODUCT(AT$22:AT$28,InputSummary!AT471:AT477)/SUM(Totex!AT$75:AT$81)</f>
        <v>5.2509479402727835E-2</v>
      </c>
      <c r="AU43" s="49">
        <f>SUMPRODUCT(AU$22:AU$28,InputSummary!AU471:AU477)/SUM(Totex!AU$75:AU$81)</f>
        <v>5.3458421703067138E-2</v>
      </c>
      <c r="AV43" s="49">
        <f>SUMPRODUCT(AV$22:AV$28,InputSummary!AV471:AV477)/SUM(Totex!AV$75:AV$81)</f>
        <v>2.9800692073763433E-2</v>
      </c>
    </row>
    <row r="44" spans="1:49" s="82" customFormat="1" ht="15">
      <c r="E44" s="182" t="s">
        <v>21</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5">
      <c r="AQ45" s="147"/>
    </row>
    <row r="46" spans="1:49" s="82" customFormat="1" ht="15">
      <c r="E46" s="82" t="s">
        <v>966</v>
      </c>
      <c r="G46" s="2" t="s">
        <v>105</v>
      </c>
      <c r="AJ46" s="307"/>
      <c r="AK46" s="307"/>
      <c r="AL46" s="307"/>
      <c r="AM46" s="307"/>
      <c r="AN46" s="307"/>
      <c r="AO46" s="307"/>
      <c r="AP46" s="307"/>
      <c r="AQ46" s="308"/>
      <c r="AR46" s="307">
        <f t="shared" ref="AR46:AV49" si="2">AR38 * AR$29</f>
        <v>16.813375044885078</v>
      </c>
      <c r="AS46" s="307">
        <f t="shared" si="2"/>
        <v>21.719326931226977</v>
      </c>
      <c r="AT46" s="307">
        <f t="shared" si="2"/>
        <v>25.911112576623882</v>
      </c>
      <c r="AU46" s="307">
        <f t="shared" si="2"/>
        <v>22.710055785169189</v>
      </c>
      <c r="AV46" s="307">
        <f t="shared" si="2"/>
        <v>15.638681345781068</v>
      </c>
    </row>
    <row r="47" spans="1:49" s="82" customFormat="1" ht="15">
      <c r="E47" s="82" t="s">
        <v>967</v>
      </c>
      <c r="G47" s="2" t="s">
        <v>105</v>
      </c>
      <c r="AJ47" s="307"/>
      <c r="AK47" s="307"/>
      <c r="AL47" s="307"/>
      <c r="AM47" s="307"/>
      <c r="AN47" s="307"/>
      <c r="AO47" s="307"/>
      <c r="AP47" s="307"/>
      <c r="AQ47" s="308"/>
      <c r="AR47" s="307">
        <f t="shared" si="2"/>
        <v>29.434507750857673</v>
      </c>
      <c r="AS47" s="307">
        <f t="shared" si="2"/>
        <v>46.942078271137404</v>
      </c>
      <c r="AT47" s="307">
        <f t="shared" si="2"/>
        <v>45.65472821904492</v>
      </c>
      <c r="AU47" s="307">
        <f t="shared" si="2"/>
        <v>43.102732120893506</v>
      </c>
      <c r="AV47" s="307">
        <f t="shared" si="2"/>
        <v>31.960890531275858</v>
      </c>
    </row>
    <row r="48" spans="1:49" s="82" customFormat="1" ht="15">
      <c r="E48" s="82" t="s">
        <v>968</v>
      </c>
      <c r="G48" s="2" t="s">
        <v>105</v>
      </c>
      <c r="AJ48" s="307"/>
      <c r="AK48" s="307"/>
      <c r="AL48" s="307"/>
      <c r="AM48" s="307"/>
      <c r="AN48" s="307"/>
      <c r="AO48" s="307"/>
      <c r="AP48" s="307"/>
      <c r="AQ48" s="308"/>
      <c r="AR48" s="307">
        <f t="shared" si="2"/>
        <v>93.772125571142411</v>
      </c>
      <c r="AS48" s="307">
        <f t="shared" si="2"/>
        <v>119.14743927568071</v>
      </c>
      <c r="AT48" s="307">
        <f t="shared" si="2"/>
        <v>126.3423576033822</v>
      </c>
      <c r="AU48" s="307">
        <f t="shared" si="2"/>
        <v>127.80547160911117</v>
      </c>
      <c r="AV48" s="307">
        <f t="shared" si="2"/>
        <v>127.29124062379951</v>
      </c>
    </row>
    <row r="49" spans="1:49" s="82" customFormat="1" ht="15">
      <c r="E49" s="82" t="s">
        <v>969</v>
      </c>
      <c r="G49" s="2" t="s">
        <v>105</v>
      </c>
      <c r="AJ49" s="307"/>
      <c r="AK49" s="307"/>
      <c r="AL49" s="307"/>
      <c r="AM49" s="307"/>
      <c r="AN49" s="307"/>
      <c r="AO49" s="307"/>
      <c r="AP49" s="307"/>
      <c r="AQ49" s="308"/>
      <c r="AR49" s="307">
        <f t="shared" si="2"/>
        <v>0</v>
      </c>
      <c r="AS49" s="307">
        <f t="shared" si="2"/>
        <v>0</v>
      </c>
      <c r="AT49" s="307">
        <f t="shared" si="2"/>
        <v>0</v>
      </c>
      <c r="AU49" s="307">
        <f t="shared" si="2"/>
        <v>0</v>
      </c>
      <c r="AV49" s="307">
        <f t="shared" si="2"/>
        <v>0</v>
      </c>
    </row>
    <row r="50" spans="1:49" s="82" customFormat="1" ht="15">
      <c r="E50" s="82" t="s">
        <v>970</v>
      </c>
      <c r="G50" s="2" t="s">
        <v>105</v>
      </c>
      <c r="AJ50" s="307"/>
      <c r="AK50" s="307"/>
      <c r="AL50" s="307"/>
      <c r="AM50" s="307"/>
      <c r="AN50" s="307"/>
      <c r="AO50" s="307"/>
      <c r="AP50" s="307"/>
      <c r="AQ50" s="308"/>
      <c r="AR50" s="307">
        <f>AR42 * AR$29 + AR33 + AR34</f>
        <v>90.694827656971441</v>
      </c>
      <c r="AS50" s="307">
        <f t="shared" ref="AS50:AV50" si="3">AS42 * AS$29 + AS33 + AS34</f>
        <v>50.885501235670958</v>
      </c>
      <c r="AT50" s="307">
        <f t="shared" si="3"/>
        <v>82.070757621845459</v>
      </c>
      <c r="AU50" s="307">
        <f t="shared" si="3"/>
        <v>82.838700450804595</v>
      </c>
      <c r="AV50" s="307">
        <f t="shared" si="3"/>
        <v>82.460950211222709</v>
      </c>
    </row>
    <row r="51" spans="1:49" s="82" customFormat="1" ht="15">
      <c r="E51" s="82" t="s">
        <v>971</v>
      </c>
      <c r="G51" s="2" t="s">
        <v>105</v>
      </c>
      <c r="AJ51" s="307"/>
      <c r="AK51" s="307"/>
      <c r="AL51" s="307"/>
      <c r="AM51" s="307"/>
      <c r="AN51" s="307"/>
      <c r="AO51" s="307"/>
      <c r="AP51" s="307"/>
      <c r="AQ51" s="308"/>
      <c r="AR51" s="307">
        <f>AR43 * AR$29</f>
        <v>5.596236678086826</v>
      </c>
      <c r="AS51" s="307">
        <f>AS43 * AS$29</f>
        <v>5.6421180249689709</v>
      </c>
      <c r="AT51" s="307">
        <f>AT43 * AT$29</f>
        <v>13.698023672051772</v>
      </c>
      <c r="AU51" s="307">
        <f>AU43 * AU$29</f>
        <v>13.74126501892793</v>
      </c>
      <c r="AV51" s="307">
        <f>AV43 * AV$29</f>
        <v>6.8815778624347246</v>
      </c>
    </row>
    <row r="52" spans="1:49" s="82" customFormat="1" ht="15">
      <c r="AQ52" s="147"/>
    </row>
    <row r="53" spans="1:49" s="82" customFormat="1" ht="15">
      <c r="A53" s="2"/>
      <c r="B53" s="22" t="s">
        <v>972</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7"/>
      <c r="AR53" s="22"/>
      <c r="AS53" s="22"/>
      <c r="AT53" s="22"/>
      <c r="AU53" s="22"/>
      <c r="AV53" s="22"/>
      <c r="AW53" s="2"/>
    </row>
    <row r="54" spans="1:49" s="2" customFormat="1" ht="15">
      <c r="B54" s="4" t="s">
        <v>973</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5">
      <c r="B55" s="4" t="s">
        <v>974</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5">
      <c r="AQ56" s="147"/>
    </row>
    <row r="57" spans="1:49" s="21" customFormat="1" ht="15">
      <c r="C57" s="28" t="s">
        <v>975</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5">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5">
      <c r="A59" s="82"/>
      <c r="E59" s="21" t="s">
        <v>976</v>
      </c>
      <c r="G59" s="21" t="s">
        <v>209</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6"/>
      <c r="AR59" s="132">
        <f>InputSummary!AR265</f>
        <v>0.18</v>
      </c>
      <c r="AS59" s="132">
        <f>InputSummary!AS265</f>
        <v>0.18</v>
      </c>
      <c r="AT59" s="132">
        <f>InputSummary!AT265</f>
        <v>0.18</v>
      </c>
      <c r="AU59" s="132">
        <f>InputSummary!AU265</f>
        <v>0.18</v>
      </c>
      <c r="AV59" s="132">
        <f>InputSummary!AV265</f>
        <v>0.18</v>
      </c>
      <c r="AW59" s="7"/>
    </row>
    <row r="60" spans="1:49" s="21" customFormat="1" ht="15">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5">
      <c r="A61" s="82"/>
      <c r="C61" s="73"/>
      <c r="E61" s="74" t="s">
        <v>977</v>
      </c>
      <c r="G61" s="21" t="s">
        <v>304</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7"/>
      <c r="AR61" s="79">
        <f>InputSummary!AR272</f>
        <v>52.108534054652672</v>
      </c>
      <c r="AS61" s="79">
        <f>InputSummary!AS272</f>
        <v>0</v>
      </c>
      <c r="AT61" s="79">
        <f>InputSummary!AT272</f>
        <v>0</v>
      </c>
      <c r="AU61" s="79">
        <f>InputSummary!AU272</f>
        <v>0</v>
      </c>
      <c r="AV61" s="79">
        <f>InputSummary!AV272</f>
        <v>0</v>
      </c>
    </row>
    <row r="62" spans="1:49" s="21" customFormat="1" ht="15">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5">
      <c r="A63" s="82"/>
      <c r="E63" s="21" t="s">
        <v>978</v>
      </c>
      <c r="G63" s="21" t="s">
        <v>304</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52.108534054652672</v>
      </c>
      <c r="AS63" s="7">
        <f>AR68 + AS61</f>
        <v>60.502475592524164</v>
      </c>
      <c r="AT63" s="7">
        <f>AS68 + AT61</f>
        <v>61.611874456948279</v>
      </c>
      <c r="AU63" s="7">
        <f>AT68 + AU61</f>
        <v>63.709407924197578</v>
      </c>
      <c r="AV63" s="7">
        <f>AU68 + AV61</f>
        <v>58.958743130042009</v>
      </c>
      <c r="AW63" s="7"/>
    </row>
    <row r="64" spans="1:49" s="21" customFormat="1" ht="15">
      <c r="A64" s="82"/>
      <c r="E64" s="21" t="s">
        <v>979</v>
      </c>
      <c r="G64" s="21" t="s">
        <v>304</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SelectedInputs!AR283</f>
        <v>0</v>
      </c>
      <c r="AS64" s="7">
        <f>SelectedInputs!AS283</f>
        <v>-14.218782134167178</v>
      </c>
      <c r="AT64" s="7">
        <f>SelectedInputs!AT283</f>
        <v>-18.927396656876439</v>
      </c>
      <c r="AU64" s="7">
        <f>SelectedInputs!AU283</f>
        <v>-22.966508902510938</v>
      </c>
      <c r="AV64" s="7">
        <f>SelectedInputs!AV283</f>
        <v>0</v>
      </c>
      <c r="AW64" s="7"/>
    </row>
    <row r="65" spans="1:49" s="21" customFormat="1" ht="15">
      <c r="A65" s="82"/>
      <c r="E65" s="21" t="s">
        <v>980</v>
      </c>
      <c r="G65" s="21" t="s">
        <v>304</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21.674972765498744</v>
      </c>
      <c r="AS65" s="7">
        <f>AS$46 * AS$15</f>
        <v>28.852738806214084</v>
      </c>
      <c r="AT65" s="7">
        <f>AT$46 * AT$15</f>
        <v>35.00992210748619</v>
      </c>
      <c r="AU65" s="7">
        <f>AU$46 * AU$15</f>
        <v>31.158007234462147</v>
      </c>
      <c r="AV65" s="7">
        <f>AV$46 * AV$15</f>
        <v>21.841532452053723</v>
      </c>
      <c r="AW65" s="7"/>
    </row>
    <row r="66" spans="1:49" s="21" customFormat="1" ht="15">
      <c r="A66" s="82"/>
      <c r="E66" s="21" t="s">
        <v>981</v>
      </c>
      <c r="G66" s="21" t="s">
        <v>304</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3"/>
      <c r="AR66" s="431">
        <f>SUM(AR63:AR65)</f>
        <v>73.783506820151416</v>
      </c>
      <c r="AS66" s="431">
        <f>SUM(AS63:AS65)</f>
        <v>75.13643226457107</v>
      </c>
      <c r="AT66" s="431">
        <f>SUM(AT63:AT65)</f>
        <v>77.694399907558022</v>
      </c>
      <c r="AU66" s="431">
        <f>SUM(AU63:AU65)</f>
        <v>71.900906256148787</v>
      </c>
      <c r="AV66" s="431">
        <f>SUM(AV63:AV65)</f>
        <v>80.800275582095736</v>
      </c>
      <c r="AW66" s="7"/>
    </row>
    <row r="67" spans="1:49" s="21" customFormat="1" ht="15">
      <c r="A67" s="82"/>
      <c r="E67" s="21" t="s">
        <v>982</v>
      </c>
      <c r="G67" s="21" t="s">
        <v>304</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-13.281031227627254</v>
      </c>
      <c r="AS67" s="7">
        <f>-AS66 * AS59</f>
        <v>-13.524557807622791</v>
      </c>
      <c r="AT67" s="7">
        <f>-AT66 * AT59</f>
        <v>-13.984991983360443</v>
      </c>
      <c r="AU67" s="7">
        <f>-AU66 * AU59</f>
        <v>-12.942163126106781</v>
      </c>
      <c r="AV67" s="7">
        <f>-AV66 * AV59</f>
        <v>-14.544049604777232</v>
      </c>
      <c r="AW67" s="7"/>
    </row>
    <row r="68" spans="1:49" s="21" customFormat="1" ht="15">
      <c r="A68" s="82"/>
      <c r="E68" s="21" t="s">
        <v>983</v>
      </c>
      <c r="G68" s="21" t="s">
        <v>304</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60.502475592524164</v>
      </c>
      <c r="AS68" s="461">
        <f t="shared" si="4"/>
        <v>61.611874456948279</v>
      </c>
      <c r="AT68" s="461">
        <f t="shared" si="4"/>
        <v>63.709407924197578</v>
      </c>
      <c r="AU68" s="461">
        <f t="shared" si="4"/>
        <v>58.958743130042009</v>
      </c>
      <c r="AV68" s="461">
        <f t="shared" si="4"/>
        <v>66.256225977318508</v>
      </c>
      <c r="AW68" s="7"/>
    </row>
    <row r="69" spans="1:49" s="21" customFormat="1" ht="15">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5">
      <c r="A70" s="82"/>
      <c r="C70" s="28" t="s">
        <v>984</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5">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5">
      <c r="A72" s="82"/>
      <c r="E72" s="21" t="s">
        <v>976</v>
      </c>
      <c r="G72" s="21" t="s">
        <v>209</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6"/>
      <c r="AR72" s="132">
        <f>InputSummary!AR266</f>
        <v>0.06</v>
      </c>
      <c r="AS72" s="132">
        <f>InputSummary!AS266</f>
        <v>0.06</v>
      </c>
      <c r="AT72" s="132">
        <f>InputSummary!AT266</f>
        <v>0.06</v>
      </c>
      <c r="AU72" s="132">
        <f>InputSummary!AU266</f>
        <v>0.06</v>
      </c>
      <c r="AV72" s="132">
        <f>InputSummary!AV266</f>
        <v>0.06</v>
      </c>
      <c r="AW72" s="7"/>
    </row>
    <row r="73" spans="1:49" s="21" customFormat="1" ht="15">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5">
      <c r="A74" s="82"/>
      <c r="B74" s="21"/>
      <c r="C74" s="73"/>
      <c r="E74" s="74" t="s">
        <v>977</v>
      </c>
      <c r="G74" s="21" t="s">
        <v>304</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7"/>
      <c r="AR74" s="79">
        <f>InputSummary!AR273</f>
        <v>257.11796666810397</v>
      </c>
      <c r="AS74" s="79">
        <f>InputSummary!AS273</f>
        <v>0</v>
      </c>
      <c r="AT74" s="79">
        <f>InputSummary!AT273</f>
        <v>0</v>
      </c>
      <c r="AU74" s="79">
        <f>InputSummary!AU273</f>
        <v>0</v>
      </c>
      <c r="AV74" s="79">
        <f>InputSummary!AV273</f>
        <v>0</v>
      </c>
    </row>
    <row r="75" spans="1:49" s="21" customFormat="1" ht="15">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5">
      <c r="A76" s="82"/>
      <c r="E76" s="21" t="s">
        <v>978</v>
      </c>
      <c r="G76" s="21" t="s">
        <v>304</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257.11796666810397</v>
      </c>
      <c r="AS76" s="7">
        <f>AR81 + AS74</f>
        <v>277.35967158832756</v>
      </c>
      <c r="AT76" s="7">
        <f>AS81 + AT74</f>
        <v>303.64180682223486</v>
      </c>
      <c r="AU76" s="7">
        <f>AT81 + AU74</f>
        <v>317.61679272011963</v>
      </c>
      <c r="AV76" s="7">
        <f>AU81 + AV74</f>
        <v>328.63460056125143</v>
      </c>
      <c r="AW76" s="7"/>
    </row>
    <row r="77" spans="1:49" s="21" customFormat="1" ht="15">
      <c r="A77" s="82"/>
      <c r="E77" s="21" t="s">
        <v>979</v>
      </c>
      <c r="G77" s="21" t="s">
        <v>304</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SelectedInputs!AR284</f>
        <v>0</v>
      </c>
      <c r="AS77" s="7">
        <f>SelectedInputs!AS284</f>
        <v>-16.696026047804605</v>
      </c>
      <c r="AT77" s="7">
        <f>SelectedInputs!AT284</f>
        <v>-27.438203410875573</v>
      </c>
      <c r="AU77" s="7">
        <f>SelectedInputs!AU284</f>
        <v>-27.142104708419637</v>
      </c>
      <c r="AV77" s="7">
        <f>SelectedInputs!AV284</f>
        <v>0</v>
      </c>
      <c r="AW77" s="7"/>
    </row>
    <row r="78" spans="1:49" s="21" customFormat="1" ht="15">
      <c r="A78" s="82"/>
      <c r="E78" s="21" t="s">
        <v>980</v>
      </c>
      <c r="G78" s="21" t="s">
        <v>304</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37.945513745010409</v>
      </c>
      <c r="AS78" s="7">
        <f>AS$47 * AS$15</f>
        <v>62.359553206535367</v>
      </c>
      <c r="AT78" s="7">
        <f>AT$47 * AT$15</f>
        <v>61.686601610044619</v>
      </c>
      <c r="AU78" s="7">
        <f>AU$47 * AU$15</f>
        <v>59.136589181120698</v>
      </c>
      <c r="AV78" s="7">
        <f>AV$47 * AV$15</f>
        <v>44.637703927877631</v>
      </c>
      <c r="AW78" s="7"/>
    </row>
    <row r="79" spans="1:49" s="21" customFormat="1" ht="15">
      <c r="A79" s="82"/>
      <c r="E79" s="21" t="s">
        <v>981</v>
      </c>
      <c r="G79" s="21" t="s">
        <v>304</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3"/>
      <c r="AR79" s="431">
        <f>SUM(AR76:AR78)</f>
        <v>295.06348041311441</v>
      </c>
      <c r="AS79" s="431">
        <f>SUM(AS76:AS78)</f>
        <v>323.02319874705836</v>
      </c>
      <c r="AT79" s="431">
        <f>SUM(AT76:AT78)</f>
        <v>337.89020502140386</v>
      </c>
      <c r="AU79" s="431">
        <f>SUM(AU76:AU78)</f>
        <v>349.61127719282069</v>
      </c>
      <c r="AV79" s="431">
        <f>SUM(AV76:AV78)</f>
        <v>373.27230448912906</v>
      </c>
      <c r="AW79" s="7"/>
    </row>
    <row r="80" spans="1:49" s="21" customFormat="1" ht="15">
      <c r="A80" s="82"/>
      <c r="E80" s="21" t="s">
        <v>985</v>
      </c>
      <c r="G80" s="21" t="s">
        <v>304</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-17.703808824786865</v>
      </c>
      <c r="AS80" s="7">
        <f>-AS79 * AS72</f>
        <v>-19.3813919248235</v>
      </c>
      <c r="AT80" s="7">
        <f>-AT79 * AT72</f>
        <v>-20.273412301284232</v>
      </c>
      <c r="AU80" s="7">
        <f>-AU79 * AU72</f>
        <v>-20.976676631569241</v>
      </c>
      <c r="AV80" s="7">
        <f>-AV79 * AV72</f>
        <v>-22.396338269347744</v>
      </c>
      <c r="AW80" s="7"/>
    </row>
    <row r="81" spans="1:49" s="21" customFormat="1" ht="15">
      <c r="A81" s="82"/>
      <c r="E81" s="21" t="s">
        <v>983</v>
      </c>
      <c r="G81" s="21" t="s">
        <v>304</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277.35967158832756</v>
      </c>
      <c r="AS81" s="461">
        <f t="shared" si="5"/>
        <v>303.64180682223486</v>
      </c>
      <c r="AT81" s="461">
        <f t="shared" si="5"/>
        <v>317.61679272011963</v>
      </c>
      <c r="AU81" s="461">
        <f t="shared" si="5"/>
        <v>328.63460056125143</v>
      </c>
      <c r="AV81" s="461">
        <f t="shared" si="5"/>
        <v>350.87596621978133</v>
      </c>
      <c r="AW81" s="7"/>
    </row>
    <row r="82" spans="1:49" s="21" customFormat="1" ht="15">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5">
      <c r="A83" s="82"/>
      <c r="C83" s="28" t="s">
        <v>986</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5">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5">
      <c r="A85" s="82"/>
      <c r="E85" s="21" t="s">
        <v>976</v>
      </c>
      <c r="G85" s="21" t="s">
        <v>209</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6"/>
      <c r="AR85" s="132">
        <f>InputSummary!AR268</f>
        <v>2.2200000000000001E-2</v>
      </c>
      <c r="AS85" s="132">
        <f>InputSummary!AS268</f>
        <v>2.2200000000000001E-2</v>
      </c>
      <c r="AT85" s="132">
        <f>InputSummary!AT268</f>
        <v>2.2200000000000001E-2</v>
      </c>
      <c r="AU85" s="132">
        <f>InputSummary!AU268</f>
        <v>2.2200000000000001E-2</v>
      </c>
      <c r="AV85" s="132">
        <f>InputSummary!AV268</f>
        <v>2.2200000000000001E-2</v>
      </c>
      <c r="AW85" s="7"/>
    </row>
    <row r="86" spans="1:49" s="21" customFormat="1" ht="15">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5">
      <c r="A87" s="82"/>
      <c r="B87" s="21"/>
      <c r="C87" s="73"/>
      <c r="E87" s="74" t="s">
        <v>977</v>
      </c>
      <c r="G87" s="21" t="s">
        <v>304</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7"/>
      <c r="AR87" s="79">
        <f>InputSummary!AR274</f>
        <v>1369.3486602701878</v>
      </c>
      <c r="AS87" s="79">
        <f>InputSummary!AS274</f>
        <v>0</v>
      </c>
      <c r="AT87" s="79">
        <f>InputSummary!AT274</f>
        <v>0</v>
      </c>
      <c r="AU87" s="79">
        <f>InputSummary!AU274</f>
        <v>0</v>
      </c>
      <c r="AV87" s="79">
        <f>InputSummary!AV274</f>
        <v>0</v>
      </c>
    </row>
    <row r="88" spans="1:49" s="72" customFormat="1" ht="15">
      <c r="A88" s="82"/>
      <c r="B88" s="21"/>
      <c r="C88" s="73"/>
      <c r="E88" s="82" t="s">
        <v>987</v>
      </c>
      <c r="G88" s="21" t="s">
        <v>304</v>
      </c>
      <c r="J88" s="75"/>
      <c r="K88" s="75"/>
      <c r="L88" s="75"/>
      <c r="M88" s="75"/>
      <c r="N88" s="75"/>
      <c r="O88" s="75"/>
      <c r="P88" s="75"/>
      <c r="Q88" s="75"/>
      <c r="R88" s="75"/>
      <c r="S88" s="75"/>
      <c r="T88" s="75"/>
      <c r="U88" s="75"/>
      <c r="V88" s="75"/>
      <c r="W88" s="75"/>
      <c r="X88" s="75"/>
      <c r="Y88" s="75"/>
      <c r="Z88" s="75"/>
      <c r="AJ88" s="79">
        <f>InputSummary!AJ275</f>
        <v>0</v>
      </c>
      <c r="AK88" s="79">
        <f>InputSummary!AK275</f>
        <v>0</v>
      </c>
      <c r="AL88" s="79">
        <f>InputSummary!AL275</f>
        <v>0</v>
      </c>
      <c r="AM88" s="79">
        <f>InputSummary!AM275</f>
        <v>0</v>
      </c>
      <c r="AN88" s="79">
        <f>InputSummary!AN275</f>
        <v>0</v>
      </c>
      <c r="AO88" s="79">
        <f>InputSummary!AO275</f>
        <v>0</v>
      </c>
      <c r="AP88" s="79">
        <f>InputSummary!AP275</f>
        <v>0</v>
      </c>
      <c r="AQ88" s="217">
        <f>InputSummary!AQ275</f>
        <v>1697.8640410247963</v>
      </c>
      <c r="AR88" s="79">
        <f>InputSummary!AR275</f>
        <v>0</v>
      </c>
      <c r="AS88" s="79">
        <f>InputSummary!AS275</f>
        <v>0</v>
      </c>
      <c r="AT88" s="79">
        <f>InputSummary!AT275</f>
        <v>0</v>
      </c>
      <c r="AU88" s="79">
        <f>InputSummary!AU275</f>
        <v>0</v>
      </c>
      <c r="AV88" s="79">
        <f>InputSummary!AV275</f>
        <v>0</v>
      </c>
    </row>
    <row r="89" spans="1:49" s="21" customFormat="1" ht="15">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5">
      <c r="A90" s="82"/>
      <c r="E90" s="21" t="s">
        <v>978</v>
      </c>
      <c r="G90" s="21" t="s">
        <v>304</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1369.3486602701878</v>
      </c>
      <c r="AS90" s="7">
        <f>AR94 + AS87</f>
        <v>1449.8587939014872</v>
      </c>
      <c r="AT90" s="7">
        <f>AS94 + AT87</f>
        <v>1564.2484876765266</v>
      </c>
      <c r="AU90" s="7">
        <f>AT94 + AU87</f>
        <v>1687.2767710998519</v>
      </c>
      <c r="AV90" s="7">
        <f>AU94 + AV87</f>
        <v>1811.0522966536084</v>
      </c>
      <c r="AW90" s="7"/>
    </row>
    <row r="91" spans="1:49" s="21" customFormat="1" ht="15">
      <c r="A91" s="82"/>
      <c r="E91" s="21" t="s">
        <v>980</v>
      </c>
      <c r="G91" s="21" t="s">
        <v>304</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120.88639327270371</v>
      </c>
      <c r="AS91" s="7">
        <f>AS$48 * AS$15</f>
        <v>158.27976418126801</v>
      </c>
      <c r="AT91" s="7">
        <f>AT$48 * AT$15</f>
        <v>170.70807305129259</v>
      </c>
      <c r="AU91" s="7">
        <f>AU$48 * AU$15</f>
        <v>175.34804170763357</v>
      </c>
      <c r="AV91" s="7">
        <f>AV$48 * AV$15</f>
        <v>177.77942407509539</v>
      </c>
      <c r="AW91" s="7"/>
    </row>
    <row r="92" spans="1:49" s="21" customFormat="1" ht="15">
      <c r="A92" s="82"/>
      <c r="E92" s="21" t="s">
        <v>981</v>
      </c>
      <c r="G92" s="21" t="s">
        <v>304</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3"/>
      <c r="AR92" s="431">
        <f>SUM(AR90:AR91)</f>
        <v>1490.2350535428916</v>
      </c>
      <c r="AS92" s="431">
        <f>SUM(AS90:AS91)</f>
        <v>1608.1385580827553</v>
      </c>
      <c r="AT92" s="431">
        <f>SUM(AT90:AT91)</f>
        <v>1734.9565607278191</v>
      </c>
      <c r="AU92" s="431">
        <f>SUM(AU90:AU91)</f>
        <v>1862.6248128074853</v>
      </c>
      <c r="AV92" s="431">
        <f>SUM(AV90:AV91)</f>
        <v>1988.8317207287039</v>
      </c>
      <c r="AW92" s="7"/>
    </row>
    <row r="93" spans="1:49" s="21" customFormat="1" ht="15">
      <c r="A93" s="82"/>
      <c r="E93" s="21" t="s">
        <v>988</v>
      </c>
      <c r="G93" s="21" t="s">
        <v>304</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-40.376259641404502</v>
      </c>
      <c r="AS93" s="7">
        <f>-(SUM($AJ91:AS91,$AJ88:AS88))*AS85</f>
        <v>-43.890070406228652</v>
      </c>
      <c r="AT93" s="7">
        <f>-(SUM($AJ91:AT91,$AJ88:AT88))*AT85</f>
        <v>-47.679789627967345</v>
      </c>
      <c r="AU93" s="7">
        <f>-(SUM($AJ91:AU91,$AJ88:AU88))*AU85</f>
        <v>-51.572516153876819</v>
      </c>
      <c r="AV93" s="7">
        <f>-(SUM($AJ91:AV91,$AJ88:AV88))*AV85</f>
        <v>-55.51921936834394</v>
      </c>
      <c r="AW93" s="7"/>
    </row>
    <row r="94" spans="1:49" s="21" customFormat="1" ht="15">
      <c r="A94" s="82"/>
      <c r="E94" s="21" t="s">
        <v>983</v>
      </c>
      <c r="G94" s="21" t="s">
        <v>304</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1449.8587939014872</v>
      </c>
      <c r="AS94" s="461">
        <f t="shared" si="6"/>
        <v>1564.2484876765266</v>
      </c>
      <c r="AT94" s="461">
        <f t="shared" si="6"/>
        <v>1687.2767710998519</v>
      </c>
      <c r="AU94" s="461">
        <f t="shared" si="6"/>
        <v>1811.0522966536084</v>
      </c>
      <c r="AV94" s="461">
        <f t="shared" si="6"/>
        <v>1933.3125013603599</v>
      </c>
      <c r="AW94" s="7"/>
    </row>
    <row r="95" spans="1:49" s="21" customFormat="1" ht="15">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5">
      <c r="A96" s="82"/>
      <c r="C96" s="28" t="s">
        <v>989</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5">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5">
      <c r="A98" s="82"/>
      <c r="E98" s="21" t="s">
        <v>976</v>
      </c>
      <c r="G98" s="21" t="s">
        <v>209</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6"/>
      <c r="AR98" s="132">
        <f>InputSummary!AR267</f>
        <v>0.03</v>
      </c>
      <c r="AS98" s="132">
        <f>InputSummary!AS267</f>
        <v>0.03</v>
      </c>
      <c r="AT98" s="132">
        <f>InputSummary!AT267</f>
        <v>0.03</v>
      </c>
      <c r="AU98" s="132">
        <f>InputSummary!AU267</f>
        <v>0.03</v>
      </c>
      <c r="AV98" s="132">
        <f>InputSummary!AV267</f>
        <v>0.03</v>
      </c>
      <c r="AW98" s="7"/>
    </row>
    <row r="99" spans="1:49" s="21" customFormat="1" ht="15">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5">
      <c r="A100" s="82"/>
      <c r="E100" s="21" t="s">
        <v>978</v>
      </c>
      <c r="G100" s="21" t="s">
        <v>304</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InputSummary!AR276 + AQ104</f>
        <v>0</v>
      </c>
      <c r="AS100" s="7">
        <f>InputSummary!AS276 + AR104</f>
        <v>0</v>
      </c>
      <c r="AT100" s="7">
        <f>InputSummary!AT276 + AS104</f>
        <v>0</v>
      </c>
      <c r="AU100" s="7">
        <f>InputSummary!AU276 + AT104</f>
        <v>0</v>
      </c>
      <c r="AV100" s="7">
        <f>InputSummary!AV276 + AU104</f>
        <v>0</v>
      </c>
      <c r="AW100" s="7"/>
    </row>
    <row r="101" spans="1:49" s="21" customFormat="1" ht="15">
      <c r="A101" s="82"/>
      <c r="E101" s="21" t="s">
        <v>980</v>
      </c>
      <c r="G101" s="21" t="s">
        <v>304</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0</v>
      </c>
      <c r="AS101" s="7">
        <f>AS$49 * AS$15</f>
        <v>0</v>
      </c>
      <c r="AT101" s="7">
        <f>AT$49 * AT$15</f>
        <v>0</v>
      </c>
      <c r="AU101" s="7">
        <f>AU$49 * AU$15</f>
        <v>0</v>
      </c>
      <c r="AV101" s="7">
        <f>AV$49 * AV$15</f>
        <v>0</v>
      </c>
      <c r="AW101" s="7"/>
    </row>
    <row r="102" spans="1:49" s="21" customFormat="1" ht="15">
      <c r="A102" s="82"/>
      <c r="E102" s="21" t="s">
        <v>981</v>
      </c>
      <c r="G102" s="21" t="s">
        <v>304</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3"/>
      <c r="AR102" s="431">
        <f>SUM(AR100:AR101)</f>
        <v>0</v>
      </c>
      <c r="AS102" s="431">
        <f>SUM(AS100:AS101)</f>
        <v>0</v>
      </c>
      <c r="AT102" s="431">
        <f>SUM(AT100:AT101)</f>
        <v>0</v>
      </c>
      <c r="AU102" s="431">
        <f>SUM(AU100:AU101)</f>
        <v>0</v>
      </c>
      <c r="AV102" s="431">
        <f>SUM(AV100:AV101)</f>
        <v>0</v>
      </c>
      <c r="AW102" s="7"/>
    </row>
    <row r="103" spans="1:49" s="21" customFormat="1" ht="15">
      <c r="A103" s="82"/>
      <c r="E103" s="21" t="s">
        <v>990</v>
      </c>
      <c r="G103" s="21" t="s">
        <v>304</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v>
      </c>
      <c r="AT103" s="7">
        <f>-(SUM($AI101:AS101))*AT98</f>
        <v>0</v>
      </c>
      <c r="AU103" s="7">
        <f>-(SUM($AI101:AT101))*AU98</f>
        <v>0</v>
      </c>
      <c r="AV103" s="7">
        <f>-(SUM($AI101:AU101))*AV98</f>
        <v>0</v>
      </c>
      <c r="AW103" s="7"/>
    </row>
    <row r="104" spans="1:49" s="21" customFormat="1" ht="15">
      <c r="A104" s="82"/>
      <c r="E104" s="21" t="s">
        <v>983</v>
      </c>
      <c r="G104" s="21" t="s">
        <v>304</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0</v>
      </c>
      <c r="AS104" s="461">
        <f t="shared" si="7"/>
        <v>0</v>
      </c>
      <c r="AT104" s="461">
        <f t="shared" si="7"/>
        <v>0</v>
      </c>
      <c r="AU104" s="461">
        <f t="shared" si="7"/>
        <v>0</v>
      </c>
      <c r="AV104" s="461">
        <f t="shared" si="7"/>
        <v>0</v>
      </c>
      <c r="AW104" s="7"/>
    </row>
    <row r="105" spans="1:49" s="21" customFormat="1" ht="15">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5">
      <c r="A106" s="82"/>
      <c r="C106" s="28" t="s">
        <v>991</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5">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5">
      <c r="A108" s="82"/>
      <c r="E108" s="21" t="s">
        <v>975</v>
      </c>
      <c r="G108" s="21" t="s">
        <v>304</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13.281031227627254</v>
      </c>
      <c r="AS108" s="7">
        <f>- AS67</f>
        <v>13.524557807622791</v>
      </c>
      <c r="AT108" s="7">
        <f>- AT67</f>
        <v>13.984991983360443</v>
      </c>
      <c r="AU108" s="7">
        <f>- AU67</f>
        <v>12.942163126106781</v>
      </c>
      <c r="AV108" s="7">
        <f>- AV67</f>
        <v>14.544049604777232</v>
      </c>
      <c r="AW108" s="7"/>
    </row>
    <row r="109" spans="1:49" s="21" customFormat="1" ht="15">
      <c r="A109" s="82"/>
      <c r="E109" s="21" t="s">
        <v>984</v>
      </c>
      <c r="G109" s="21" t="s">
        <v>304</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17.703808824786865</v>
      </c>
      <c r="AS109" s="7">
        <f>-AS80</f>
        <v>19.3813919248235</v>
      </c>
      <c r="AT109" s="7">
        <f>-AT80</f>
        <v>20.273412301284232</v>
      </c>
      <c r="AU109" s="7">
        <f>-AU80</f>
        <v>20.976676631569241</v>
      </c>
      <c r="AV109" s="7">
        <f>-AV80</f>
        <v>22.396338269347744</v>
      </c>
      <c r="AW109" s="7"/>
    </row>
    <row r="110" spans="1:49" s="21" customFormat="1" ht="15">
      <c r="A110" s="82"/>
      <c r="E110" s="21" t="s">
        <v>992</v>
      </c>
      <c r="G110" s="21" t="s">
        <v>304</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40.376259641404502</v>
      </c>
      <c r="AS110" s="7">
        <f>-AS93</f>
        <v>43.890070406228652</v>
      </c>
      <c r="AT110" s="7">
        <f>-AT93</f>
        <v>47.679789627967345</v>
      </c>
      <c r="AU110" s="7">
        <f>-AU93</f>
        <v>51.572516153876819</v>
      </c>
      <c r="AV110" s="7">
        <f>-AV93</f>
        <v>55.51921936834394</v>
      </c>
      <c r="AW110" s="7"/>
    </row>
    <row r="111" spans="1:49" s="21" customFormat="1" ht="15">
      <c r="A111" s="82"/>
      <c r="E111" s="21" t="s">
        <v>989</v>
      </c>
      <c r="G111" s="21" t="s">
        <v>304</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v>
      </c>
      <c r="AT111" s="7">
        <f t="shared" si="8"/>
        <v>0</v>
      </c>
      <c r="AU111" s="7">
        <f t="shared" si="8"/>
        <v>0</v>
      </c>
      <c r="AV111" s="7">
        <f t="shared" si="8"/>
        <v>0</v>
      </c>
      <c r="AW111" s="7"/>
    </row>
    <row r="112" spans="1:49" s="21" customFormat="1" ht="15">
      <c r="E112" s="21" t="s">
        <v>972</v>
      </c>
      <c r="G112" s="21" t="s">
        <v>304</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6"/>
      <c r="AK112" s="526"/>
      <c r="AL112" s="526"/>
      <c r="AM112" s="526"/>
      <c r="AN112" s="526"/>
      <c r="AO112" s="526"/>
      <c r="AP112" s="526"/>
      <c r="AQ112" s="531"/>
      <c r="AR112" s="526">
        <f t="shared" ref="AR112:AV112" si="9">SUM(AR108:AR111)</f>
        <v>71.36109969381863</v>
      </c>
      <c r="AS112" s="526">
        <f t="shared" si="9"/>
        <v>76.796020138674947</v>
      </c>
      <c r="AT112" s="526">
        <f t="shared" si="9"/>
        <v>81.938193912612022</v>
      </c>
      <c r="AU112" s="526">
        <f t="shared" si="9"/>
        <v>85.491355911552844</v>
      </c>
      <c r="AV112" s="526">
        <f t="shared" si="9"/>
        <v>92.45960724246892</v>
      </c>
      <c r="AW112" s="7"/>
    </row>
    <row r="113" spans="1:49" s="21" customFormat="1" ht="15">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5">
      <c r="B114" s="37" t="s">
        <v>79</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5">
      <c r="A115" s="2"/>
      <c r="B115" s="2"/>
      <c r="C115" s="2"/>
      <c r="D115" s="2"/>
      <c r="E115" s="2"/>
      <c r="F115" s="2"/>
      <c r="G115" s="2"/>
      <c r="H115" s="2"/>
      <c r="I115" s="2"/>
    </row>
    <row r="116" spans="1:49" s="82" customFormat="1" ht="15">
      <c r="A116" s="2"/>
      <c r="B116" s="2"/>
      <c r="C116" s="2"/>
      <c r="D116" s="2"/>
      <c r="E116" s="2"/>
      <c r="F116" s="2"/>
      <c r="G116" s="2"/>
      <c r="H116" s="2"/>
      <c r="I116" s="2"/>
    </row>
  </sheetData>
  <conditionalFormatting sqref="AJ11">
    <cfRule type="cellIs" dxfId="104" priority="1" operator="equal">
      <formula>FALSE()</formula>
    </cfRule>
  </conditionalFormatting>
  <conditionalFormatting sqref="AM2">
    <cfRule type="expression" dxfId="103" priority="2">
      <formula>mac_sensitivity=2</formula>
    </cfRule>
    <cfRule type="expression" dxfId="102" priority="3">
      <formula>mac_sensitivity=1</formula>
    </cfRule>
  </conditionalFormatting>
  <conditionalFormatting sqref="AM3">
    <cfRule type="expression" dxfId="101"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5.875" customWidth="1"/>
    <col min="50" max="113" width="0" hidden="1" customWidth="1"/>
    <col min="114" max="16384" width="9" hidden="1"/>
  </cols>
  <sheetData>
    <row r="1" spans="1:49" ht="19.5">
      <c r="A1" s="195" t="s">
        <v>993</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37" t="s">
        <v>994</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5">
      <c r="A7" s="2"/>
      <c r="B7" s="87" t="s">
        <v>995</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5">
      <c r="A8" s="2"/>
      <c r="B8" s="4" t="s">
        <v>996</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0" t="s">
        <v>544</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5">
      <c r="A12" s="2"/>
      <c r="B12" s="34"/>
      <c r="C12" s="34"/>
      <c r="D12" s="34"/>
      <c r="E12" s="34" t="s">
        <v>547</v>
      </c>
      <c r="F12" s="34"/>
      <c r="G12" s="2" t="s">
        <v>550</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4"/>
      <c r="AR12" s="250">
        <f>InputSummary!AR21</f>
        <v>1</v>
      </c>
      <c r="AS12" s="454">
        <f>InputSummary!AS21</f>
        <v>0</v>
      </c>
      <c r="AT12" s="454">
        <f>InputSummary!AT21</f>
        <v>0</v>
      </c>
      <c r="AU12" s="454">
        <f>InputSummary!AU21</f>
        <v>0</v>
      </c>
      <c r="AV12" s="454">
        <f>InputSummary!AV21</f>
        <v>0</v>
      </c>
      <c r="AW12" s="2"/>
    </row>
    <row r="13" spans="1:49" ht="15">
      <c r="A13" s="2"/>
      <c r="B13" s="34"/>
      <c r="C13" s="34"/>
      <c r="D13" s="34"/>
      <c r="E13" s="34" t="s">
        <v>554</v>
      </c>
      <c r="F13" s="34"/>
      <c r="G13" s="2" t="s">
        <v>550</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4"/>
      <c r="AR13" s="454">
        <f>InputSummary!AR23</f>
        <v>0</v>
      </c>
      <c r="AS13" s="454">
        <f>InputSummary!AS23</f>
        <v>1</v>
      </c>
      <c r="AT13" s="454">
        <f>InputSummary!AT23</f>
        <v>1</v>
      </c>
      <c r="AU13" s="454">
        <f>InputSummary!AU23</f>
        <v>1</v>
      </c>
      <c r="AV13" s="454">
        <f>InputSummary!AV23</f>
        <v>1</v>
      </c>
      <c r="AW13" s="2"/>
    </row>
    <row r="14" spans="1:49" ht="1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5">
      <c r="A15" s="21"/>
      <c r="B15" s="21"/>
      <c r="C15" s="28" t="s">
        <v>950</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5">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5">
      <c r="A17" s="82"/>
      <c r="B17" s="82"/>
      <c r="C17" s="82"/>
      <c r="D17" s="82"/>
      <c r="E17" s="2" t="s">
        <v>951</v>
      </c>
      <c r="F17" s="82"/>
      <c r="G17" s="2" t="s">
        <v>100</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5">
        <f>InputSummary!AQ$194</f>
        <v>1.1939376770538244</v>
      </c>
      <c r="AR17" s="92">
        <f>InputSummary!AR$194</f>
        <v>1.2891506141768156</v>
      </c>
      <c r="AS17" s="92">
        <f>InputSummary!AS$194</f>
        <v>1.3284361388165782</v>
      </c>
      <c r="AT17" s="92">
        <f>InputSummary!AT$194</f>
        <v>1.3511547218960771</v>
      </c>
      <c r="AU17" s="92">
        <f>InputSummary!AU$194</f>
        <v>1.3719916643626167</v>
      </c>
      <c r="AV17" s="92">
        <f>InputSummary!AV$194</f>
        <v>1.3966351746111914</v>
      </c>
      <c r="AW17" s="82"/>
    </row>
    <row r="18" spans="1:49" ht="15">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5"/>
      <c r="AR18" s="92"/>
      <c r="AS18" s="92"/>
      <c r="AT18" s="92"/>
      <c r="AU18" s="92"/>
      <c r="AV18" s="92"/>
      <c r="AW18" s="82"/>
    </row>
    <row r="19" spans="1:49" ht="15">
      <c r="A19" s="7"/>
      <c r="B19" s="7"/>
      <c r="C19" s="28" t="s">
        <v>997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5">
      <c r="A20" s="7"/>
      <c r="B20" s="7"/>
      <c r="C20" s="4" t="s">
        <v>998</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5">
      <c r="A21" s="7"/>
      <c r="B21" s="7"/>
      <c r="C21" s="4" t="s">
        <v>999</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5">
      <c r="A22" s="7"/>
      <c r="B22" s="7"/>
      <c r="C22" s="4" t="s">
        <v>1000</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5">
      <c r="A23" s="7"/>
      <c r="B23" s="7"/>
      <c r="C23" s="4" t="s">
        <v>1001</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5">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6"/>
      <c r="AS24" s="7"/>
      <c r="AT24" s="7"/>
      <c r="AU24" s="7"/>
      <c r="AV24" s="7"/>
      <c r="AW24" s="7"/>
    </row>
    <row r="25" spans="1:49" ht="15">
      <c r="A25" s="7"/>
      <c r="B25" s="7"/>
      <c r="C25" s="7"/>
      <c r="D25" s="7"/>
      <c r="E25" s="7" t="s">
        <v>1002</v>
      </c>
      <c r="F25" s="7"/>
      <c r="G25" s="7" t="s">
        <v>304</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-1107.7409263671675</v>
      </c>
      <c r="AT25" s="7">
        <f t="shared" si="0"/>
        <v>-1203.188588207312</v>
      </c>
      <c r="AU25" s="7">
        <f t="shared" si="0"/>
        <v>-1321.9745598181278</v>
      </c>
      <c r="AV25" s="7">
        <f t="shared" ref="AV25" si="1">AU41</f>
        <v>-1441.148470241727</v>
      </c>
      <c r="AW25" s="7"/>
    </row>
    <row r="26" spans="1:49" ht="15">
      <c r="A26" s="7"/>
      <c r="B26" s="7"/>
      <c r="C26" s="7"/>
      <c r="D26" s="7"/>
      <c r="E26" s="7" t="s">
        <v>1003</v>
      </c>
      <c r="F26" s="7"/>
      <c r="G26" s="7" t="s">
        <v>304</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3"/>
      <c r="AR26" s="431">
        <f>-AR55 * AR63 * AR12</f>
        <v>-1064.9535961851821</v>
      </c>
      <c r="AS26" s="431">
        <f>-AS55 * AS63 * AS12</f>
        <v>0</v>
      </c>
      <c r="AT26" s="431">
        <f>-AT55 * AT63 * AT12</f>
        <v>0</v>
      </c>
      <c r="AU26" s="431">
        <f>-AU55 * AU63 * AU12</f>
        <v>0</v>
      </c>
      <c r="AV26" s="431">
        <f>-AV55 * AV63 * AV12</f>
        <v>0</v>
      </c>
      <c r="AW26" s="7"/>
    </row>
    <row r="27" spans="1:49" ht="15">
      <c r="A27" s="7"/>
      <c r="B27" s="7"/>
      <c r="C27" s="7"/>
      <c r="D27" s="7"/>
      <c r="E27" s="7" t="s">
        <v>1004</v>
      </c>
      <c r="F27" s="7"/>
      <c r="G27" s="7" t="s">
        <v>304</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6"/>
      <c r="AK27" s="246"/>
      <c r="AL27" s="246"/>
      <c r="AM27" s="246"/>
      <c r="AN27" s="246"/>
      <c r="AO27" s="246"/>
      <c r="AP27" s="246"/>
      <c r="AQ27" s="276"/>
      <c r="AR27" s="246">
        <f>AR86</f>
        <v>0</v>
      </c>
      <c r="AS27" s="246">
        <f t="shared" ref="AS27:AV27" si="2">AS86</f>
        <v>0</v>
      </c>
      <c r="AT27" s="246">
        <f t="shared" si="2"/>
        <v>0</v>
      </c>
      <c r="AU27" s="246">
        <f t="shared" si="2"/>
        <v>0</v>
      </c>
      <c r="AV27" s="246">
        <f t="shared" si="2"/>
        <v>0</v>
      </c>
      <c r="AW27" s="7"/>
    </row>
    <row r="28" spans="1:49" ht="15">
      <c r="A28" s="7"/>
      <c r="B28" s="7"/>
      <c r="C28" s="7"/>
      <c r="D28" s="7"/>
      <c r="E28" s="7" t="s">
        <v>1005</v>
      </c>
      <c r="F28" s="7"/>
      <c r="G28" s="7" t="s">
        <v>304</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-1064.9535961851821</v>
      </c>
      <c r="AS28" s="7">
        <f>AS26 * AS12 + AS25 * (1 - AS12) + AS27</f>
        <v>-1107.7409263671675</v>
      </c>
      <c r="AT28" s="7">
        <f>AT26 * AT12 + AT25 * (1 - AT12) + AT27</f>
        <v>-1203.188588207312</v>
      </c>
      <c r="AU28" s="7">
        <f>AU26 * AU12 + AU25 * (1 - AU12) + AU27</f>
        <v>-1321.9745598181278</v>
      </c>
      <c r="AV28" s="7">
        <f>AV26 * AV12 + AV25 * (1 - AV12) + AV27</f>
        <v>-1441.148470241727</v>
      </c>
      <c r="AW28" s="7"/>
    </row>
    <row r="29" spans="1:49" ht="15">
      <c r="A29" s="7"/>
      <c r="B29" s="7"/>
      <c r="C29" s="7"/>
      <c r="D29" s="7"/>
      <c r="E29" s="7" t="s">
        <v>1006</v>
      </c>
      <c r="F29" s="7"/>
      <c r="G29" s="7" t="s">
        <v>304</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352.93548476983938</v>
      </c>
      <c r="AS29" s="8">
        <f>Revenue!AS19* AS$17</f>
        <v>314.02474211635996</v>
      </c>
      <c r="AT29" s="8">
        <f>Revenue!AT19* AT$17</f>
        <v>367.3258327048872</v>
      </c>
      <c r="AU29" s="8">
        <f>Revenue!AU19* AU$17</f>
        <v>377.07410304005884</v>
      </c>
      <c r="AV29" s="8">
        <f>Revenue!AV19* AV$17</f>
        <v>381.26509919140426</v>
      </c>
      <c r="AW29" s="7"/>
    </row>
    <row r="30" spans="1:49" ht="15">
      <c r="A30" s="7"/>
      <c r="B30" s="7"/>
      <c r="C30" s="7"/>
      <c r="D30" s="7"/>
      <c r="E30" s="7" t="s">
        <v>535</v>
      </c>
      <c r="F30" s="7"/>
      <c r="G30" s="7" t="s">
        <v>304</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2.0948678821412261</v>
      </c>
      <c r="AS30" s="8">
        <f>InputSummary!AS150 * AS$17</f>
        <v>1.5051934257535091</v>
      </c>
      <c r="AT30" s="8">
        <f>InputSummary!AT150 * AT$17</f>
        <v>1.0784939510485216</v>
      </c>
      <c r="AU30" s="8">
        <f>InputSummary!AU150 * AU$17</f>
        <v>0.81881964139612939</v>
      </c>
      <c r="AV30" s="8">
        <f>InputSummary!AV150 * AV$17</f>
        <v>0.77220924213698849</v>
      </c>
      <c r="AW30" s="7"/>
    </row>
    <row r="31" spans="1:49" ht="15">
      <c r="A31" s="2"/>
      <c r="B31" s="2"/>
      <c r="C31" s="2"/>
      <c r="D31" s="2"/>
      <c r="E31" s="21" t="s">
        <v>537</v>
      </c>
      <c r="F31" s="2"/>
      <c r="G31" s="21" t="s">
        <v>304</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-242.19102970095852</v>
      </c>
      <c r="AS31" s="8">
        <f>-Totex!AS82 * AS$17</f>
        <v>-323.59981933665841</v>
      </c>
      <c r="AT31" s="8">
        <f>-Totex!AT82 * AT$17</f>
        <v>-352.47253592416126</v>
      </c>
      <c r="AU31" s="8">
        <f>-Totex!AU82 * AU$17</f>
        <v>-352.66475259005</v>
      </c>
      <c r="AV31" s="8">
        <f>-Totex!AV82 * AV$17</f>
        <v>-322.511090538183</v>
      </c>
      <c r="AW31" s="7"/>
    </row>
    <row r="32" spans="1:49" ht="15">
      <c r="A32" s="2"/>
      <c r="B32" s="2"/>
      <c r="C32" s="2"/>
      <c r="D32" s="2"/>
      <c r="E32" s="21" t="s">
        <v>1007</v>
      </c>
      <c r="F32" s="2"/>
      <c r="G32" s="21" t="s">
        <v>304</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-60.942544418281173</v>
      </c>
      <c r="AS32" s="8">
        <f>-InputSummary!AS97 * AS$17</f>
        <v>-2.7699173326665088E-2</v>
      </c>
      <c r="AT32" s="8">
        <f>-InputSummary!AT97 * AT$17</f>
        <v>-43.356250696329901</v>
      </c>
      <c r="AU32" s="8">
        <f>-InputSummary!AU97 * AU$17</f>
        <v>-44.495517404055015</v>
      </c>
      <c r="AV32" s="8">
        <f>-InputSummary!AV97 * AV$17</f>
        <v>-45.58885343956122</v>
      </c>
      <c r="AW32" s="7"/>
    </row>
    <row r="33" spans="1:49" ht="15">
      <c r="A33" s="2"/>
      <c r="B33" s="2"/>
      <c r="C33" s="2"/>
      <c r="D33" s="2"/>
      <c r="E33" s="21" t="s">
        <v>1008</v>
      </c>
      <c r="F33" s="2"/>
      <c r="G33" s="7" t="s">
        <v>304</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-1.5069903912527738</v>
      </c>
      <c r="AS33" s="8">
        <f>InputSummary!AS124 * AS$17</f>
        <v>-0.95786995113049123</v>
      </c>
      <c r="AT33" s="8">
        <f>InputSummary!AT124 * AT$17</f>
        <v>-0.97425120381419161</v>
      </c>
      <c r="AU33" s="8">
        <f>InputSummary!AU124 * AU$17</f>
        <v>-0.9892756980137497</v>
      </c>
      <c r="AV33" s="8">
        <f>InputSummary!AV124 * AV$17</f>
        <v>-0.93763377364032541</v>
      </c>
      <c r="AW33" s="7"/>
    </row>
    <row r="34" spans="1:49" ht="15">
      <c r="A34" s="2"/>
      <c r="B34" s="2"/>
      <c r="C34" s="2"/>
      <c r="D34" s="2"/>
      <c r="E34" s="7" t="s">
        <v>1009</v>
      </c>
      <c r="F34" s="2"/>
      <c r="G34" s="21" t="s">
        <v>304</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-23.612254107271692</v>
      </c>
      <c r="AS34" s="2">
        <f t="shared" si="3"/>
        <v>-25.507916691761899</v>
      </c>
      <c r="AT34" s="2">
        <f t="shared" si="3"/>
        <v>-27.187245989453036</v>
      </c>
      <c r="AU34" s="2">
        <f t="shared" si="3"/>
        <v>-28.885143677369708</v>
      </c>
      <c r="AV34" s="2">
        <f t="shared" ref="AV34" si="4">-AV194</f>
        <v>-30.478419025000271</v>
      </c>
      <c r="AW34" s="7"/>
    </row>
    <row r="35" spans="1:49" ht="15">
      <c r="A35" s="7"/>
      <c r="B35" s="7"/>
      <c r="C35" s="7"/>
      <c r="D35" s="7"/>
      <c r="E35" s="56" t="s">
        <v>1010</v>
      </c>
      <c r="F35" s="7"/>
      <c r="G35" s="7" t="s">
        <v>304</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-4.4373066507715961</v>
      </c>
      <c r="AS35" s="7">
        <f t="shared" si="5"/>
        <v>0</v>
      </c>
      <c r="AT35" s="7">
        <f t="shared" si="5"/>
        <v>0</v>
      </c>
      <c r="AU35" s="7">
        <f t="shared" si="5"/>
        <v>0</v>
      </c>
      <c r="AV35" s="7">
        <f t="shared" ref="AV35" si="6">-AV184</f>
        <v>0</v>
      </c>
      <c r="AW35" s="7"/>
    </row>
    <row r="36" spans="1:49" ht="15">
      <c r="A36" s="2"/>
      <c r="B36" s="2"/>
      <c r="C36" s="2"/>
      <c r="D36" s="2"/>
      <c r="E36" s="21" t="s">
        <v>1011</v>
      </c>
      <c r="F36" s="2"/>
      <c r="G36" s="7" t="s">
        <v>304</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4"/>
      <c r="AR36" s="432">
        <f>SUM(AR28:AR35)</f>
        <v>-1042.6133688017374</v>
      </c>
      <c r="AS36" s="432">
        <f>SUM(AS28:AS35)</f>
        <v>-1142.3042959779316</v>
      </c>
      <c r="AT36" s="432">
        <f>SUM(AT28:AT35)</f>
        <v>-1258.7745453651346</v>
      </c>
      <c r="AU36" s="432">
        <f>SUM(AU28:AU35)</f>
        <v>-1371.1163265061612</v>
      </c>
      <c r="AV36" s="432">
        <f>SUM(AV28:AV35)</f>
        <v>-1458.6271585845705</v>
      </c>
      <c r="AW36" s="7"/>
    </row>
    <row r="37" spans="1:49" ht="15">
      <c r="A37" s="2"/>
      <c r="B37" s="2"/>
      <c r="C37" s="2"/>
      <c r="D37" s="2"/>
      <c r="E37" s="7" t="s">
        <v>1012</v>
      </c>
      <c r="F37" s="2"/>
      <c r="G37" s="7" t="s">
        <v>304</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-49.474456380691507</v>
      </c>
      <c r="AS37" s="2">
        <f t="shared" ref="AS37:AU37" si="7">AS169</f>
        <v>-53.345204056425402</v>
      </c>
      <c r="AT37" s="2">
        <f t="shared" si="7"/>
        <v>-58.991833088162998</v>
      </c>
      <c r="AU37" s="2">
        <f t="shared" si="7"/>
        <v>-64.64887855806883</v>
      </c>
      <c r="AV37" s="2">
        <f t="shared" ref="AV37" si="8">AV169</f>
        <v>-69.93590286220649</v>
      </c>
      <c r="AW37" s="7"/>
    </row>
    <row r="38" spans="1:49" ht="15">
      <c r="A38" s="2"/>
      <c r="B38" s="2"/>
      <c r="C38" s="2"/>
      <c r="D38" s="2"/>
      <c r="E38" s="7" t="s">
        <v>1013</v>
      </c>
      <c r="F38" s="2"/>
      <c r="G38" s="7" t="s">
        <v>304</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-16.464737633319491</v>
      </c>
      <c r="AS38" s="2">
        <f t="shared" si="9"/>
        <v>-8.5709735979399397</v>
      </c>
      <c r="AT38" s="2">
        <f t="shared" si="9"/>
        <v>-5.2629848317883674</v>
      </c>
      <c r="AU38" s="2">
        <f t="shared" si="9"/>
        <v>-5.1914650248893386</v>
      </c>
      <c r="AV38" s="2">
        <f t="shared" ref="AV38" si="10">AV170</f>
        <v>-6.5106673279924232</v>
      </c>
      <c r="AW38" s="7"/>
    </row>
    <row r="39" spans="1:49" ht="15">
      <c r="A39" s="94"/>
      <c r="B39" s="94"/>
      <c r="C39" s="94"/>
      <c r="D39" s="94"/>
      <c r="E39" s="7" t="s">
        <v>1014</v>
      </c>
      <c r="F39" s="7"/>
      <c r="G39" s="7" t="s">
        <v>304</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24.380834593285712</v>
      </c>
      <c r="AS39" s="7">
        <f t="shared" si="11"/>
        <v>22.327180199333228</v>
      </c>
      <c r="AT39" s="7">
        <f t="shared" si="11"/>
        <v>21.810541129976706</v>
      </c>
      <c r="AU39" s="7">
        <f t="shared" si="11"/>
        <v>36.046672023792723</v>
      </c>
      <c r="AV39" s="7">
        <f t="shared" ref="AV39" si="12">AV239</f>
        <v>32.414534788734869</v>
      </c>
      <c r="AW39" s="7"/>
    </row>
    <row r="40" spans="1:49" ht="15">
      <c r="A40" s="2"/>
      <c r="B40" s="2"/>
      <c r="C40" s="2"/>
      <c r="D40" s="2"/>
      <c r="E40" s="7" t="s">
        <v>1015</v>
      </c>
      <c r="F40" s="2"/>
      <c r="G40" s="21" t="s">
        <v>304</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-23.569198144704945</v>
      </c>
      <c r="AS40" s="2">
        <f t="shared" si="13"/>
        <v>-21.295294774348349</v>
      </c>
      <c r="AT40" s="2">
        <f t="shared" si="13"/>
        <v>-20.755737663018387</v>
      </c>
      <c r="AU40" s="2">
        <f t="shared" si="13"/>
        <v>-36.238472176400265</v>
      </c>
      <c r="AV40" s="2">
        <f t="shared" ref="AV40" si="14">-AV274</f>
        <v>-32.594450548188121</v>
      </c>
      <c r="AW40" s="7"/>
    </row>
    <row r="41" spans="1:49" ht="15">
      <c r="A41" s="7"/>
      <c r="B41" s="7"/>
      <c r="C41" s="7"/>
      <c r="D41" s="7"/>
      <c r="E41" s="56" t="s">
        <v>1016</v>
      </c>
      <c r="F41" s="7"/>
      <c r="G41" s="7" t="s">
        <v>304</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3"/>
      <c r="AR41" s="431">
        <f>SUM(AR36:AR40)</f>
        <v>-1107.7409263671675</v>
      </c>
      <c r="AS41" s="431">
        <f t="shared" ref="AS41:AU41" si="15">SUM(AS36:AS40)</f>
        <v>-1203.188588207312</v>
      </c>
      <c r="AT41" s="431">
        <f t="shared" si="15"/>
        <v>-1321.9745598181278</v>
      </c>
      <c r="AU41" s="431">
        <f t="shared" si="15"/>
        <v>-1441.148470241727</v>
      </c>
      <c r="AV41" s="431">
        <f t="shared" ref="AV41" si="16">SUM(AV36:AV40)</f>
        <v>-1535.2536445342225</v>
      </c>
      <c r="AW41" s="7"/>
    </row>
    <row r="42" spans="1:49" ht="15">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5">
      <c r="A43" s="7"/>
      <c r="B43" s="7"/>
      <c r="C43" s="28" t="s">
        <v>1017</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5">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5">
      <c r="A45" s="7"/>
      <c r="B45" s="7"/>
      <c r="C45" s="7"/>
      <c r="D45" s="7"/>
      <c r="E45" s="7" t="s">
        <v>1018</v>
      </c>
      <c r="F45" s="7"/>
      <c r="G45" s="7" t="s">
        <v>304</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-1064.9535961851821</v>
      </c>
      <c r="AS45" s="7">
        <f>AS12 * AS26 + AS13 * AS25</f>
        <v>-1107.7409263671675</v>
      </c>
      <c r="AT45" s="7">
        <f>AT12 * AT26 + AT13 * AT25</f>
        <v>-1203.188588207312</v>
      </c>
      <c r="AU45" s="7">
        <f>AU12 * AU26 + AU13 * AU25</f>
        <v>-1321.9745598181278</v>
      </c>
      <c r="AV45" s="7">
        <f>AV12 * AV26 + AV13 * AV25</f>
        <v>-1441.148470241727</v>
      </c>
      <c r="AW45" s="7"/>
    </row>
    <row r="46" spans="1:49" ht="15">
      <c r="A46" s="7"/>
      <c r="B46" s="7"/>
      <c r="C46" s="7"/>
      <c r="D46" s="7"/>
      <c r="E46" s="7" t="s">
        <v>1019</v>
      </c>
      <c r="F46" s="7"/>
      <c r="G46" s="7" t="s">
        <v>304</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-1064.9535961851821</v>
      </c>
      <c r="AS46" s="7">
        <f>AS28</f>
        <v>-1107.7409263671675</v>
      </c>
      <c r="AT46" s="7">
        <f>AT28</f>
        <v>-1203.188588207312</v>
      </c>
      <c r="AU46" s="7">
        <f>AU28</f>
        <v>-1321.9745598181278</v>
      </c>
      <c r="AV46" s="7">
        <f>AV28</f>
        <v>-1441.148470241727</v>
      </c>
      <c r="AW46" s="7"/>
    </row>
    <row r="47" spans="1:49" ht="15">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5">
      <c r="A48" s="7"/>
      <c r="B48" s="37" t="s">
        <v>1020</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5">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5">
      <c r="A50" s="7"/>
      <c r="B50" s="7"/>
      <c r="C50" s="28" t="s">
        <v>1021</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5">
      <c r="A51" s="7"/>
      <c r="B51" s="7"/>
      <c r="C51" s="4" t="s">
        <v>1022</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5">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5">
      <c r="A53" s="7"/>
      <c r="B53" s="7"/>
      <c r="C53" s="7"/>
      <c r="D53" s="7"/>
      <c r="E53" s="7" t="s">
        <v>1018</v>
      </c>
      <c r="F53" s="7"/>
      <c r="G53" s="7" t="s">
        <v>304</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-1064.9535961851821</v>
      </c>
      <c r="AS53" s="7">
        <f>AS45</f>
        <v>-1107.7409263671675</v>
      </c>
      <c r="AT53" s="7">
        <f t="shared" ref="AT53:AV53" si="17">AT45</f>
        <v>-1203.188588207312</v>
      </c>
      <c r="AU53" s="7">
        <f>AU45</f>
        <v>-1321.9745598181278</v>
      </c>
      <c r="AV53" s="7">
        <f t="shared" si="17"/>
        <v>-1441.148470241727</v>
      </c>
      <c r="AW53" s="7"/>
    </row>
    <row r="54" spans="1:49" ht="15">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5">
      <c r="A55" s="7"/>
      <c r="B55" s="7"/>
      <c r="C55" s="7"/>
      <c r="D55" s="7"/>
      <c r="E55" s="56" t="s">
        <v>1023</v>
      </c>
      <c r="F55" s="7"/>
      <c r="G55" s="7" t="s">
        <v>304</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1774.922660308637</v>
      </c>
      <c r="AS55" s="7">
        <f>'Return&amp;RAV'!AS20 * AR$17</f>
        <v>1967.6878422726411</v>
      </c>
      <c r="AT55" s="7">
        <f>'Return&amp;RAV'!AT20 * AS$17</f>
        <v>2125.6597243134916</v>
      </c>
      <c r="AU55" s="7">
        <f>'Return&amp;RAV'!AU20 * AT$17</f>
        <v>2265.6038324544197</v>
      </c>
      <c r="AV55" s="7">
        <f>'Return&amp;RAV'!AV20 * AU$17</f>
        <v>2407.0953064474757</v>
      </c>
      <c r="AW55" s="7"/>
    </row>
    <row r="56" spans="1:49" ht="15">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5">
      <c r="A57" s="7"/>
      <c r="B57" s="7"/>
      <c r="C57" s="7"/>
      <c r="D57" s="7"/>
      <c r="E57" s="7" t="s">
        <v>1024</v>
      </c>
      <c r="F57" s="7"/>
      <c r="G57" s="7" t="s">
        <v>209</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7"/>
      <c r="AR57" s="126">
        <f t="shared" ref="AR57:AV57" si="18">-AR53/AR55</f>
        <v>0.6</v>
      </c>
      <c r="AS57" s="126">
        <f>-AS53/AS55</f>
        <v>0.56296578276752895</v>
      </c>
      <c r="AT57" s="126">
        <f t="shared" si="18"/>
        <v>0.56603066541889568</v>
      </c>
      <c r="AU57" s="126">
        <f t="shared" si="18"/>
        <v>0.58349767107605022</v>
      </c>
      <c r="AV57" s="126">
        <f t="shared" si="18"/>
        <v>0.59870852075593695</v>
      </c>
      <c r="AW57" s="7"/>
    </row>
    <row r="58" spans="1:49" ht="15">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5">
      <c r="A59" s="7"/>
      <c r="B59" s="7"/>
      <c r="C59" s="28" t="s">
        <v>1025</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5">
      <c r="A60" s="7"/>
      <c r="B60" s="7"/>
      <c r="C60" s="4" t="s">
        <v>1026</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5">
      <c r="A61" s="7"/>
      <c r="B61" s="7"/>
      <c r="C61" s="4" t="s">
        <v>1027</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5">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5">
      <c r="A63" s="7"/>
      <c r="B63" s="7"/>
      <c r="C63" s="7"/>
      <c r="D63" s="7"/>
      <c r="E63" s="56" t="s">
        <v>256</v>
      </c>
      <c r="F63" s="7"/>
      <c r="G63" s="7" t="s">
        <v>209</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4">
        <f>InputSummary!AQ180</f>
        <v>0.65</v>
      </c>
      <c r="AR63" s="49">
        <f>InputSummary!AR180</f>
        <v>0.6</v>
      </c>
      <c r="AS63" s="49">
        <f>InputSummary!AS180</f>
        <v>0.6</v>
      </c>
      <c r="AT63" s="49">
        <f>InputSummary!AT180</f>
        <v>0.6</v>
      </c>
      <c r="AU63" s="49">
        <f>InputSummary!AU180</f>
        <v>0.6</v>
      </c>
      <c r="AV63" s="49">
        <f>InputSummary!AV180</f>
        <v>0.6</v>
      </c>
      <c r="AW63" s="7"/>
    </row>
    <row r="64" spans="1:49" ht="15">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5">
      <c r="A65" s="7"/>
      <c r="B65" s="7"/>
      <c r="C65" s="7"/>
      <c r="D65" s="7"/>
      <c r="E65" s="56" t="s">
        <v>1028</v>
      </c>
      <c r="F65" s="7"/>
      <c r="G65" s="7" t="s">
        <v>209</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3"/>
      <c r="AK65" s="193"/>
      <c r="AL65" s="193"/>
      <c r="AM65" s="193"/>
      <c r="AN65" s="193"/>
      <c r="AO65" s="193"/>
      <c r="AP65" s="193"/>
      <c r="AQ65" s="187">
        <f t="shared" ref="AQ65:AV65" si="19">AQ63 * AR12</f>
        <v>0.65</v>
      </c>
      <c r="AR65" s="193">
        <f t="shared" si="19"/>
        <v>0</v>
      </c>
      <c r="AS65" s="193">
        <f t="shared" si="19"/>
        <v>0</v>
      </c>
      <c r="AT65" s="193">
        <f t="shared" si="19"/>
        <v>0</v>
      </c>
      <c r="AU65" s="193">
        <f t="shared" si="19"/>
        <v>0</v>
      </c>
      <c r="AV65" s="193">
        <f t="shared" si="19"/>
        <v>0</v>
      </c>
      <c r="AW65" s="7"/>
    </row>
    <row r="66" spans="1:49" ht="15">
      <c r="A66" s="7"/>
      <c r="B66" s="7"/>
      <c r="C66" s="7"/>
      <c r="D66" s="7"/>
      <c r="E66" s="183" t="s">
        <v>1029</v>
      </c>
      <c r="F66" s="7"/>
      <c r="G66" s="183" t="s">
        <v>209</v>
      </c>
      <c r="H66" s="7"/>
      <c r="I66" s="193"/>
      <c r="J66" s="101"/>
      <c r="K66" s="101"/>
      <c r="L66" s="101"/>
      <c r="M66" s="101"/>
      <c r="N66" s="101"/>
      <c r="O66" s="101"/>
      <c r="P66" s="101"/>
      <c r="Q66" s="101"/>
      <c r="R66" s="101"/>
      <c r="S66" s="101"/>
      <c r="T66" s="101"/>
      <c r="U66" s="101"/>
      <c r="V66" s="101"/>
      <c r="W66" s="101"/>
      <c r="X66" s="101"/>
      <c r="Y66" s="101"/>
      <c r="Z66" s="101"/>
      <c r="AA66" s="193"/>
      <c r="AB66" s="193"/>
      <c r="AC66" s="193"/>
      <c r="AD66" s="193"/>
      <c r="AE66" s="193"/>
      <c r="AF66" s="193"/>
      <c r="AG66" s="193"/>
      <c r="AH66" s="193"/>
      <c r="AI66" s="49"/>
      <c r="AJ66" s="193"/>
      <c r="AK66" s="193"/>
      <c r="AL66" s="193"/>
      <c r="AM66" s="193"/>
      <c r="AN66" s="193"/>
      <c r="AO66" s="193"/>
      <c r="AP66" s="193"/>
      <c r="AQ66" s="187">
        <f t="shared" ref="AQ66:AV66" si="20">AQ63 * AQ12</f>
        <v>0</v>
      </c>
      <c r="AR66" s="193">
        <f t="shared" si="20"/>
        <v>0.6</v>
      </c>
      <c r="AS66" s="193">
        <f t="shared" si="20"/>
        <v>0</v>
      </c>
      <c r="AT66" s="193">
        <f t="shared" si="20"/>
        <v>0</v>
      </c>
      <c r="AU66" s="193">
        <f t="shared" si="20"/>
        <v>0</v>
      </c>
      <c r="AV66" s="193">
        <f t="shared" si="20"/>
        <v>0</v>
      </c>
      <c r="AW66" s="7"/>
    </row>
    <row r="67" spans="1:49" ht="15">
      <c r="A67" s="7"/>
      <c r="B67" s="7"/>
      <c r="C67" s="7"/>
      <c r="D67" s="7"/>
      <c r="E67" s="56"/>
      <c r="F67" s="7"/>
      <c r="G67" s="7"/>
      <c r="H67" s="7"/>
      <c r="I67" s="193"/>
      <c r="J67" s="101"/>
      <c r="K67" s="101"/>
      <c r="L67" s="101"/>
      <c r="M67" s="101"/>
      <c r="N67" s="101"/>
      <c r="O67" s="101"/>
      <c r="P67" s="101"/>
      <c r="Q67" s="101"/>
      <c r="R67" s="101"/>
      <c r="S67" s="101"/>
      <c r="T67" s="101"/>
      <c r="U67" s="101"/>
      <c r="V67" s="101"/>
      <c r="W67" s="101"/>
      <c r="X67" s="101"/>
      <c r="Y67" s="101"/>
      <c r="Z67" s="101"/>
      <c r="AA67" s="193"/>
      <c r="AB67" s="193"/>
      <c r="AC67" s="193"/>
      <c r="AD67" s="193"/>
      <c r="AE67" s="193"/>
      <c r="AF67" s="193"/>
      <c r="AG67" s="193"/>
      <c r="AH67" s="193"/>
      <c r="AI67" s="193"/>
      <c r="AJ67" s="193"/>
      <c r="AK67" s="193"/>
      <c r="AL67" s="183"/>
      <c r="AM67" s="183"/>
      <c r="AN67" s="183"/>
      <c r="AO67" s="183"/>
      <c r="AP67" s="183"/>
      <c r="AQ67" s="102"/>
      <c r="AR67" s="183"/>
      <c r="AS67" s="183"/>
      <c r="AT67" s="183"/>
      <c r="AU67" s="183"/>
      <c r="AV67" s="183"/>
      <c r="AW67" s="7"/>
    </row>
    <row r="68" spans="1:49" ht="15">
      <c r="A68" s="7"/>
      <c r="B68" s="7"/>
      <c r="C68" s="7"/>
      <c r="D68" s="7"/>
      <c r="E68" s="56" t="s">
        <v>1030</v>
      </c>
      <c r="F68" s="7"/>
      <c r="G68" s="7" t="s">
        <v>209</v>
      </c>
      <c r="H68" s="7"/>
      <c r="I68" s="193"/>
      <c r="J68" s="101"/>
      <c r="K68" s="101"/>
      <c r="L68" s="101"/>
      <c r="M68" s="101"/>
      <c r="N68" s="101"/>
      <c r="O68" s="101"/>
      <c r="P68" s="101"/>
      <c r="Q68" s="101"/>
      <c r="R68" s="101"/>
      <c r="S68" s="101"/>
      <c r="T68" s="101"/>
      <c r="U68" s="101"/>
      <c r="V68" s="101"/>
      <c r="W68" s="101"/>
      <c r="X68" s="101"/>
      <c r="Y68" s="101"/>
      <c r="Z68" s="101"/>
      <c r="AA68" s="193"/>
      <c r="AB68" s="193"/>
      <c r="AC68" s="193"/>
      <c r="AD68" s="193"/>
      <c r="AE68" s="193"/>
      <c r="AF68" s="193"/>
      <c r="AG68" s="193"/>
      <c r="AH68" s="193"/>
      <c r="AI68" s="193"/>
      <c r="AJ68" s="193"/>
      <c r="AK68" s="193"/>
      <c r="AL68" s="193"/>
      <c r="AM68" s="193"/>
      <c r="AN68" s="193"/>
      <c r="AO68" s="193"/>
      <c r="AP68" s="193"/>
      <c r="AQ68" s="187"/>
      <c r="AR68" s="193">
        <f>AR66-AQ65</f>
        <v>-5.0000000000000044E-2</v>
      </c>
      <c r="AS68" s="193">
        <f t="shared" ref="AS68:AV68" si="21">AS66-AR65</f>
        <v>0</v>
      </c>
      <c r="AT68" s="193">
        <f t="shared" si="21"/>
        <v>0</v>
      </c>
      <c r="AU68" s="193">
        <f t="shared" si="21"/>
        <v>0</v>
      </c>
      <c r="AV68" s="193">
        <f t="shared" si="21"/>
        <v>0</v>
      </c>
      <c r="AW68" s="7"/>
    </row>
    <row r="69" spans="1:49" ht="15">
      <c r="A69" s="7"/>
      <c r="B69" s="7"/>
      <c r="C69" s="7"/>
      <c r="D69" s="7"/>
      <c r="E69" s="56" t="s">
        <v>1031</v>
      </c>
      <c r="F69" s="7"/>
      <c r="G69" s="7" t="s">
        <v>304</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1774.922660308637</v>
      </c>
      <c r="AS69" s="7">
        <f>AS55 * AS12</f>
        <v>0</v>
      </c>
      <c r="AT69" s="7">
        <f>AT55 * AT12</f>
        <v>0</v>
      </c>
      <c r="AU69" s="7">
        <f>AU55 * AU12</f>
        <v>0</v>
      </c>
      <c r="AV69" s="7">
        <f>AV55 * AV12</f>
        <v>0</v>
      </c>
      <c r="AW69" s="7"/>
    </row>
    <row r="70" spans="1:49" ht="15">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5">
      <c r="A71" s="7"/>
      <c r="B71" s="7"/>
      <c r="C71" s="7"/>
      <c r="D71" s="7"/>
      <c r="E71" s="7" t="s">
        <v>1032</v>
      </c>
      <c r="F71" s="7"/>
      <c r="G71" s="7" t="s">
        <v>304</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-88.746133015431923</v>
      </c>
      <c r="AS71" s="7">
        <f t="shared" ref="AS71:AV71" si="22">AS68*AS69</f>
        <v>0</v>
      </c>
      <c r="AT71" s="7">
        <f t="shared" si="22"/>
        <v>0</v>
      </c>
      <c r="AU71" s="7">
        <f t="shared" si="22"/>
        <v>0</v>
      </c>
      <c r="AV71" s="7">
        <f t="shared" si="22"/>
        <v>0</v>
      </c>
      <c r="AW71" s="7"/>
    </row>
    <row r="72" spans="1:49" ht="15">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5">
      <c r="A73" s="7"/>
      <c r="B73" s="7"/>
      <c r="C73" s="28" t="s">
        <v>1033</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5">
      <c r="A74" s="7"/>
      <c r="B74" s="7"/>
      <c r="C74" s="4" t="s">
        <v>1034</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5">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5">
      <c r="A76" s="7"/>
      <c r="B76" s="7"/>
      <c r="C76" s="7"/>
      <c r="D76" s="7"/>
      <c r="E76" s="7" t="s">
        <v>1031</v>
      </c>
      <c r="F76" s="7"/>
      <c r="G76" s="7" t="s">
        <v>304</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1774.922660308637</v>
      </c>
      <c r="AS76" s="7">
        <f t="shared" ref="AS76:AV76" si="23">AS55</f>
        <v>1967.6878422726411</v>
      </c>
      <c r="AT76" s="7">
        <f t="shared" si="23"/>
        <v>2125.6597243134916</v>
      </c>
      <c r="AU76" s="7">
        <f t="shared" si="23"/>
        <v>2265.6038324544197</v>
      </c>
      <c r="AV76" s="7">
        <f t="shared" si="23"/>
        <v>2407.0953064474757</v>
      </c>
      <c r="AW76" s="7"/>
    </row>
    <row r="77" spans="1:49" ht="15">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5">
      <c r="A78" s="7"/>
      <c r="B78" s="7"/>
      <c r="C78" s="7"/>
      <c r="D78" s="7"/>
      <c r="E78" s="7" t="s">
        <v>1024</v>
      </c>
      <c r="F78" s="7"/>
      <c r="G78" s="21" t="s">
        <v>209</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8"/>
      <c r="AR78" s="103">
        <f>AR57 * AR13</f>
        <v>0</v>
      </c>
      <c r="AS78" s="103">
        <f>AS57 * AS13</f>
        <v>0.56296578276752895</v>
      </c>
      <c r="AT78" s="103">
        <f>AT57 * AT13</f>
        <v>0.56603066541889568</v>
      </c>
      <c r="AU78" s="103">
        <f>AU57 * AU13</f>
        <v>0.58349767107605022</v>
      </c>
      <c r="AV78" s="103">
        <f>AV57 * AV13</f>
        <v>0.59870852075593695</v>
      </c>
      <c r="AW78" s="193"/>
    </row>
    <row r="79" spans="1:49" ht="15">
      <c r="A79" s="7"/>
      <c r="B79" s="7"/>
      <c r="C79" s="7"/>
      <c r="D79" s="7"/>
      <c r="E79" s="7" t="s">
        <v>1035</v>
      </c>
      <c r="F79" s="7"/>
      <c r="G79" s="21" t="s">
        <v>209</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29"/>
      <c r="AR79" s="104">
        <f>-InputSummary!AR203 * AR13</f>
        <v>0</v>
      </c>
      <c r="AS79" s="104">
        <f>-InputSummary!AS203 * AS13</f>
        <v>-0.6</v>
      </c>
      <c r="AT79" s="104">
        <f>-InputSummary!AT203 * AT13</f>
        <v>-0.6</v>
      </c>
      <c r="AU79" s="104">
        <f>-InputSummary!AU203 * AU13</f>
        <v>-0.6</v>
      </c>
      <c r="AV79" s="104">
        <f>-InputSummary!AV203 * AV13</f>
        <v>-0.6</v>
      </c>
      <c r="AW79" s="193"/>
    </row>
    <row r="80" spans="1:49" ht="15">
      <c r="A80" s="7"/>
      <c r="B80" s="7"/>
      <c r="C80" s="7"/>
      <c r="D80" s="7"/>
      <c r="E80" s="7" t="s">
        <v>1036</v>
      </c>
      <c r="F80" s="7"/>
      <c r="G80" s="21" t="s">
        <v>209</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8"/>
      <c r="AR80" s="458">
        <f t="shared" ref="AR80" si="24">AR78 + AR79</f>
        <v>0</v>
      </c>
      <c r="AS80" s="459">
        <f>AS78 + AS79</f>
        <v>-3.7034217232471023E-2</v>
      </c>
      <c r="AT80" s="459">
        <f t="shared" ref="AT80:AV80" si="25">AT78 + AT79</f>
        <v>-3.3969334581104293E-2</v>
      </c>
      <c r="AU80" s="459">
        <f t="shared" si="25"/>
        <v>-1.6502328923949761E-2</v>
      </c>
      <c r="AV80" s="459">
        <f t="shared" si="25"/>
        <v>-1.2914792440630318E-3</v>
      </c>
      <c r="AW80" s="193"/>
    </row>
    <row r="81" spans="1:49" ht="15">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5">
      <c r="A82" s="7"/>
      <c r="B82" s="7"/>
      <c r="C82" s="7"/>
      <c r="D82" s="7"/>
      <c r="E82" s="7" t="s">
        <v>1037</v>
      </c>
      <c r="F82" s="7"/>
      <c r="G82" s="21" t="s">
        <v>209</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4"/>
      <c r="AR82" s="49">
        <f>InputSummary!AR200 * AR13</f>
        <v>0</v>
      </c>
      <c r="AS82" s="49">
        <f>InputSummary!AS200 * AS13</f>
        <v>0.05</v>
      </c>
      <c r="AT82" s="49">
        <f>InputSummary!AT200 * AT13</f>
        <v>0.05</v>
      </c>
      <c r="AU82" s="49">
        <f>InputSummary!AU200 * AU13</f>
        <v>0.05</v>
      </c>
      <c r="AV82" s="49">
        <f>InputSummary!AV200 * AV13</f>
        <v>0.05</v>
      </c>
      <c r="AW82" s="7"/>
    </row>
    <row r="83" spans="1:49" ht="15">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5">
      <c r="A84" s="7"/>
      <c r="B84" s="7"/>
      <c r="C84" s="7"/>
      <c r="D84" s="7"/>
      <c r="E84" s="7" t="s">
        <v>1038</v>
      </c>
      <c r="F84" s="7"/>
      <c r="G84" s="21" t="s">
        <v>868</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5">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5">
      <c r="A86" s="7"/>
      <c r="B86" s="7"/>
      <c r="C86" s="7"/>
      <c r="D86" s="7"/>
      <c r="E86" s="7" t="s">
        <v>1033</v>
      </c>
      <c r="F86" s="7"/>
      <c r="G86" s="21" t="s">
        <v>304</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5">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5">
      <c r="A88" s="7"/>
      <c r="B88" s="7"/>
      <c r="C88" s="20" t="s">
        <v>1039</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5">
      <c r="A89" s="7"/>
      <c r="B89" s="7"/>
      <c r="C89" s="4" t="s">
        <v>1040</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5">
      <c r="A90" s="7"/>
      <c r="B90" s="7"/>
      <c r="C90" s="4" t="s">
        <v>1041</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5">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5">
      <c r="A92" s="7"/>
      <c r="B92" s="7"/>
      <c r="C92" s="7"/>
      <c r="D92" s="7"/>
      <c r="E92" s="7" t="s">
        <v>1019</v>
      </c>
      <c r="F92" s="7"/>
      <c r="G92" s="21" t="s">
        <v>304</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-1064.9535961851821</v>
      </c>
      <c r="AS92" s="7">
        <f t="shared" ref="AS92:AV92" si="28">AS46</f>
        <v>-1107.7409263671675</v>
      </c>
      <c r="AT92" s="7">
        <f t="shared" si="28"/>
        <v>-1203.188588207312</v>
      </c>
      <c r="AU92" s="7">
        <f t="shared" si="28"/>
        <v>-1321.9745598181278</v>
      </c>
      <c r="AV92" s="7">
        <f t="shared" si="28"/>
        <v>-1441.148470241727</v>
      </c>
      <c r="AW92" s="7"/>
    </row>
    <row r="93" spans="1:49" ht="15">
      <c r="A93" s="7"/>
      <c r="B93" s="7"/>
      <c r="C93" s="7"/>
      <c r="D93" s="7"/>
      <c r="E93" s="56" t="s">
        <v>1031</v>
      </c>
      <c r="F93" s="7"/>
      <c r="G93" s="21" t="s">
        <v>304</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1774.922660308637</v>
      </c>
      <c r="AS93" s="7">
        <f t="shared" si="29"/>
        <v>1967.6878422726411</v>
      </c>
      <c r="AT93" s="7">
        <f t="shared" si="29"/>
        <v>2125.6597243134916</v>
      </c>
      <c r="AU93" s="7">
        <f t="shared" si="29"/>
        <v>2265.6038324544197</v>
      </c>
      <c r="AV93" s="7">
        <f>AV55</f>
        <v>2407.0953064474757</v>
      </c>
      <c r="AW93" s="7"/>
    </row>
    <row r="94" spans="1:49" ht="15">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5">
      <c r="A95" s="7"/>
      <c r="B95" s="7"/>
      <c r="C95" s="7"/>
      <c r="D95" s="7"/>
      <c r="E95" s="7" t="s">
        <v>1042</v>
      </c>
      <c r="F95" s="7"/>
      <c r="G95" s="7" t="s">
        <v>209</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0.56296578276752895</v>
      </c>
      <c r="AT95" s="460">
        <f t="shared" si="30"/>
        <v>0.56603066541889568</v>
      </c>
      <c r="AU95" s="460">
        <f t="shared" si="30"/>
        <v>0.58349767107605022</v>
      </c>
      <c r="AV95" s="460">
        <f>-AV92 / AV93</f>
        <v>0.59870852075593695</v>
      </c>
      <c r="AW95" s="7"/>
    </row>
    <row r="96" spans="1:49" ht="15">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5">
      <c r="A97" s="7"/>
      <c r="B97" s="37" t="s">
        <v>1043</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5">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5">
      <c r="A99" s="7"/>
      <c r="B99" s="7"/>
      <c r="C99" s="28" t="s">
        <v>1044</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5">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5">
      <c r="A101" s="7"/>
      <c r="B101" s="7"/>
      <c r="C101" s="7"/>
      <c r="D101" s="10" t="s">
        <v>1045</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5">
      <c r="A102" s="7"/>
      <c r="B102" s="7"/>
      <c r="C102" s="7"/>
      <c r="D102" s="4" t="s">
        <v>1046</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5">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5">
      <c r="A104" s="7"/>
      <c r="B104" s="7"/>
      <c r="C104" s="7"/>
      <c r="D104" s="7"/>
      <c r="E104" s="10" t="s">
        <v>1047</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5">
      <c r="A105" s="7"/>
      <c r="B105" s="7"/>
      <c r="C105" s="7"/>
      <c r="D105" s="7"/>
      <c r="E105" s="7" t="s">
        <v>1048</v>
      </c>
      <c r="F105" s="7"/>
      <c r="G105" s="7" t="s">
        <v>249</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4"/>
      <c r="AR105" s="49">
        <f>InputSummary!AR178</f>
        <v>3.1E-2</v>
      </c>
      <c r="AS105" s="49">
        <f>InputSummary!AS178</f>
        <v>3.1699999999999999E-2</v>
      </c>
      <c r="AT105" s="49">
        <f>InputSummary!AT178</f>
        <v>3.2300000000000002E-2</v>
      </c>
      <c r="AU105" s="49">
        <f>InputSummary!AU178</f>
        <v>3.2399999999999998E-2</v>
      </c>
      <c r="AV105" s="49">
        <f>InputSummary!AV178</f>
        <v>3.2599999999999997E-2</v>
      </c>
      <c r="AW105" s="7"/>
    </row>
    <row r="106" spans="1:49" ht="15">
      <c r="A106" s="7"/>
      <c r="B106" s="7"/>
      <c r="C106" s="7"/>
      <c r="D106" s="7"/>
      <c r="E106" s="7" t="s">
        <v>1049</v>
      </c>
      <c r="F106" s="7"/>
      <c r="G106" s="7" t="s">
        <v>604</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4"/>
      <c r="AR106" s="49">
        <f>InputSummary!AR192</f>
        <v>0.02</v>
      </c>
      <c r="AS106" s="49">
        <f>InputSummary!AS192</f>
        <v>0.02</v>
      </c>
      <c r="AT106" s="49">
        <f>InputSummary!AT192</f>
        <v>0.02</v>
      </c>
      <c r="AU106" s="49">
        <f>InputSummary!AU192</f>
        <v>0.02</v>
      </c>
      <c r="AV106" s="49">
        <f>InputSummary!AV192</f>
        <v>0.02</v>
      </c>
      <c r="AW106" s="7"/>
    </row>
    <row r="107" spans="1:49" ht="15">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5">
      <c r="A108" s="2"/>
      <c r="B108" s="2"/>
      <c r="C108" s="2"/>
      <c r="D108" s="2"/>
      <c r="E108" s="7" t="s">
        <v>1050</v>
      </c>
      <c r="F108" s="7"/>
      <c r="G108" s="7" t="s">
        <v>1051</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5.2945999999999938E-2</v>
      </c>
      <c r="AU108" s="462">
        <f>(1 + AU105) * (1 + AU106) - 1</f>
        <v>5.3047999999999984E-2</v>
      </c>
      <c r="AV108" s="462">
        <f>(1 + AV105) * (1 + AV106) - 1</f>
        <v>5.3252000000000077E-2</v>
      </c>
      <c r="AW108" s="2"/>
    </row>
    <row r="109" spans="1:49" ht="15">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5">
      <c r="A110" s="7"/>
      <c r="B110" s="7"/>
      <c r="C110" s="7"/>
      <c r="D110" s="7"/>
      <c r="E110" s="10" t="s">
        <v>1052</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5">
      <c r="A111" s="7"/>
      <c r="B111" s="7"/>
      <c r="C111" s="7"/>
      <c r="D111" s="7"/>
      <c r="E111" s="56" t="s">
        <v>1053</v>
      </c>
      <c r="F111" s="7"/>
      <c r="G111" s="7" t="s">
        <v>604</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4"/>
      <c r="AR111" s="49">
        <f>InputSummary!AR191</f>
        <v>0.03</v>
      </c>
      <c r="AS111" s="49">
        <f>InputSummary!AS191</f>
        <v>0.03</v>
      </c>
      <c r="AT111" s="49">
        <f>InputSummary!AT191</f>
        <v>0.03</v>
      </c>
      <c r="AU111" s="49">
        <f>InputSummary!AU191</f>
        <v>0.03</v>
      </c>
      <c r="AV111" s="49">
        <f>InputSummary!AV191</f>
        <v>0.03</v>
      </c>
      <c r="AW111" s="7"/>
    </row>
    <row r="112" spans="1:49" ht="15">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5">
      <c r="A113" s="7"/>
      <c r="B113" s="7"/>
      <c r="C113" s="7"/>
      <c r="D113" s="2"/>
      <c r="E113" s="7" t="s">
        <v>1054</v>
      </c>
      <c r="F113" s="7"/>
      <c r="G113" s="7" t="s">
        <v>1055</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3"/>
      <c r="AK113" s="193"/>
      <c r="AL113" s="193"/>
      <c r="AM113" s="193"/>
      <c r="AN113" s="193"/>
      <c r="AO113" s="193"/>
      <c r="AP113" s="193"/>
      <c r="AQ113" s="187"/>
      <c r="AR113" s="193">
        <f t="shared" ref="AR113:AV113" si="31">(1+AR$108) / (1+AR111) - 1</f>
        <v>2.0990291262135807E-2</v>
      </c>
      <c r="AS113" s="193">
        <f>(1+AS$108) / (1+AS111) - 1</f>
        <v>2.168349514563106E-2</v>
      </c>
      <c r="AT113" s="193">
        <f t="shared" si="31"/>
        <v>2.2277669902912578E-2</v>
      </c>
      <c r="AU113" s="193">
        <f t="shared" si="31"/>
        <v>2.237669902912609E-2</v>
      </c>
      <c r="AV113" s="193">
        <f t="shared" si="31"/>
        <v>2.2574757281553337E-2</v>
      </c>
      <c r="AW113" s="2"/>
    </row>
    <row r="114" spans="1:49" ht="15">
      <c r="A114" s="7"/>
      <c r="B114" s="7"/>
      <c r="C114" s="7"/>
      <c r="D114" s="2"/>
      <c r="E114" s="7" t="s">
        <v>1056</v>
      </c>
      <c r="F114" s="7"/>
      <c r="G114" s="7" t="s">
        <v>604</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4"/>
      <c r="AR114" s="49">
        <f>InputSummary!AR188</f>
        <v>8.7530899065423995E-2</v>
      </c>
      <c r="AS114" s="49">
        <f>InputSummary!AS188</f>
        <v>4.3184769776843268E-2</v>
      </c>
      <c r="AT114" s="49">
        <f>InputSummary!AT188</f>
        <v>2.6233436648239294E-2</v>
      </c>
      <c r="AU114" s="49">
        <f>InputSummary!AU188</f>
        <v>2.6055468787939295E-2</v>
      </c>
      <c r="AV114" s="49">
        <f>InputSummary!AV188</f>
        <v>2.814630513484162E-2</v>
      </c>
      <c r="AW114" s="2"/>
    </row>
    <row r="115" spans="1:49" ht="15">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5">
      <c r="A116" s="2"/>
      <c r="B116" s="2"/>
      <c r="C116" s="2"/>
      <c r="D116" s="2"/>
      <c r="E116" s="7" t="s">
        <v>2</v>
      </c>
      <c r="F116" s="7"/>
      <c r="G116" s="7" t="s">
        <v>1051</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0.11035848939337956</v>
      </c>
      <c r="AS116" s="462">
        <f>(1 + AS113) * (1 + AS114) - 1</f>
        <v>6.5804661668295683E-2</v>
      </c>
      <c r="AT116" s="462">
        <f>(1 + AT113) * (1 + AT114) - 1</f>
        <v>4.9095526393220235E-2</v>
      </c>
      <c r="AU116" s="462">
        <f>(1 + AU113) * (1 + AU114) - 1</f>
        <v>4.9015203200195812E-2</v>
      </c>
      <c r="AV116" s="462">
        <f>(1 + AV113) * (1 + AV114) - 1</f>
        <v>5.135645842318648E-2</v>
      </c>
      <c r="AW116" s="2"/>
    </row>
    <row r="117" spans="1:49" ht="15">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5">
      <c r="A118" s="7"/>
      <c r="B118" s="7"/>
      <c r="C118" s="7"/>
      <c r="D118" s="7"/>
      <c r="E118" s="10" t="s">
        <v>1057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5">
      <c r="A119" s="2"/>
      <c r="B119" s="2"/>
      <c r="C119" s="2"/>
      <c r="D119" s="2"/>
      <c r="E119" s="7" t="s">
        <v>1058</v>
      </c>
      <c r="F119" s="7"/>
      <c r="G119" s="7" t="s">
        <v>1059</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3"/>
      <c r="AK119" s="193"/>
      <c r="AL119" s="193"/>
      <c r="AM119" s="193"/>
      <c r="AN119" s="193"/>
      <c r="AO119" s="193"/>
      <c r="AP119" s="193"/>
      <c r="AQ119" s="187"/>
      <c r="AR119" s="193">
        <f>AR105</f>
        <v>3.1E-2</v>
      </c>
      <c r="AS119" s="193">
        <f>AS105</f>
        <v>3.1699999999999999E-2</v>
      </c>
      <c r="AT119" s="193">
        <f>AT105</f>
        <v>3.2300000000000002E-2</v>
      </c>
      <c r="AU119" s="193">
        <f>AU105</f>
        <v>3.2399999999999998E-2</v>
      </c>
      <c r="AV119" s="193">
        <f>AV105</f>
        <v>3.2599999999999997E-2</v>
      </c>
      <c r="AW119" s="2"/>
    </row>
    <row r="120" spans="1:49" ht="15">
      <c r="A120" s="7"/>
      <c r="B120" s="7"/>
      <c r="C120" s="7"/>
      <c r="D120" s="7"/>
      <c r="E120" s="7" t="s">
        <v>1060</v>
      </c>
      <c r="F120" s="7"/>
      <c r="G120" s="7" t="s">
        <v>604</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4"/>
      <c r="AR120" s="49">
        <f>InputSummary!AR189</f>
        <v>6.2497611347487325E-2</v>
      </c>
      <c r="AS120" s="49">
        <f>InputSummary!AS189</f>
        <v>3.04739603020312E-2</v>
      </c>
      <c r="AT120" s="49">
        <f>InputSummary!AT189</f>
        <v>1.710175025781635E-2</v>
      </c>
      <c r="AU120" s="49">
        <f>InputSummary!AU189</f>
        <v>1.5421581354723601E-2</v>
      </c>
      <c r="AV120" s="49">
        <f>InputSummary!AV189</f>
        <v>1.7961851291584674E-2</v>
      </c>
      <c r="AW120" s="7"/>
    </row>
    <row r="121" spans="1:49" ht="15">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0"/>
      <c r="AR121" s="115"/>
      <c r="AS121" s="115"/>
      <c r="AT121" s="115"/>
      <c r="AU121" s="115"/>
      <c r="AV121" s="115"/>
      <c r="AW121" s="2"/>
    </row>
    <row r="122" spans="1:49" ht="15">
      <c r="A122" s="2"/>
      <c r="B122" s="2"/>
      <c r="C122" s="2"/>
      <c r="D122" s="2"/>
      <c r="E122" s="7" t="s">
        <v>1061</v>
      </c>
      <c r="F122" s="7"/>
      <c r="G122" s="7" t="s">
        <v>1051</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9.5435037299259395E-2</v>
      </c>
      <c r="AS122" s="462">
        <f t="shared" si="32"/>
        <v>6.3139984843605612E-2</v>
      </c>
      <c r="AT122" s="462">
        <f t="shared" si="32"/>
        <v>4.9954136791143799E-2</v>
      </c>
      <c r="AU122" s="462">
        <f t="shared" si="32"/>
        <v>4.8321240590616599E-2</v>
      </c>
      <c r="AV122" s="462">
        <f t="shared" si="32"/>
        <v>5.114740764369019E-2</v>
      </c>
      <c r="AW122" s="2"/>
    </row>
    <row r="123" spans="1:49" ht="15">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5">
      <c r="A124" s="7"/>
      <c r="B124" s="7"/>
      <c r="C124" s="7"/>
      <c r="D124" s="10" t="s">
        <v>1062</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5">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5">
      <c r="A126" s="7"/>
      <c r="B126" s="7"/>
      <c r="C126" s="7"/>
      <c r="D126" s="7"/>
      <c r="E126" s="56" t="s">
        <v>1063</v>
      </c>
      <c r="F126" s="7"/>
      <c r="G126" s="7" t="s">
        <v>304</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-1064.9535961851821</v>
      </c>
      <c r="AS126" s="7">
        <f>AS28</f>
        <v>-1107.7409263671675</v>
      </c>
      <c r="AT126" s="7">
        <f>AT28</f>
        <v>-1203.188588207312</v>
      </c>
      <c r="AU126" s="7">
        <f>AU28</f>
        <v>-1321.9745598181278</v>
      </c>
      <c r="AV126" s="7">
        <f>AV28</f>
        <v>-1441.148470241727</v>
      </c>
      <c r="AW126" s="7"/>
    </row>
    <row r="127" spans="1:49" ht="15">
      <c r="A127" s="7"/>
      <c r="B127" s="7"/>
      <c r="C127" s="7"/>
      <c r="D127" s="7"/>
      <c r="E127" s="56" t="s">
        <v>1064</v>
      </c>
      <c r="F127" s="7"/>
      <c r="G127" s="7" t="s">
        <v>304</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-1042.6133688017374</v>
      </c>
      <c r="AS127" s="105">
        <f>AS36</f>
        <v>-1142.3042959779316</v>
      </c>
      <c r="AT127" s="105">
        <f>AT36</f>
        <v>-1258.7745453651346</v>
      </c>
      <c r="AU127" s="105">
        <f>AU36</f>
        <v>-1371.1163265061612</v>
      </c>
      <c r="AV127" s="105">
        <f>AV36</f>
        <v>-1458.6271585845705</v>
      </c>
      <c r="AW127" s="7"/>
    </row>
    <row r="128" spans="1:49" ht="15">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5">
      <c r="A129" s="7"/>
      <c r="B129" s="7"/>
      <c r="C129" s="7"/>
      <c r="D129" s="7"/>
      <c r="E129" s="56" t="s">
        <v>1062</v>
      </c>
      <c r="F129" s="7"/>
      <c r="G129" s="7" t="s">
        <v>304</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-1053.7834824934598</v>
      </c>
      <c r="AS129" s="461">
        <f t="shared" si="33"/>
        <v>-1125.0226111725497</v>
      </c>
      <c r="AT129" s="461">
        <f t="shared" si="33"/>
        <v>-1230.9815667862233</v>
      </c>
      <c r="AU129" s="461">
        <f t="shared" si="33"/>
        <v>-1346.5454431621445</v>
      </c>
      <c r="AV129" s="461">
        <f>AVERAGE(AV126:AV127)</f>
        <v>-1449.8878144131486</v>
      </c>
      <c r="AW129" s="7"/>
    </row>
    <row r="130" spans="1:49" ht="15">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5">
      <c r="A131" s="7"/>
      <c r="B131" s="7"/>
      <c r="C131" s="7"/>
      <c r="D131" s="7"/>
      <c r="E131" s="7" t="s">
        <v>1065</v>
      </c>
      <c r="F131" s="7"/>
      <c r="G131" s="7" t="s">
        <v>1051</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0"/>
      <c r="AR131" s="185">
        <f>AR167/AR129</f>
        <v>6.2573759324814848E-2</v>
      </c>
      <c r="AS131" s="185">
        <f>AS167/AS129</f>
        <v>5.5035496210901473E-2</v>
      </c>
      <c r="AT131" s="185">
        <f>AT167/AT129</f>
        <v>5.219803419778591E-2</v>
      </c>
      <c r="AU131" s="185">
        <f>AU167/AU129</f>
        <v>5.1866310147654138E-2</v>
      </c>
      <c r="AV131" s="185">
        <f>AV167/AV129</f>
        <v>5.2725851910922605E-2</v>
      </c>
      <c r="AW131" s="7"/>
    </row>
    <row r="132" spans="1:49" ht="15">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5">
      <c r="A133" s="7"/>
      <c r="B133" s="7"/>
      <c r="C133" s="7"/>
      <c r="D133" s="10" t="s">
        <v>1066</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5">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5">
      <c r="A135" s="7"/>
      <c r="B135" s="7"/>
      <c r="C135" s="7"/>
      <c r="D135" s="7"/>
      <c r="E135" s="10" t="s">
        <v>1047</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5">
      <c r="A136" s="7"/>
      <c r="B136" s="7"/>
      <c r="C136" s="7"/>
      <c r="D136" s="7"/>
      <c r="E136" s="56" t="s">
        <v>1067</v>
      </c>
      <c r="F136" s="7"/>
      <c r="G136" s="7" t="s">
        <v>209</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7"/>
      <c r="AR136" s="126">
        <f>1 - (AR152 + AR143)</f>
        <v>0.75</v>
      </c>
      <c r="AS136" s="126">
        <f>1 - (AS152 + AS143)</f>
        <v>0.75</v>
      </c>
      <c r="AT136" s="126">
        <f>1 - (AT152 + AT143)</f>
        <v>0.75</v>
      </c>
      <c r="AU136" s="126">
        <f>1 - (AU152 + AU143)</f>
        <v>0.75</v>
      </c>
      <c r="AV136" s="126">
        <f>1 - (AV152 + AV143)</f>
        <v>0.75</v>
      </c>
      <c r="AW136" s="7"/>
    </row>
    <row r="137" spans="1:49" ht="15">
      <c r="A137" s="7"/>
      <c r="B137" s="7"/>
      <c r="C137" s="7"/>
      <c r="D137" s="7"/>
      <c r="E137" s="56" t="s">
        <v>1068</v>
      </c>
      <c r="F137" s="7"/>
      <c r="G137" s="7" t="s">
        <v>304</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-790.33761187009486</v>
      </c>
      <c r="AS137" s="7">
        <f t="shared" ref="AS137:AU137" si="34">AS$129 * AS136</f>
        <v>-843.76695837941224</v>
      </c>
      <c r="AT137" s="7">
        <f t="shared" si="34"/>
        <v>-923.23617508966754</v>
      </c>
      <c r="AU137" s="7">
        <f t="shared" si="34"/>
        <v>-1009.9090823716083</v>
      </c>
      <c r="AV137" s="7">
        <f>AV$129 * AV136</f>
        <v>-1087.4158608098614</v>
      </c>
      <c r="AW137" s="7"/>
    </row>
    <row r="138" spans="1:49" ht="15">
      <c r="A138" s="7"/>
      <c r="B138" s="7"/>
      <c r="C138" s="7"/>
      <c r="D138" s="7"/>
      <c r="E138" s="7" t="s">
        <v>1050</v>
      </c>
      <c r="F138" s="7"/>
      <c r="G138" s="96" t="s">
        <v>209</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3"/>
      <c r="AK138" s="193"/>
      <c r="AL138" s="193"/>
      <c r="AM138" s="193"/>
      <c r="AN138" s="193"/>
      <c r="AO138" s="193"/>
      <c r="AP138" s="193"/>
      <c r="AQ138" s="187"/>
      <c r="AR138" s="193">
        <f t="shared" ref="AR138:AV138" si="35">AR$108</f>
        <v>5.1619999999999999E-2</v>
      </c>
      <c r="AS138" s="193">
        <f t="shared" si="35"/>
        <v>5.2334000000000103E-2</v>
      </c>
      <c r="AT138" s="193">
        <f t="shared" si="35"/>
        <v>5.2945999999999938E-2</v>
      </c>
      <c r="AU138" s="193">
        <f t="shared" si="35"/>
        <v>5.3047999999999984E-2</v>
      </c>
      <c r="AV138" s="193">
        <f t="shared" si="35"/>
        <v>5.3252000000000077E-2</v>
      </c>
      <c r="AW138" s="7"/>
    </row>
    <row r="139" spans="1:49" ht="15">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5">
      <c r="A140" s="7"/>
      <c r="B140" s="7"/>
      <c r="C140" s="7"/>
      <c r="D140" s="7"/>
      <c r="E140" s="56" t="s">
        <v>1069</v>
      </c>
      <c r="F140" s="7"/>
      <c r="G140" s="7" t="s">
        <v>304</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-40.797227524734296</v>
      </c>
      <c r="AS140" s="461">
        <f t="shared" si="36"/>
        <v>-44.157699999828246</v>
      </c>
      <c r="AT140" s="461">
        <f t="shared" si="36"/>
        <v>-48.881662526297482</v>
      </c>
      <c r="AU140" s="461">
        <f t="shared" si="36"/>
        <v>-53.57365700164906</v>
      </c>
      <c r="AV140" s="461">
        <f>AV137*AV138</f>
        <v>-57.907069419846827</v>
      </c>
      <c r="AW140" s="7"/>
    </row>
    <row r="141" spans="1:49" ht="15">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5">
      <c r="A142" s="7"/>
      <c r="B142" s="7"/>
      <c r="C142" s="7"/>
      <c r="D142" s="7"/>
      <c r="E142" s="10" t="s">
        <v>1052</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5">
      <c r="A143" s="7"/>
      <c r="B143" s="7"/>
      <c r="C143" s="7"/>
      <c r="D143" s="7"/>
      <c r="E143" s="56" t="s">
        <v>268</v>
      </c>
      <c r="F143" s="7"/>
      <c r="G143" s="7" t="s">
        <v>209</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6"/>
      <c r="AR143" s="132">
        <f>InputSummary!AR205</f>
        <v>0</v>
      </c>
      <c r="AS143" s="132">
        <f>InputSummary!AS205</f>
        <v>0</v>
      </c>
      <c r="AT143" s="132">
        <f>InputSummary!AT205</f>
        <v>0</v>
      </c>
      <c r="AU143" s="132">
        <f>InputSummary!AU205</f>
        <v>0</v>
      </c>
      <c r="AV143" s="132">
        <f>InputSummary!AV205</f>
        <v>0</v>
      </c>
      <c r="AW143" s="7"/>
    </row>
    <row r="144" spans="1:49" ht="15">
      <c r="A144" s="7"/>
      <c r="B144" s="7"/>
      <c r="C144" s="7"/>
      <c r="D144" s="7"/>
      <c r="E144" s="56" t="s">
        <v>1070</v>
      </c>
      <c r="F144" s="7"/>
      <c r="G144" s="7" t="s">
        <v>304</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5">
      <c r="A145" s="7"/>
      <c r="B145" s="7"/>
      <c r="C145" s="7"/>
      <c r="D145" s="7"/>
      <c r="E145" s="7" t="s">
        <v>2</v>
      </c>
      <c r="F145" s="7"/>
      <c r="G145" s="96" t="s">
        <v>209</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3"/>
      <c r="AK145" s="193"/>
      <c r="AL145" s="193"/>
      <c r="AM145" s="193"/>
      <c r="AN145" s="193"/>
      <c r="AO145" s="193"/>
      <c r="AP145" s="193"/>
      <c r="AQ145" s="187"/>
      <c r="AR145" s="193">
        <f t="shared" ref="AR145:AV145" si="38">AR$116</f>
        <v>0.11035848939337956</v>
      </c>
      <c r="AS145" s="193">
        <f t="shared" si="38"/>
        <v>6.5804661668295683E-2</v>
      </c>
      <c r="AT145" s="193">
        <f t="shared" si="38"/>
        <v>4.9095526393220235E-2</v>
      </c>
      <c r="AU145" s="193">
        <f t="shared" si="38"/>
        <v>4.9015203200195812E-2</v>
      </c>
      <c r="AV145" s="193">
        <f t="shared" si="38"/>
        <v>5.135645842318648E-2</v>
      </c>
      <c r="AW145" s="193"/>
    </row>
    <row r="146" spans="1:49" ht="15">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5">
      <c r="A147" s="7"/>
      <c r="B147" s="7"/>
      <c r="C147" s="7"/>
      <c r="D147" s="7"/>
      <c r="E147" s="56" t="s">
        <v>1071</v>
      </c>
      <c r="F147" s="7"/>
      <c r="G147" s="7" t="s">
        <v>304</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5">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5">
      <c r="A149" s="7"/>
      <c r="B149" s="7"/>
      <c r="C149" s="7"/>
      <c r="D149" s="7"/>
      <c r="E149" s="56" t="s">
        <v>1072</v>
      </c>
      <c r="F149" s="7"/>
      <c r="G149" s="7" t="s">
        <v>304</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5">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5">
      <c r="A151" s="7"/>
      <c r="B151" s="7"/>
      <c r="C151" s="7"/>
      <c r="D151" s="7"/>
      <c r="E151" s="10" t="s">
        <v>1057</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5">
      <c r="A152" s="7"/>
      <c r="B152" s="7"/>
      <c r="C152" s="7"/>
      <c r="D152" s="7"/>
      <c r="E152" s="56" t="s">
        <v>267</v>
      </c>
      <c r="F152" s="7"/>
      <c r="G152" s="7" t="s">
        <v>209</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6"/>
      <c r="AR152" s="132">
        <f>InputSummary!AR204</f>
        <v>0.25</v>
      </c>
      <c r="AS152" s="132">
        <f>InputSummary!AS204</f>
        <v>0.25</v>
      </c>
      <c r="AT152" s="132">
        <f>InputSummary!AT204</f>
        <v>0.25</v>
      </c>
      <c r="AU152" s="132">
        <f>InputSummary!AU204</f>
        <v>0.25</v>
      </c>
      <c r="AV152" s="132">
        <f>InputSummary!AV204</f>
        <v>0.25</v>
      </c>
      <c r="AW152" s="7"/>
    </row>
    <row r="153" spans="1:49" ht="15">
      <c r="A153" s="7"/>
      <c r="B153" s="7"/>
      <c r="C153" s="7"/>
      <c r="D153" s="7"/>
      <c r="E153" s="56" t="s">
        <v>1073</v>
      </c>
      <c r="F153" s="7"/>
      <c r="G153" s="7" t="s">
        <v>304</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-263.44587062336495</v>
      </c>
      <c r="AS153" s="7">
        <f t="shared" ref="AS153:AU153" si="40">AS$129 * AS152</f>
        <v>-281.25565279313741</v>
      </c>
      <c r="AT153" s="7">
        <f t="shared" si="40"/>
        <v>-307.74539169655583</v>
      </c>
      <c r="AU153" s="7">
        <f t="shared" si="40"/>
        <v>-336.63636079053612</v>
      </c>
      <c r="AV153" s="7">
        <f>AV$129 * AV152</f>
        <v>-362.47195360328715</v>
      </c>
      <c r="AW153" s="7"/>
    </row>
    <row r="154" spans="1:49" ht="15">
      <c r="A154" s="7"/>
      <c r="B154" s="7"/>
      <c r="C154" s="7"/>
      <c r="D154" s="7"/>
      <c r="E154" s="7" t="s">
        <v>1061</v>
      </c>
      <c r="F154" s="7"/>
      <c r="G154" s="96" t="s">
        <v>209</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3"/>
      <c r="AK154" s="193"/>
      <c r="AL154" s="193"/>
      <c r="AM154" s="193"/>
      <c r="AN154" s="193"/>
      <c r="AO154" s="193"/>
      <c r="AP154" s="193"/>
      <c r="AQ154" s="187"/>
      <c r="AR154" s="294">
        <f t="shared" ref="AR154:AU154" si="41">AR$122</f>
        <v>9.5435037299259395E-2</v>
      </c>
      <c r="AS154" s="193">
        <f t="shared" si="41"/>
        <v>6.3139984843605612E-2</v>
      </c>
      <c r="AT154" s="193">
        <f t="shared" si="41"/>
        <v>4.9954136791143799E-2</v>
      </c>
      <c r="AU154" s="193">
        <f t="shared" si="41"/>
        <v>4.8321240590616599E-2</v>
      </c>
      <c r="AV154" s="193">
        <f>AV$122</f>
        <v>5.114740764369019E-2</v>
      </c>
      <c r="AW154" s="7"/>
    </row>
    <row r="155" spans="1:49" ht="15">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5">
      <c r="A156" s="7"/>
      <c r="B156" s="7"/>
      <c r="C156" s="7"/>
      <c r="D156" s="7"/>
      <c r="E156" s="56" t="s">
        <v>1074</v>
      </c>
      <c r="F156" s="7"/>
      <c r="G156" s="7" t="s">
        <v>304</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-25.141966489276701</v>
      </c>
      <c r="AS156" s="461">
        <f t="shared" si="42"/>
        <v>-17.758477654537099</v>
      </c>
      <c r="AT156" s="461">
        <f t="shared" si="42"/>
        <v>-15.37315539365388</v>
      </c>
      <c r="AU156" s="461">
        <f t="shared" si="42"/>
        <v>-16.266686581309109</v>
      </c>
      <c r="AV156" s="461">
        <f>AV153*AV154</f>
        <v>-18.539500770352085</v>
      </c>
      <c r="AW156" s="7"/>
    </row>
    <row r="157" spans="1:49" ht="15">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5">
      <c r="A158" s="7"/>
      <c r="B158" s="7"/>
      <c r="C158" s="7"/>
      <c r="D158" s="7"/>
      <c r="E158" s="56" t="s">
        <v>1075</v>
      </c>
      <c r="F158" s="7"/>
      <c r="G158" s="7" t="s">
        <v>304</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-16.464737633319491</v>
      </c>
      <c r="AS158" s="461">
        <f>AS120 * AS153</f>
        <v>-8.5709735979399397</v>
      </c>
      <c r="AT158" s="461">
        <f>AT120 * AT153</f>
        <v>-5.2629848317883674</v>
      </c>
      <c r="AU158" s="461">
        <f>AU120 * AU153</f>
        <v>-5.1914650248893386</v>
      </c>
      <c r="AV158" s="461">
        <f>AV120 * AV153</f>
        <v>-6.5106673279924232</v>
      </c>
      <c r="AW158" s="7"/>
    </row>
    <row r="159" spans="1:49" ht="15">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5">
      <c r="A160" s="7"/>
      <c r="B160" s="7"/>
      <c r="C160" s="7"/>
      <c r="D160" s="10" t="s">
        <v>1076</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5">
      <c r="A161" s="7"/>
      <c r="B161" s="7"/>
      <c r="C161" s="7"/>
      <c r="D161" s="4" t="s">
        <v>1077</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5">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5">
      <c r="A163" s="7"/>
      <c r="B163" s="7"/>
      <c r="C163" s="7"/>
      <c r="D163" s="7"/>
      <c r="E163" s="10" t="s">
        <v>1078</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5">
      <c r="A164" s="7"/>
      <c r="B164" s="7"/>
      <c r="C164" s="7"/>
      <c r="D164" s="7"/>
      <c r="E164" s="56" t="s">
        <v>1079</v>
      </c>
      <c r="F164" s="7"/>
      <c r="G164" s="7" t="s">
        <v>304</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-16.464737633319491</v>
      </c>
      <c r="AS164" s="7">
        <f>AS158 + AS149</f>
        <v>-8.5709735979399397</v>
      </c>
      <c r="AT164" s="7">
        <f>AT158 + AT149</f>
        <v>-5.2629848317883674</v>
      </c>
      <c r="AU164" s="7">
        <f>AU158 + AU149</f>
        <v>-5.1914650248893386</v>
      </c>
      <c r="AV164" s="7">
        <f>AV158 + AV149</f>
        <v>-6.5106673279924232</v>
      </c>
      <c r="AW164" s="7"/>
    </row>
    <row r="165" spans="1:49" ht="15">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2"/>
      <c r="AR165" s="471"/>
      <c r="AS165" s="26"/>
      <c r="AT165" s="26"/>
      <c r="AU165" s="26"/>
      <c r="AV165" s="26"/>
      <c r="AW165" s="7"/>
    </row>
    <row r="166" spans="1:49" ht="15">
      <c r="A166" s="7"/>
      <c r="B166" s="7"/>
      <c r="C166" s="7"/>
      <c r="D166" s="7"/>
      <c r="E166" s="10" t="s">
        <v>1080</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5">
      <c r="A167" s="7"/>
      <c r="B167" s="7"/>
      <c r="C167" s="7"/>
      <c r="D167" s="7"/>
      <c r="E167" s="56" t="s">
        <v>1066</v>
      </c>
      <c r="F167" s="7"/>
      <c r="G167" s="7" t="s">
        <v>304</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-65.939194014010994</v>
      </c>
      <c r="AS167" s="7">
        <f>AS140 + AS156 + AS147</f>
        <v>-61.916177654365342</v>
      </c>
      <c r="AT167" s="7">
        <f>AT140 + AT156 + AT147</f>
        <v>-64.254817919951364</v>
      </c>
      <c r="AU167" s="7">
        <f>AU140 + AU156 + AU147</f>
        <v>-69.84034358295817</v>
      </c>
      <c r="AV167" s="7">
        <f>AV140 + AV156 + AV147</f>
        <v>-76.446570190198912</v>
      </c>
      <c r="AW167" s="7"/>
    </row>
    <row r="168" spans="1:49" ht="15">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2"/>
      <c r="AR168" s="471"/>
      <c r="AS168" s="26"/>
      <c r="AT168" s="26"/>
      <c r="AU168" s="26"/>
      <c r="AV168" s="26"/>
      <c r="AW168" s="7"/>
    </row>
    <row r="169" spans="1:49" ht="15">
      <c r="A169" s="7"/>
      <c r="B169" s="7"/>
      <c r="C169" s="7"/>
      <c r="D169" s="7"/>
      <c r="E169" s="56" t="s">
        <v>1081</v>
      </c>
      <c r="F169" s="7"/>
      <c r="G169" s="7" t="s">
        <v>304</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-49.474456380691507</v>
      </c>
      <c r="AS169" s="461">
        <f t="shared" si="43"/>
        <v>-53.345204056425402</v>
      </c>
      <c r="AT169" s="461">
        <f t="shared" si="43"/>
        <v>-58.991833088162998</v>
      </c>
      <c r="AU169" s="461">
        <f t="shared" si="43"/>
        <v>-64.64887855806883</v>
      </c>
      <c r="AV169" s="461">
        <f t="shared" si="43"/>
        <v>-69.93590286220649</v>
      </c>
      <c r="AW169" s="7"/>
    </row>
    <row r="170" spans="1:49" ht="15">
      <c r="A170" s="7"/>
      <c r="B170" s="7"/>
      <c r="C170" s="7"/>
      <c r="D170" s="7"/>
      <c r="E170" s="56" t="s">
        <v>1079</v>
      </c>
      <c r="F170" s="7"/>
      <c r="G170" s="7" t="s">
        <v>304</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-16.464737633319491</v>
      </c>
      <c r="AS170" s="461">
        <f t="shared" ref="AS170:AV170" si="44">AS164</f>
        <v>-8.5709735979399397</v>
      </c>
      <c r="AT170" s="461">
        <f t="shared" si="44"/>
        <v>-5.2629848317883674</v>
      </c>
      <c r="AU170" s="461">
        <f t="shared" si="44"/>
        <v>-5.1914650248893386</v>
      </c>
      <c r="AV170" s="461">
        <f t="shared" si="44"/>
        <v>-6.5106673279924232</v>
      </c>
      <c r="AW170" s="7"/>
    </row>
    <row r="171" spans="1:49" ht="15">
      <c r="A171" s="7"/>
      <c r="B171" s="7"/>
      <c r="C171" s="7"/>
      <c r="D171" s="7"/>
      <c r="E171" s="56" t="s">
        <v>1082</v>
      </c>
      <c r="F171" s="7"/>
      <c r="G171" s="7" t="s">
        <v>209</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2"/>
      <c r="AR171" s="26">
        <f t="shared" ref="AR171:AV171" si="45">AR170 / AR167</f>
        <v>0.24969576713086614</v>
      </c>
      <c r="AS171" s="26">
        <f t="shared" si="45"/>
        <v>0.13842866150080652</v>
      </c>
      <c r="AT171" s="26">
        <f t="shared" si="45"/>
        <v>8.1908018762810786E-2</v>
      </c>
      <c r="AU171" s="26">
        <f t="shared" si="45"/>
        <v>7.4333325962561772E-2</v>
      </c>
      <c r="AV171" s="26">
        <f t="shared" si="45"/>
        <v>8.5166245023078152E-2</v>
      </c>
      <c r="AW171" s="7"/>
    </row>
    <row r="172" spans="1:49" ht="15">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5">
      <c r="A173" s="7"/>
      <c r="B173" s="7"/>
      <c r="C173" s="28" t="s">
        <v>1083</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5">
      <c r="A174" s="7"/>
      <c r="B174" s="7"/>
      <c r="C174" s="4" t="s">
        <v>1084</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5">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5">
      <c r="A176" s="7"/>
      <c r="B176" s="7"/>
      <c r="C176" s="34"/>
      <c r="D176" s="34"/>
      <c r="E176" s="34" t="s">
        <v>1085</v>
      </c>
      <c r="F176" s="34"/>
      <c r="G176" s="7" t="s">
        <v>550</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5">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5">
      <c r="A178" s="7"/>
      <c r="B178" s="7"/>
      <c r="C178" s="34"/>
      <c r="D178" s="34"/>
      <c r="E178" s="7" t="s">
        <v>1030</v>
      </c>
      <c r="F178" s="7"/>
      <c r="G178" s="7" t="s">
        <v>304</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-88.746133015431923</v>
      </c>
      <c r="AS178" s="7">
        <f>AS71</f>
        <v>0</v>
      </c>
      <c r="AT178" s="7">
        <f>AT71</f>
        <v>0</v>
      </c>
      <c r="AU178" s="7">
        <f>AU71</f>
        <v>0</v>
      </c>
      <c r="AV178" s="7">
        <f>AV71</f>
        <v>0</v>
      </c>
      <c r="AW178" s="89"/>
    </row>
    <row r="179" spans="1:49" ht="15">
      <c r="A179" s="7"/>
      <c r="B179" s="7"/>
      <c r="C179" s="7"/>
      <c r="D179" s="7"/>
      <c r="E179" s="7" t="s">
        <v>1086</v>
      </c>
      <c r="F179" s="7"/>
      <c r="G179" s="7" t="s">
        <v>304</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5">
      <c r="A180" s="7"/>
      <c r="B180" s="7"/>
      <c r="C180" s="34"/>
      <c r="D180" s="34"/>
      <c r="E180" s="7" t="s">
        <v>1087</v>
      </c>
      <c r="F180" s="7"/>
      <c r="G180" s="7" t="s">
        <v>304</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88.746133015431923</v>
      </c>
      <c r="AS180" s="7">
        <f t="shared" ref="AS180:AV180" si="46">AS176 * MAX(-AS178,0) + (1 - AS176) * (-AS178 + AS179)</f>
        <v>0</v>
      </c>
      <c r="AT180" s="7">
        <f t="shared" si="46"/>
        <v>0</v>
      </c>
      <c r="AU180" s="7">
        <f t="shared" si="46"/>
        <v>0</v>
      </c>
      <c r="AV180" s="7">
        <f t="shared" si="46"/>
        <v>0</v>
      </c>
      <c r="AW180" s="7"/>
    </row>
    <row r="181" spans="1:49" ht="15">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5">
      <c r="A182" s="7"/>
      <c r="B182" s="7"/>
      <c r="C182" s="34"/>
      <c r="D182" s="34"/>
      <c r="E182" s="7" t="s">
        <v>1088</v>
      </c>
      <c r="F182" s="7"/>
      <c r="G182" s="7" t="s">
        <v>209</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4"/>
      <c r="AR182" s="49">
        <f>InputSummary!AR201</f>
        <v>0.05</v>
      </c>
      <c r="AS182" s="49">
        <f>InputSummary!AS201</f>
        <v>0.05</v>
      </c>
      <c r="AT182" s="49">
        <f>InputSummary!AT201</f>
        <v>0.05</v>
      </c>
      <c r="AU182" s="49">
        <f>InputSummary!AU201</f>
        <v>0.05</v>
      </c>
      <c r="AV182" s="49">
        <f>InputSummary!AV201</f>
        <v>0.05</v>
      </c>
      <c r="AW182" s="7"/>
    </row>
    <row r="183" spans="1:49" ht="15">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5">
      <c r="A184" s="7"/>
      <c r="B184" s="7"/>
      <c r="C184" s="34"/>
      <c r="D184" s="34"/>
      <c r="E184" s="21" t="s">
        <v>531</v>
      </c>
      <c r="F184" s="7"/>
      <c r="G184" s="7" t="s">
        <v>304</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8"/>
      <c r="AK184" s="538"/>
      <c r="AL184" s="538"/>
      <c r="AM184" s="538"/>
      <c r="AN184" s="538"/>
      <c r="AO184" s="538"/>
      <c r="AP184" s="538"/>
      <c r="AQ184" s="385"/>
      <c r="AR184" s="538">
        <f t="shared" ref="AR184:AU184" si="47">AR180 * AR182</f>
        <v>4.4373066507715961</v>
      </c>
      <c r="AS184" s="538">
        <f t="shared" si="47"/>
        <v>0</v>
      </c>
      <c r="AT184" s="538">
        <f t="shared" si="47"/>
        <v>0</v>
      </c>
      <c r="AU184" s="538">
        <f t="shared" si="47"/>
        <v>0</v>
      </c>
      <c r="AV184" s="538">
        <f>AV180 * AV182</f>
        <v>0</v>
      </c>
      <c r="AW184" s="7"/>
    </row>
    <row r="185" spans="1:49" ht="15">
      <c r="A185" s="129"/>
      <c r="B185" s="129"/>
      <c r="C185" s="77"/>
      <c r="D185" s="77"/>
      <c r="E185" s="134" t="s">
        <v>1089</v>
      </c>
      <c r="F185" s="129"/>
      <c r="G185" s="129" t="s">
        <v>105</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2"/>
      <c r="AR185" s="149">
        <f t="shared" ref="AR185:AV185" si="48">AR184 / AR$17</f>
        <v>3.4420389688950572</v>
      </c>
      <c r="AS185" s="149">
        <f t="shared" si="48"/>
        <v>0</v>
      </c>
      <c r="AT185" s="149">
        <f t="shared" si="48"/>
        <v>0</v>
      </c>
      <c r="AU185" s="149">
        <f t="shared" si="48"/>
        <v>0</v>
      </c>
      <c r="AV185" s="149">
        <f t="shared" si="48"/>
        <v>0</v>
      </c>
      <c r="AW185" s="129"/>
    </row>
    <row r="186" spans="1:49" ht="15">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5">
      <c r="A187" s="7"/>
      <c r="B187" s="7"/>
      <c r="C187" s="28" t="s">
        <v>1090</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5">
      <c r="A188" s="7"/>
      <c r="B188" s="7"/>
      <c r="C188" s="4" t="s">
        <v>1091</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5">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5">
      <c r="A190" s="7"/>
      <c r="B190" s="7"/>
      <c r="C190" s="7"/>
      <c r="D190" s="7"/>
      <c r="E190" s="56" t="s">
        <v>1092</v>
      </c>
      <c r="F190" s="7"/>
      <c r="G190" s="7" t="s">
        <v>304</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1967.6878422726411</v>
      </c>
      <c r="AS190" s="8">
        <f>'Return&amp;RAV'!AS46 * AS$17</f>
        <v>2125.6597243134916</v>
      </c>
      <c r="AT190" s="8">
        <f>'Return&amp;RAV'!AT46 * AT$17</f>
        <v>2265.6038324544197</v>
      </c>
      <c r="AU190" s="8">
        <f>'Return&amp;RAV'!AU46 * AU$17</f>
        <v>2407.0953064474757</v>
      </c>
      <c r="AV190" s="8">
        <f>'Return&amp;RAV'!AV46 * AV$17</f>
        <v>2539.8682520833559</v>
      </c>
      <c r="AW190" s="7"/>
    </row>
    <row r="191" spans="1:49" ht="15">
      <c r="A191" s="7"/>
      <c r="B191" s="7"/>
      <c r="C191" s="7"/>
      <c r="D191" s="7"/>
      <c r="E191" s="7" t="s">
        <v>1093</v>
      </c>
      <c r="F191" s="7"/>
      <c r="G191" s="7" t="s">
        <v>209</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6"/>
      <c r="AR191" s="132">
        <f>(1 - AR63)</f>
        <v>0.4</v>
      </c>
      <c r="AS191" s="132">
        <f>(1 - AS63)</f>
        <v>0.4</v>
      </c>
      <c r="AT191" s="132">
        <f>(1 - AT63)</f>
        <v>0.4</v>
      </c>
      <c r="AU191" s="132">
        <f>(1 - AU63)</f>
        <v>0.4</v>
      </c>
      <c r="AV191" s="132">
        <f>(1 - AV63)</f>
        <v>0.4</v>
      </c>
      <c r="AW191" s="7"/>
    </row>
    <row r="192" spans="1:49" ht="15">
      <c r="A192" s="7"/>
      <c r="B192" s="7"/>
      <c r="C192" s="34"/>
      <c r="D192" s="34"/>
      <c r="E192" s="7" t="s">
        <v>1094</v>
      </c>
      <c r="F192" s="7"/>
      <c r="G192" s="7" t="s">
        <v>209</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4"/>
      <c r="AR192" s="49">
        <f>InputSummary!AR202</f>
        <v>0.03</v>
      </c>
      <c r="AS192" s="49">
        <f>InputSummary!AS202</f>
        <v>0.03</v>
      </c>
      <c r="AT192" s="49">
        <f>InputSummary!AT202</f>
        <v>0.03</v>
      </c>
      <c r="AU192" s="49">
        <f>InputSummary!AU202</f>
        <v>0.03</v>
      </c>
      <c r="AV192" s="49">
        <f>InputSummary!AV202</f>
        <v>0.03</v>
      </c>
      <c r="AW192" s="7"/>
    </row>
    <row r="193" spans="1:49" ht="15">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5">
      <c r="A194" s="7"/>
      <c r="B194" s="7"/>
      <c r="C194" s="7"/>
      <c r="D194" s="7"/>
      <c r="E194" s="56" t="s">
        <v>1095</v>
      </c>
      <c r="F194" s="7"/>
      <c r="G194" s="7" t="s">
        <v>304</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23.612254107271692</v>
      </c>
      <c r="AS194" s="461">
        <f t="shared" si="49"/>
        <v>25.507916691761899</v>
      </c>
      <c r="AT194" s="461">
        <f t="shared" si="49"/>
        <v>27.187245989453036</v>
      </c>
      <c r="AU194" s="461">
        <f t="shared" si="49"/>
        <v>28.885143677369708</v>
      </c>
      <c r="AV194" s="461">
        <f>AV190 * AV191 * AV192</f>
        <v>30.478419025000271</v>
      </c>
      <c r="AW194" s="7"/>
    </row>
    <row r="195" spans="1:49" ht="15">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5">
      <c r="A196" s="21"/>
      <c r="B196" s="37" t="s">
        <v>533</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5">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3"/>
      <c r="AR197" s="7"/>
      <c r="AS197" s="7"/>
      <c r="AT197" s="7"/>
      <c r="AU197" s="7"/>
      <c r="AV197" s="7"/>
      <c r="AW197" s="48"/>
    </row>
    <row r="198" spans="1:49" ht="15">
      <c r="A198" s="21"/>
      <c r="B198" s="21"/>
      <c r="C198" s="28" t="s">
        <v>1096</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5">
      <c r="A199" s="7"/>
      <c r="B199" s="7"/>
      <c r="C199" s="4" t="s">
        <v>1097</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5">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3"/>
      <c r="AR200" s="48"/>
      <c r="AS200" s="48"/>
      <c r="AT200" s="48"/>
      <c r="AU200" s="48"/>
      <c r="AV200" s="48"/>
      <c r="AW200" s="48"/>
    </row>
    <row r="201" spans="1:49" ht="15">
      <c r="A201" s="21"/>
      <c r="B201" s="21"/>
      <c r="C201" s="21"/>
      <c r="D201" s="21"/>
      <c r="E201" s="21" t="s">
        <v>1098</v>
      </c>
      <c r="F201" s="21"/>
      <c r="G201" s="21" t="s">
        <v>304</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352.93548476983938</v>
      </c>
      <c r="AS201" s="8">
        <f>Revenue!AS19 * AS$17</f>
        <v>314.02474211635996</v>
      </c>
      <c r="AT201" s="8">
        <f>Revenue!AT19 * AT$17</f>
        <v>367.3258327048872</v>
      </c>
      <c r="AU201" s="8">
        <f>Revenue!AU19 * AU$17</f>
        <v>377.07410304005884</v>
      </c>
      <c r="AV201" s="8">
        <f>Revenue!AV19 * AV$17</f>
        <v>381.26509919140426</v>
      </c>
      <c r="AW201" s="48"/>
    </row>
    <row r="202" spans="1:49" ht="15">
      <c r="A202" s="21"/>
      <c r="B202" s="21"/>
      <c r="C202" s="21"/>
      <c r="D202" s="21"/>
      <c r="E202" s="21" t="s">
        <v>1099</v>
      </c>
      <c r="F202" s="21"/>
      <c r="G202" s="21" t="s">
        <v>304</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4.8502266596433655E-2</v>
      </c>
      <c r="AS202" s="8">
        <f>InputSummary!AS151 * AS$17</f>
        <v>4.998032274325187E-2</v>
      </c>
      <c r="AT202" s="8">
        <f>InputSummary!AT151 * AT$17</f>
        <v>5.0835073740612025E-2</v>
      </c>
      <c r="AU202" s="8">
        <f>InputSummary!AU151 * AU$17</f>
        <v>5.1619030965976254E-2</v>
      </c>
      <c r="AV202" s="8">
        <f>InputSummary!AV151 * AV$17</f>
        <v>5.254620432400281E-2</v>
      </c>
      <c r="AW202" s="48"/>
    </row>
    <row r="203" spans="1:49" ht="15">
      <c r="A203" s="21"/>
      <c r="B203" s="21"/>
      <c r="C203" s="21"/>
      <c r="D203" s="21"/>
      <c r="E203" s="7" t="s">
        <v>1012</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-49.474456380691507</v>
      </c>
      <c r="AS203" s="7">
        <f t="shared" ref="AS203:AV203" si="50">AS169</f>
        <v>-53.345204056425402</v>
      </c>
      <c r="AT203" s="7">
        <f>AT169</f>
        <v>-58.991833088162998</v>
      </c>
      <c r="AU203" s="7">
        <f t="shared" si="50"/>
        <v>-64.64887855806883</v>
      </c>
      <c r="AV203" s="7">
        <f t="shared" si="50"/>
        <v>-69.93590286220649</v>
      </c>
      <c r="AW203" s="48"/>
    </row>
    <row r="204" spans="1:49" ht="15">
      <c r="A204" s="21"/>
      <c r="B204" s="21"/>
      <c r="C204" s="21"/>
      <c r="D204" s="21"/>
      <c r="E204" s="7" t="s">
        <v>1013</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-16.464737633319491</v>
      </c>
      <c r="AS204" s="7">
        <f t="shared" si="51"/>
        <v>-8.5709735979399397</v>
      </c>
      <c r="AT204" s="7">
        <f t="shared" si="51"/>
        <v>-5.2629848317883674</v>
      </c>
      <c r="AU204" s="7">
        <f t="shared" si="51"/>
        <v>-5.1914650248893386</v>
      </c>
      <c r="AV204" s="7">
        <f t="shared" si="51"/>
        <v>-6.5106673279924232</v>
      </c>
      <c r="AW204" s="48"/>
    </row>
    <row r="205" spans="1:49" ht="15">
      <c r="A205" s="21"/>
      <c r="B205" s="21"/>
      <c r="C205" s="21"/>
      <c r="D205" s="21"/>
      <c r="E205" s="21" t="s">
        <v>538</v>
      </c>
      <c r="F205" s="21"/>
      <c r="G205" s="21" t="s">
        <v>304</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-116.91929277664518</v>
      </c>
      <c r="AS205" s="8">
        <f>-TaxPools!AS50 * AS$17</f>
        <v>-67.59813878326095</v>
      </c>
      <c r="AT205" s="8">
        <f>-TaxPools!AT50 * AT$17</f>
        <v>-110.89029169034495</v>
      </c>
      <c r="AU205" s="8">
        <f>-TaxPools!AU50 * AU$17</f>
        <v>-113.65400650513564</v>
      </c>
      <c r="AV205" s="8">
        <f>-TaxPools!AV50 * AV$17</f>
        <v>-115.16786359685578</v>
      </c>
      <c r="AW205" s="48"/>
    </row>
    <row r="206" spans="1:49" ht="15.75">
      <c r="A206" s="21"/>
      <c r="B206" s="21"/>
      <c r="C206" s="21"/>
      <c r="D206" s="21"/>
      <c r="E206" s="21" t="s">
        <v>539</v>
      </c>
      <c r="F206" s="21"/>
      <c r="G206" s="21" t="s">
        <v>304</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-71.36109969381863</v>
      </c>
      <c r="AS206" s="8">
        <f>-TaxPools!AS112</f>
        <v>-76.796020138674947</v>
      </c>
      <c r="AT206" s="8">
        <f>-TaxPools!AT112</f>
        <v>-81.938193912612022</v>
      </c>
      <c r="AU206" s="8">
        <f>-TaxPools!AU112</f>
        <v>-85.491355911552844</v>
      </c>
      <c r="AV206" s="8">
        <f>-TaxPools!AV112</f>
        <v>-92.45960724246892</v>
      </c>
      <c r="AW206" s="48"/>
    </row>
    <row r="207" spans="1:49" ht="15">
      <c r="A207" s="21"/>
      <c r="B207" s="21"/>
      <c r="C207" s="21"/>
      <c r="D207" s="21"/>
      <c r="E207" s="21" t="s">
        <v>1100</v>
      </c>
      <c r="F207" s="21"/>
      <c r="G207" s="21" t="s">
        <v>304</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3"/>
      <c r="AR207" s="431">
        <f>SUM(AR201:AR206)</f>
        <v>98.764400551960989</v>
      </c>
      <c r="AS207" s="431">
        <f>SUM(AS201:AS206)</f>
        <v>107.76438586280196</v>
      </c>
      <c r="AT207" s="431">
        <f>SUM(AT201:AT206)</f>
        <v>110.29336425571948</v>
      </c>
      <c r="AU207" s="431">
        <f>SUM(AU201:AU206)</f>
        <v>108.14001607137818</v>
      </c>
      <c r="AV207" s="431">
        <f>SUM(AV201:AV206)</f>
        <v>97.243604366204622</v>
      </c>
      <c r="AW207" s="48"/>
    </row>
    <row r="208" spans="1:49" ht="15">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5">
      <c r="A209" s="21"/>
      <c r="B209" s="21"/>
      <c r="C209" s="28" t="s">
        <v>533</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5">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5">
      <c r="A211" s="21"/>
      <c r="B211" s="21"/>
      <c r="C211" s="21"/>
      <c r="D211" s="97" t="s">
        <v>1101</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4"/>
      <c r="AR211" s="97"/>
      <c r="AS211" s="97"/>
      <c r="AT211" s="97"/>
      <c r="AU211" s="97"/>
      <c r="AV211" s="97"/>
      <c r="AW211" s="48"/>
    </row>
    <row r="212" spans="1:49" ht="1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5"/>
      <c r="AR212" s="21"/>
      <c r="AS212" s="21"/>
      <c r="AT212" s="21"/>
      <c r="AU212" s="21"/>
      <c r="AV212" s="21"/>
      <c r="AW212" s="21"/>
    </row>
    <row r="213" spans="1:49" ht="15">
      <c r="A213" s="21"/>
      <c r="B213" s="21"/>
      <c r="C213" s="21"/>
      <c r="D213" s="21"/>
      <c r="E213" s="134" t="s">
        <v>1102</v>
      </c>
      <c r="F213" s="21"/>
      <c r="G213" s="21" t="s">
        <v>304</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7"/>
      <c r="AR213" s="79">
        <f>InputSummary!AR278</f>
        <v>0</v>
      </c>
      <c r="AS213" s="79">
        <f>InputSummary!AS278</f>
        <v>0</v>
      </c>
      <c r="AT213" s="79">
        <f>InputSummary!AT278</f>
        <v>0</v>
      </c>
      <c r="AU213" s="79">
        <f>InputSummary!AU278</f>
        <v>0</v>
      </c>
      <c r="AV213" s="79">
        <f>InputSummary!AV278</f>
        <v>0</v>
      </c>
      <c r="AW213" s="21"/>
    </row>
    <row r="214" spans="1:49" ht="1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5"/>
      <c r="AR214" s="21"/>
      <c r="AS214" s="21"/>
      <c r="AT214" s="21"/>
      <c r="AU214" s="21"/>
      <c r="AV214" s="21"/>
      <c r="AW214" s="21"/>
    </row>
    <row r="215" spans="1:49" ht="15">
      <c r="A215" s="21"/>
      <c r="B215" s="21"/>
      <c r="C215" s="21"/>
      <c r="D215" s="21"/>
      <c r="E215" s="7" t="s">
        <v>1103</v>
      </c>
      <c r="F215" s="21"/>
      <c r="G215" s="21" t="s">
        <v>304</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5">
      <c r="A216" s="21"/>
      <c r="B216" s="21"/>
      <c r="C216" s="21"/>
      <c r="D216" s="21"/>
      <c r="E216" s="7" t="s">
        <v>1104</v>
      </c>
      <c r="F216" s="21"/>
      <c r="G216" s="21" t="s">
        <v>304</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5">
      <c r="A217" s="208"/>
      <c r="B217" s="208"/>
      <c r="C217" s="208"/>
      <c r="D217" s="21"/>
      <c r="E217" s="7" t="s">
        <v>1105</v>
      </c>
      <c r="F217" s="21"/>
      <c r="G217" s="21" t="s">
        <v>304</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5">
      <c r="A218" s="21"/>
      <c r="B218" s="21"/>
      <c r="C218" s="21"/>
      <c r="D218" s="21"/>
      <c r="E218" s="7" t="s">
        <v>1106</v>
      </c>
      <c r="F218" s="21"/>
      <c r="G218" s="21" t="s">
        <v>304</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-25.621896772103849</v>
      </c>
      <c r="AS218" s="7">
        <f t="shared" ref="AS218:AV218" si="52">AS299</f>
        <v>-40.782845264802276</v>
      </c>
      <c r="AT218" s="7">
        <f t="shared" si="52"/>
        <v>-44.861740865789358</v>
      </c>
      <c r="AU218" s="7">
        <f t="shared" si="52"/>
        <v>0</v>
      </c>
      <c r="AV218" s="7">
        <f t="shared" si="52"/>
        <v>0</v>
      </c>
      <c r="AW218" s="21"/>
    </row>
    <row r="219" spans="1:49" ht="15">
      <c r="A219" s="21"/>
      <c r="B219" s="21"/>
      <c r="C219" s="21"/>
      <c r="D219" s="21"/>
      <c r="E219" s="21" t="s">
        <v>1100</v>
      </c>
      <c r="F219" s="21"/>
      <c r="G219" s="21" t="s">
        <v>304</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25.621896772103849</v>
      </c>
      <c r="AS219" s="7">
        <f>IF(AS207 &gt;= 0, MIN(AS207, -(AS215 + AS217 + AS218)), 0)</f>
        <v>40.782845264802276</v>
      </c>
      <c r="AT219" s="7">
        <f>IF(AT207 &gt;= 0, MIN(AT207, -(AT215 + AT217 + AT218)), 0)</f>
        <v>44.861740865789358</v>
      </c>
      <c r="AU219" s="7">
        <f>IF(AU207 &gt;= 0, MIN(AU207, -(AU215 + AU217 + AU218)), 0)</f>
        <v>0</v>
      </c>
      <c r="AV219" s="7">
        <f>IF(AV207 &gt;= 0, MIN(AV207, -(AV215 + AV217 + AV218)), 0)</f>
        <v>0</v>
      </c>
      <c r="AW219" s="21"/>
    </row>
    <row r="220" spans="1:49" ht="15">
      <c r="A220" s="21"/>
      <c r="B220" s="21"/>
      <c r="C220" s="21"/>
      <c r="D220" s="21"/>
      <c r="E220" s="7" t="s">
        <v>1107</v>
      </c>
      <c r="F220" s="21"/>
      <c r="G220" s="21" t="s">
        <v>304</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3"/>
      <c r="AR220" s="431">
        <f t="shared" ref="AR220:AU220" si="53">SUM(AR215:AR219)</f>
        <v>0</v>
      </c>
      <c r="AS220" s="431">
        <f t="shared" si="53"/>
        <v>0</v>
      </c>
      <c r="AT220" s="431">
        <f t="shared" si="53"/>
        <v>0</v>
      </c>
      <c r="AU220" s="431">
        <f t="shared" si="53"/>
        <v>0</v>
      </c>
      <c r="AV220" s="431">
        <f>SUM(AV215:AV219)</f>
        <v>0</v>
      </c>
      <c r="AW220" s="21"/>
    </row>
    <row r="221" spans="1:49" ht="1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5"/>
      <c r="AR221" s="7"/>
      <c r="AS221" s="7"/>
      <c r="AT221" s="7"/>
      <c r="AU221" s="7"/>
      <c r="AV221" s="7"/>
      <c r="AW221" s="21"/>
    </row>
    <row r="222" spans="1:49" ht="15">
      <c r="A222" s="21"/>
      <c r="B222" s="21"/>
      <c r="C222" s="21"/>
      <c r="D222" s="97" t="s">
        <v>1108</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4"/>
      <c r="AR222" s="97"/>
      <c r="AS222" s="97"/>
      <c r="AT222" s="97"/>
      <c r="AU222" s="97"/>
      <c r="AV222" s="97"/>
      <c r="AW222" s="21"/>
    </row>
    <row r="223" spans="1:49" ht="15">
      <c r="A223" s="7"/>
      <c r="B223" s="7"/>
      <c r="C223" s="7"/>
      <c r="D223" s="4" t="s">
        <v>1109</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5">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5">
      <c r="A225" s="7"/>
      <c r="B225" s="7"/>
      <c r="C225" s="7"/>
      <c r="D225" s="7"/>
      <c r="E225" s="21" t="s">
        <v>1110</v>
      </c>
      <c r="F225" s="21"/>
      <c r="G225" s="21" t="s">
        <v>304</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73.142503779857137</v>
      </c>
      <c r="AS225" s="7">
        <f>MAX( AS207 - AS219, 0)</f>
        <v>66.981540597999683</v>
      </c>
      <c r="AT225" s="7">
        <f>MAX( AT207 - AT219, 0)</f>
        <v>65.431623389930124</v>
      </c>
      <c r="AU225" s="7">
        <f>MAX( AU207 - AU219, 0)</f>
        <v>108.14001607137818</v>
      </c>
      <c r="AV225" s="7">
        <f>MAX( AV207 - AV219, 0)</f>
        <v>97.243604366204622</v>
      </c>
      <c r="AW225" s="7"/>
    </row>
    <row r="226" spans="1:49" ht="15">
      <c r="A226" s="7"/>
      <c r="B226" s="7"/>
      <c r="C226" s="7"/>
      <c r="D226" s="7"/>
      <c r="E226" s="7" t="s">
        <v>335</v>
      </c>
      <c r="F226" s="21"/>
      <c r="G226" s="7" t="s">
        <v>209</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6"/>
      <c r="AR226" s="527">
        <f>InputSummary!AR264</f>
        <v>0.25</v>
      </c>
      <c r="AS226" s="123">
        <f>InputSummary!AS264</f>
        <v>0.25</v>
      </c>
      <c r="AT226" s="123">
        <f>InputSummary!AT264</f>
        <v>0.25</v>
      </c>
      <c r="AU226" s="123">
        <f>InputSummary!AU264</f>
        <v>0.25</v>
      </c>
      <c r="AV226" s="123">
        <f>InputSummary!AV264</f>
        <v>0.25</v>
      </c>
      <c r="AW226" s="7"/>
    </row>
    <row r="227" spans="1:49" ht="15">
      <c r="A227" s="21"/>
      <c r="B227" s="21"/>
      <c r="C227" s="21"/>
      <c r="D227" s="21"/>
      <c r="E227" s="21" t="s">
        <v>1111</v>
      </c>
      <c r="F227" s="21"/>
      <c r="G227" s="21" t="s">
        <v>304</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18.285625944964284</v>
      </c>
      <c r="AS227" s="7">
        <f t="shared" si="54"/>
        <v>16.745385149499921</v>
      </c>
      <c r="AT227" s="7">
        <f t="shared" si="54"/>
        <v>16.357905847482531</v>
      </c>
      <c r="AU227" s="7">
        <f t="shared" si="54"/>
        <v>27.035004017844546</v>
      </c>
      <c r="AV227" s="7">
        <f t="shared" si="54"/>
        <v>24.310901091551155</v>
      </c>
      <c r="AW227" s="21"/>
    </row>
    <row r="228" spans="1:49" ht="1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5"/>
      <c r="AR228" s="13"/>
      <c r="AS228" s="7"/>
      <c r="AT228" s="7"/>
      <c r="AU228" s="7"/>
      <c r="AV228" s="7"/>
      <c r="AW228" s="21"/>
    </row>
    <row r="229" spans="1:49" ht="15">
      <c r="A229" s="21"/>
      <c r="B229" s="21"/>
      <c r="C229" s="21"/>
      <c r="D229" s="21"/>
      <c r="E229" s="7" t="s">
        <v>1112</v>
      </c>
      <c r="F229" s="21"/>
      <c r="G229" s="7" t="s">
        <v>100</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5"/>
      <c r="AR230" s="13"/>
      <c r="AS230" s="7"/>
      <c r="AT230" s="7"/>
      <c r="AU230" s="7"/>
      <c r="AV230" s="7"/>
      <c r="AW230" s="21"/>
    </row>
    <row r="231" spans="1:49" ht="15">
      <c r="A231" s="21"/>
      <c r="B231" s="21"/>
      <c r="C231" s="21"/>
      <c r="D231" s="21"/>
      <c r="E231" s="2" t="s">
        <v>1108</v>
      </c>
      <c r="F231" s="21"/>
      <c r="G231" s="21" t="s">
        <v>304</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8"/>
      <c r="AK231" s="538"/>
      <c r="AL231" s="538"/>
      <c r="AM231" s="538"/>
      <c r="AN231" s="538"/>
      <c r="AO231" s="538"/>
      <c r="AP231" s="538"/>
      <c r="AQ231" s="385"/>
      <c r="AR231" s="538">
        <f t="shared" ref="AR231:AU231" si="56">AR227 * AR229</f>
        <v>24.380834593285712</v>
      </c>
      <c r="AS231" s="538">
        <f t="shared" si="56"/>
        <v>22.327180199333228</v>
      </c>
      <c r="AT231" s="538">
        <f t="shared" si="56"/>
        <v>21.810541129976706</v>
      </c>
      <c r="AU231" s="538">
        <f t="shared" si="56"/>
        <v>36.046672023792723</v>
      </c>
      <c r="AV231" s="538">
        <f>AV227 * AV229</f>
        <v>32.414534788734869</v>
      </c>
      <c r="AW231" s="21"/>
    </row>
    <row r="232" spans="1:49" ht="1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5"/>
      <c r="AR232" s="13"/>
      <c r="AS232" s="7"/>
      <c r="AT232" s="7"/>
      <c r="AU232" s="7"/>
      <c r="AV232" s="7"/>
      <c r="AW232" s="21"/>
    </row>
    <row r="233" spans="1:49" ht="15">
      <c r="A233" s="21"/>
      <c r="B233" s="21"/>
      <c r="C233" s="21"/>
      <c r="D233" s="97" t="s">
        <v>533</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4"/>
      <c r="AR233" s="468"/>
      <c r="AS233" s="97"/>
      <c r="AT233" s="97"/>
      <c r="AU233" s="97"/>
      <c r="AV233" s="97"/>
      <c r="AW233" s="21"/>
    </row>
    <row r="234" spans="1:49" ht="1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5">
      <c r="A235" s="2"/>
      <c r="B235" s="2"/>
      <c r="C235" s="2"/>
      <c r="D235" s="2"/>
      <c r="E235" s="2" t="s">
        <v>1108</v>
      </c>
      <c r="F235" s="2"/>
      <c r="G235" s="21" t="s">
        <v>304</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24.380834593285712</v>
      </c>
      <c r="AS235" s="7">
        <f t="shared" si="57"/>
        <v>22.327180199333228</v>
      </c>
      <c r="AT235" s="7">
        <f t="shared" si="57"/>
        <v>21.810541129976706</v>
      </c>
      <c r="AU235" s="7">
        <f t="shared" si="57"/>
        <v>36.046672023792723</v>
      </c>
      <c r="AV235" s="7">
        <f>AV231</f>
        <v>32.414534788734869</v>
      </c>
      <c r="AW235" s="2"/>
    </row>
    <row r="236" spans="1:49" ht="15">
      <c r="A236" s="208"/>
      <c r="B236" s="21"/>
      <c r="C236" s="21"/>
      <c r="D236" s="21"/>
      <c r="E236" s="7" t="s">
        <v>1113</v>
      </c>
      <c r="F236" s="21"/>
      <c r="G236" s="21" t="s">
        <v>304</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5">
      <c r="A237" s="21"/>
      <c r="B237" s="21"/>
      <c r="C237" s="21"/>
      <c r="D237" s="21"/>
      <c r="E237" s="2" t="s">
        <v>533</v>
      </c>
      <c r="F237" s="21"/>
      <c r="G237" s="21" t="s">
        <v>304</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6"/>
      <c r="AK237" s="526"/>
      <c r="AL237" s="526"/>
      <c r="AM237" s="526"/>
      <c r="AN237" s="526"/>
      <c r="AO237" s="526"/>
      <c r="AP237" s="526"/>
      <c r="AQ237" s="531"/>
      <c r="AR237" s="526">
        <f t="shared" ref="AR237:AU237" si="59">AR235+AR236</f>
        <v>24.380834593285712</v>
      </c>
      <c r="AS237" s="526">
        <f t="shared" si="59"/>
        <v>22.327180199333228</v>
      </c>
      <c r="AT237" s="526">
        <f t="shared" si="59"/>
        <v>21.810541129976706</v>
      </c>
      <c r="AU237" s="526">
        <f t="shared" si="59"/>
        <v>36.046672023792723</v>
      </c>
      <c r="AV237" s="526">
        <f>AV235+AV236</f>
        <v>32.414534788734869</v>
      </c>
      <c r="AW237" s="21"/>
    </row>
    <row r="238" spans="1:49" ht="15">
      <c r="A238" s="21"/>
      <c r="B238" s="21"/>
      <c r="C238" s="21"/>
      <c r="D238" s="21"/>
      <c r="E238" s="2" t="s">
        <v>329</v>
      </c>
      <c r="F238" s="21"/>
      <c r="G238" s="21" t="s">
        <v>304</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InputSummary!AR285</f>
        <v>0</v>
      </c>
      <c r="AS238" s="8">
        <f>InputSummary!AS285</f>
        <v>0</v>
      </c>
      <c r="AT238" s="8">
        <f>InputSummary!AT285</f>
        <v>0</v>
      </c>
      <c r="AU238" s="8">
        <f>InputSummary!AU285</f>
        <v>0</v>
      </c>
      <c r="AV238" s="8">
        <f>InputSummary!AV285</f>
        <v>0</v>
      </c>
      <c r="AW238" s="21"/>
    </row>
    <row r="239" spans="1:49" ht="15">
      <c r="A239" s="21"/>
      <c r="B239" s="21"/>
      <c r="C239" s="21"/>
      <c r="D239" s="21"/>
      <c r="E239" s="2" t="s">
        <v>1114</v>
      </c>
      <c r="F239" s="21"/>
      <c r="G239" s="21" t="s">
        <v>304</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3"/>
      <c r="AR239" s="431">
        <f t="shared" ref="AR239:AU239" si="60">SUM(AR237:AR238)</f>
        <v>24.380834593285712</v>
      </c>
      <c r="AS239" s="431">
        <f t="shared" si="60"/>
        <v>22.327180199333228</v>
      </c>
      <c r="AT239" s="431">
        <f t="shared" si="60"/>
        <v>21.810541129976706</v>
      </c>
      <c r="AU239" s="431">
        <f t="shared" si="60"/>
        <v>36.046672023792723</v>
      </c>
      <c r="AV239" s="431">
        <f>SUM(AV237:AV238)</f>
        <v>32.414534788734869</v>
      </c>
      <c r="AW239" s="21"/>
    </row>
    <row r="240" spans="1:49" ht="15">
      <c r="A240" s="129"/>
      <c r="B240" s="129"/>
      <c r="C240" s="77"/>
      <c r="D240" s="77"/>
      <c r="E240" s="134" t="s">
        <v>1115</v>
      </c>
      <c r="F240" s="129"/>
      <c r="G240" s="129" t="s">
        <v>105</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2"/>
      <c r="AR240" s="149">
        <f t="shared" ref="AR240:AV240" si="61">AR237 / AR$17</f>
        <v>18.912324382557923</v>
      </c>
      <c r="AS240" s="149">
        <f t="shared" si="61"/>
        <v>16.80711593650496</v>
      </c>
      <c r="AT240" s="149">
        <f t="shared" si="61"/>
        <v>16.142149212467647</v>
      </c>
      <c r="AU240" s="149">
        <f t="shared" si="61"/>
        <v>26.273244189525634</v>
      </c>
      <c r="AV240" s="149">
        <f t="shared" si="61"/>
        <v>23.209020779359033</v>
      </c>
      <c r="AW240" s="129"/>
    </row>
    <row r="241" spans="1:49" ht="15">
      <c r="A241" s="129"/>
      <c r="B241" s="129"/>
      <c r="C241" s="77"/>
      <c r="D241" s="77"/>
      <c r="E241" s="134" t="s">
        <v>1116</v>
      </c>
      <c r="F241" s="129"/>
      <c r="G241" s="129" t="s">
        <v>105</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2"/>
      <c r="AR241" s="149">
        <f t="shared" ref="AR241:AV241" si="62">AR238 /  AR$17</f>
        <v>0</v>
      </c>
      <c r="AS241" s="149">
        <f t="shared" si="62"/>
        <v>0</v>
      </c>
      <c r="AT241" s="149">
        <f t="shared" si="62"/>
        <v>0</v>
      </c>
      <c r="AU241" s="149">
        <f t="shared" si="62"/>
        <v>0</v>
      </c>
      <c r="AV241" s="149">
        <f t="shared" si="62"/>
        <v>0</v>
      </c>
      <c r="AW241" s="129"/>
    </row>
    <row r="242" spans="1:49" ht="15">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5"/>
      <c r="AR242" s="30"/>
      <c r="AS242" s="30"/>
      <c r="AT242" s="30"/>
      <c r="AU242" s="30"/>
      <c r="AV242" s="30"/>
      <c r="AW242" s="21"/>
    </row>
    <row r="243" spans="1:49" ht="15">
      <c r="A243" s="21"/>
      <c r="B243" s="37" t="s">
        <v>1117</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5">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5">
      <c r="A245" s="7"/>
      <c r="B245" s="21"/>
      <c r="C245" s="124" t="s">
        <v>1096</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7"/>
      <c r="AR245" s="124"/>
      <c r="AS245" s="124"/>
      <c r="AT245" s="124"/>
      <c r="AU245" s="124"/>
      <c r="AV245" s="124"/>
      <c r="AW245" s="21"/>
    </row>
    <row r="246" spans="1:49" ht="15">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5">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3"/>
      <c r="AR247" s="30"/>
      <c r="AS247" s="30"/>
      <c r="AT247" s="30"/>
      <c r="AU247" s="30"/>
      <c r="AV247" s="30"/>
      <c r="AW247" s="21"/>
    </row>
    <row r="248" spans="1:49" ht="15">
      <c r="A248" s="7"/>
      <c r="B248" s="7"/>
      <c r="C248" s="21"/>
      <c r="D248" s="21"/>
      <c r="E248" s="21" t="s">
        <v>1118</v>
      </c>
      <c r="F248" s="21"/>
      <c r="G248" s="21" t="s">
        <v>304</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352.93548476983938</v>
      </c>
      <c r="AS248" s="7">
        <f t="shared" si="63"/>
        <v>314.02474211635996</v>
      </c>
      <c r="AT248" s="7">
        <f t="shared" si="63"/>
        <v>367.3258327048872</v>
      </c>
      <c r="AU248" s="7">
        <f t="shared" si="63"/>
        <v>377.07410304005884</v>
      </c>
      <c r="AV248" s="7">
        <f t="shared" si="63"/>
        <v>381.26509919140426</v>
      </c>
      <c r="AW248" s="21"/>
    </row>
    <row r="249" spans="1:49" ht="15">
      <c r="A249" s="7"/>
      <c r="B249" s="7"/>
      <c r="C249" s="21"/>
      <c r="D249" s="21"/>
      <c r="E249" s="21" t="s">
        <v>536</v>
      </c>
      <c r="F249" s="21"/>
      <c r="G249" s="21" t="s">
        <v>304</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4.8502266596433655E-2</v>
      </c>
      <c r="AS249" s="7">
        <f t="shared" si="63"/>
        <v>4.998032274325187E-2</v>
      </c>
      <c r="AT249" s="7">
        <f t="shared" si="63"/>
        <v>5.0835073740612025E-2</v>
      </c>
      <c r="AU249" s="7">
        <f t="shared" si="63"/>
        <v>5.1619030965976254E-2</v>
      </c>
      <c r="AV249" s="7">
        <f t="shared" si="63"/>
        <v>5.254620432400281E-2</v>
      </c>
      <c r="AW249" s="21"/>
    </row>
    <row r="250" spans="1:49" ht="15">
      <c r="A250" s="7"/>
      <c r="B250" s="7"/>
      <c r="C250" s="21"/>
      <c r="D250" s="21"/>
      <c r="E250" s="21" t="s">
        <v>1014</v>
      </c>
      <c r="F250" s="21"/>
      <c r="G250" s="21" t="s">
        <v>304</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24.380834593285712</v>
      </c>
      <c r="AS250" s="7">
        <f t="shared" si="64"/>
        <v>22.327180199333228</v>
      </c>
      <c r="AT250" s="7">
        <f t="shared" si="64"/>
        <v>21.810541129976706</v>
      </c>
      <c r="AU250" s="7">
        <f t="shared" si="64"/>
        <v>36.046672023792723</v>
      </c>
      <c r="AV250" s="7">
        <f>AV239</f>
        <v>32.414534788734869</v>
      </c>
      <c r="AW250" s="21"/>
    </row>
    <row r="251" spans="1:49" ht="15">
      <c r="A251" s="7"/>
      <c r="B251" s="7"/>
      <c r="C251" s="21"/>
      <c r="D251" s="21"/>
      <c r="E251" s="21" t="s">
        <v>1119</v>
      </c>
      <c r="F251" s="21"/>
      <c r="G251" s="21" t="s">
        <v>304</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2.0463656155447927</v>
      </c>
      <c r="AS251" s="7">
        <f>(InputSummary!AS143 + InputSummary!AS144) * AS$17</f>
        <v>1.4552131030102573</v>
      </c>
      <c r="AT251" s="7">
        <f>(InputSummary!AT143 + InputSummary!AT144) * AT$17</f>
        <v>1.0276588773079096</v>
      </c>
      <c r="AU251" s="7">
        <f>(InputSummary!AU143 + InputSummary!AU144) * AU$17</f>
        <v>0.76720061043015308</v>
      </c>
      <c r="AV251" s="7">
        <f>(InputSummary!AV143 + InputSummary!AV144) * AV$17</f>
        <v>0.71966303781298568</v>
      </c>
      <c r="AW251" s="21"/>
    </row>
    <row r="252" spans="1:49" ht="15">
      <c r="A252" s="7"/>
      <c r="B252" s="7"/>
      <c r="C252" s="21"/>
      <c r="D252" s="21"/>
      <c r="E252" s="7" t="s">
        <v>1012</v>
      </c>
      <c r="F252" s="21"/>
      <c r="G252" s="21" t="s">
        <v>304</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-49.474456380691507</v>
      </c>
      <c r="AS252" s="7">
        <f t="shared" si="65"/>
        <v>-53.345204056425402</v>
      </c>
      <c r="AT252" s="7">
        <f t="shared" si="65"/>
        <v>-58.991833088162998</v>
      </c>
      <c r="AU252" s="7">
        <f t="shared" si="65"/>
        <v>-64.64887855806883</v>
      </c>
      <c r="AV252" s="7">
        <f t="shared" si="65"/>
        <v>-69.93590286220649</v>
      </c>
      <c r="AW252" s="21"/>
    </row>
    <row r="253" spans="1:49" ht="15">
      <c r="A253" s="98"/>
      <c r="B253" s="21"/>
      <c r="C253" s="21"/>
      <c r="D253" s="21"/>
      <c r="E253" s="7" t="s">
        <v>1013</v>
      </c>
      <c r="F253" s="21"/>
      <c r="G253" s="21" t="s">
        <v>304</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-16.464737633319491</v>
      </c>
      <c r="AS253" s="7">
        <f t="shared" si="65"/>
        <v>-8.5709735979399397</v>
      </c>
      <c r="AT253" s="7">
        <f t="shared" si="65"/>
        <v>-5.2629848317883674</v>
      </c>
      <c r="AU253" s="7">
        <f t="shared" si="65"/>
        <v>-5.1914650248893386</v>
      </c>
      <c r="AV253" s="7">
        <f t="shared" si="65"/>
        <v>-6.5106673279924232</v>
      </c>
      <c r="AW253" s="21"/>
    </row>
    <row r="254" spans="1:49" ht="15">
      <c r="A254" s="98"/>
      <c r="B254" s="21"/>
      <c r="C254" s="21"/>
      <c r="D254" s="21"/>
      <c r="E254" s="21" t="s">
        <v>538</v>
      </c>
      <c r="F254" s="21"/>
      <c r="G254" s="21" t="s">
        <v>304</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-116.91929277664518</v>
      </c>
      <c r="AS254" s="7">
        <f t="shared" si="65"/>
        <v>-67.59813878326095</v>
      </c>
      <c r="AT254" s="7">
        <f t="shared" si="65"/>
        <v>-110.89029169034495</v>
      </c>
      <c r="AU254" s="7">
        <f t="shared" si="65"/>
        <v>-113.65400650513564</v>
      </c>
      <c r="AV254" s="7">
        <f t="shared" si="65"/>
        <v>-115.16786359685578</v>
      </c>
      <c r="AW254" s="21"/>
    </row>
    <row r="255" spans="1:49" ht="15">
      <c r="A255" s="98"/>
      <c r="B255" s="21"/>
      <c r="C255" s="21"/>
      <c r="D255" s="21"/>
      <c r="E255" s="21" t="s">
        <v>539</v>
      </c>
      <c r="F255" s="21"/>
      <c r="G255" s="21" t="s">
        <v>304</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-71.36109969381863</v>
      </c>
      <c r="AS255" s="7">
        <f t="shared" si="65"/>
        <v>-76.796020138674947</v>
      </c>
      <c r="AT255" s="7">
        <f t="shared" si="65"/>
        <v>-81.938193912612022</v>
      </c>
      <c r="AU255" s="7">
        <f t="shared" si="65"/>
        <v>-85.491355911552844</v>
      </c>
      <c r="AV255" s="7">
        <f t="shared" si="65"/>
        <v>-92.45960724246892</v>
      </c>
      <c r="AW255" s="21"/>
    </row>
    <row r="256" spans="1:49" ht="15">
      <c r="A256" s="98"/>
      <c r="B256" s="21"/>
      <c r="C256" s="21"/>
      <c r="D256" s="21"/>
      <c r="E256" s="21" t="s">
        <v>1120</v>
      </c>
      <c r="F256" s="21"/>
      <c r="G256" s="21" t="s">
        <v>304</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3"/>
      <c r="AR256" s="431">
        <f>SUM(AR248:AR255)</f>
        <v>125.19160076079152</v>
      </c>
      <c r="AS256" s="431">
        <f>SUM(AS248:AS255)</f>
        <v>131.54677916514541</v>
      </c>
      <c r="AT256" s="431">
        <f>SUM(AT248:AT255)</f>
        <v>133.13156426300407</v>
      </c>
      <c r="AU256" s="431">
        <f>SUM(AU248:AU255)</f>
        <v>144.95388870560106</v>
      </c>
      <c r="AV256" s="431">
        <f>SUM(AV248:AV255)</f>
        <v>130.37780219275248</v>
      </c>
      <c r="AW256" s="21"/>
    </row>
    <row r="257" spans="1:49" ht="15">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5">
      <c r="A258" s="98"/>
      <c r="B258" s="21"/>
      <c r="C258" s="124" t="s">
        <v>1121</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7"/>
      <c r="AR258" s="124"/>
      <c r="AS258" s="124"/>
      <c r="AT258" s="124"/>
      <c r="AU258" s="124"/>
      <c r="AV258" s="124"/>
      <c r="AW258" s="21"/>
    </row>
    <row r="259" spans="1:49" ht="15">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5">
      <c r="A260" s="21"/>
      <c r="B260" s="21"/>
      <c r="C260" s="21"/>
      <c r="D260" s="21"/>
      <c r="E260" s="134" t="s">
        <v>1102</v>
      </c>
      <c r="F260" s="21"/>
      <c r="G260" s="21" t="s">
        <v>304</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8"/>
      <c r="AR260" s="129">
        <f>AR213</f>
        <v>0</v>
      </c>
      <c r="AS260" s="129">
        <f>AS213</f>
        <v>0</v>
      </c>
      <c r="AT260" s="129">
        <f>AT213</f>
        <v>0</v>
      </c>
      <c r="AU260" s="129">
        <f>AU213</f>
        <v>0</v>
      </c>
      <c r="AV260" s="129">
        <f>AV213</f>
        <v>0</v>
      </c>
      <c r="AW260" s="21"/>
    </row>
    <row r="261" spans="1:49" ht="1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5"/>
      <c r="AR261" s="21"/>
      <c r="AS261" s="21"/>
      <c r="AT261" s="21"/>
      <c r="AU261" s="21"/>
      <c r="AV261" s="21"/>
      <c r="AW261" s="21"/>
    </row>
    <row r="262" spans="1:49" ht="15">
      <c r="A262" s="98"/>
      <c r="B262" s="21"/>
      <c r="C262" s="21"/>
      <c r="D262" s="21"/>
      <c r="E262" s="7" t="s">
        <v>1103</v>
      </c>
      <c r="F262" s="21"/>
      <c r="G262" s="21" t="s">
        <v>304</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ht="15">
      <c r="A263" s="98"/>
      <c r="B263" s="21"/>
      <c r="C263" s="21"/>
      <c r="D263" s="21"/>
      <c r="E263" s="7" t="s">
        <v>1104</v>
      </c>
      <c r="F263" s="21"/>
      <c r="G263" s="21" t="s">
        <v>304</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5">
      <c r="A264" s="98"/>
      <c r="B264" s="21"/>
      <c r="C264" s="21"/>
      <c r="D264" s="21"/>
      <c r="E264" s="7" t="s">
        <v>1105</v>
      </c>
      <c r="F264" s="21"/>
      <c r="G264" s="21" t="s">
        <v>304</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7">
        <f t="shared" ref="AS264:AV264" si="68">-AS217</f>
        <v>0</v>
      </c>
      <c r="AT264" s="7">
        <f t="shared" si="68"/>
        <v>0</v>
      </c>
      <c r="AU264" s="7">
        <f t="shared" si="68"/>
        <v>0</v>
      </c>
      <c r="AV264" s="7">
        <f t="shared" si="68"/>
        <v>0</v>
      </c>
      <c r="AW264" s="21"/>
    </row>
    <row r="265" spans="1:49" ht="15">
      <c r="A265" s="98"/>
      <c r="B265" s="21"/>
      <c r="C265" s="21"/>
      <c r="D265" s="21"/>
      <c r="E265" s="7" t="s">
        <v>1122</v>
      </c>
      <c r="F265" s="21"/>
      <c r="G265" s="21" t="s">
        <v>304</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-30.914808181971736</v>
      </c>
      <c r="AS265" s="7">
        <f t="shared" ref="AS265:AU265" si="69">(AS281* AS$17) * ((1 - AS226) / AS226)</f>
        <v>-46.365600067752005</v>
      </c>
      <c r="AT265" s="7">
        <f t="shared" si="69"/>
        <v>-50.108613610930512</v>
      </c>
      <c r="AU265" s="7">
        <f t="shared" si="69"/>
        <v>0</v>
      </c>
      <c r="AV265" s="7">
        <f>(AV281* AV$17) * ((1 - AV226) / AV226)</f>
        <v>0</v>
      </c>
      <c r="AW265" s="21"/>
    </row>
    <row r="266" spans="1:49" ht="15">
      <c r="A266" s="98"/>
      <c r="B266" s="21"/>
      <c r="C266" s="21"/>
      <c r="D266" s="21"/>
      <c r="E266" s="21" t="s">
        <v>1123</v>
      </c>
      <c r="F266" s="21"/>
      <c r="G266" s="21" t="s">
        <v>304</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30.914808181971736</v>
      </c>
      <c r="AS266" s="7">
        <f t="shared" ref="AS266:AV266" si="70">IF(AS256 &gt;= 0, MIN(AS256, -AS262-AS264-AS265), 0)</f>
        <v>46.365600067752005</v>
      </c>
      <c r="AT266" s="7">
        <f t="shared" si="70"/>
        <v>50.108613610930512</v>
      </c>
      <c r="AU266" s="7">
        <f t="shared" si="70"/>
        <v>0</v>
      </c>
      <c r="AV266" s="7">
        <f t="shared" si="70"/>
        <v>0</v>
      </c>
      <c r="AW266" s="21"/>
    </row>
    <row r="267" spans="1:49" ht="15">
      <c r="A267" s="98"/>
      <c r="B267" s="21"/>
      <c r="C267" s="21"/>
      <c r="D267" s="21"/>
      <c r="E267" s="7" t="s">
        <v>1107</v>
      </c>
      <c r="F267" s="21"/>
      <c r="G267" s="21" t="s">
        <v>304</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3"/>
      <c r="AR267" s="431">
        <f>SUM(AR262:AR266)</f>
        <v>0</v>
      </c>
      <c r="AS267" s="431">
        <f t="shared" ref="AS267:AV267" si="71">SUM(AS262:AS266)</f>
        <v>0</v>
      </c>
      <c r="AT267" s="431">
        <f t="shared" si="71"/>
        <v>0</v>
      </c>
      <c r="AU267" s="431">
        <f t="shared" si="71"/>
        <v>0</v>
      </c>
      <c r="AV267" s="431">
        <f t="shared" si="71"/>
        <v>0</v>
      </c>
      <c r="AW267" s="21"/>
    </row>
    <row r="268" spans="1:49" ht="15">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5">
      <c r="A269" s="98"/>
      <c r="B269" s="99"/>
      <c r="C269" s="124" t="s">
        <v>1117</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7"/>
      <c r="AR269" s="124"/>
      <c r="AS269" s="124"/>
      <c r="AT269" s="124"/>
      <c r="AU269" s="124"/>
      <c r="AV269" s="124"/>
      <c r="AW269" s="21"/>
    </row>
    <row r="270" spans="1:49" ht="15">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5">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5">
      <c r="A272" s="98"/>
      <c r="B272" s="7"/>
      <c r="C272" s="7"/>
      <c r="D272" s="21"/>
      <c r="E272" s="21" t="s">
        <v>1110</v>
      </c>
      <c r="F272" s="21"/>
      <c r="G272" s="21" t="s">
        <v>304</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94.27679257881978</v>
      </c>
      <c r="AS272" s="7">
        <f t="shared" ref="AS272:AU272" si="72">MAX( AS256 - AS266, 0)</f>
        <v>85.181179097393397</v>
      </c>
      <c r="AT272" s="7">
        <f t="shared" si="72"/>
        <v>83.022950652073547</v>
      </c>
      <c r="AU272" s="7">
        <f t="shared" si="72"/>
        <v>144.95388870560106</v>
      </c>
      <c r="AV272" s="7">
        <f>MAX( AV256 - AV266, 0)</f>
        <v>130.37780219275248</v>
      </c>
      <c r="AW272" s="21"/>
    </row>
    <row r="273" spans="1:49" ht="15">
      <c r="A273" s="98"/>
      <c r="B273" s="7"/>
      <c r="C273" s="7"/>
      <c r="D273" s="21"/>
      <c r="E273" s="7" t="s">
        <v>335</v>
      </c>
      <c r="F273" s="21"/>
      <c r="G273" s="7" t="s">
        <v>209</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39"/>
      <c r="AR273" s="125">
        <f>AR226</f>
        <v>0.25</v>
      </c>
      <c r="AS273" s="125">
        <f>AS226</f>
        <v>0.25</v>
      </c>
      <c r="AT273" s="125">
        <f>AT226</f>
        <v>0.25</v>
      </c>
      <c r="AU273" s="125">
        <f>AU226</f>
        <v>0.25</v>
      </c>
      <c r="AV273" s="125">
        <f>AV226</f>
        <v>0.25</v>
      </c>
      <c r="AW273" s="21"/>
    </row>
    <row r="274" spans="1:49" ht="15">
      <c r="A274" s="98"/>
      <c r="B274" s="21"/>
      <c r="C274" s="21"/>
      <c r="D274" s="21"/>
      <c r="E274" s="21" t="s">
        <v>1111</v>
      </c>
      <c r="F274" s="21"/>
      <c r="G274" s="21" t="s">
        <v>304</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23.569198144704945</v>
      </c>
      <c r="AS274" s="7">
        <f t="shared" si="73"/>
        <v>21.295294774348349</v>
      </c>
      <c r="AT274" s="7">
        <f t="shared" si="73"/>
        <v>20.755737663018387</v>
      </c>
      <c r="AU274" s="7">
        <f t="shared" si="73"/>
        <v>36.238472176400265</v>
      </c>
      <c r="AV274" s="7">
        <f>AV272 * AV273</f>
        <v>32.594450548188121</v>
      </c>
      <c r="AW274" s="21"/>
    </row>
    <row r="275" spans="1:49" ht="15">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5"/>
      <c r="AR275" s="30"/>
      <c r="AS275" s="30"/>
      <c r="AT275" s="30"/>
      <c r="AU275" s="30"/>
      <c r="AV275" s="30"/>
      <c r="AW275" s="21"/>
    </row>
    <row r="276" spans="1:49" ht="15">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5">
      <c r="A277" s="98"/>
      <c r="B277" s="37" t="s">
        <v>1124</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5">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5">
      <c r="A279" s="98"/>
      <c r="B279" s="21"/>
      <c r="C279" s="28" t="s">
        <v>1125</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5">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5">
      <c r="A281" s="98"/>
      <c r="B281" s="7"/>
      <c r="C281" s="7"/>
      <c r="D281" s="7"/>
      <c r="E281" s="82" t="s">
        <v>323</v>
      </c>
      <c r="F281" s="2"/>
      <c r="G281" s="2" t="s">
        <v>105</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InputSummary!AR282</f>
        <v>-7.9935858132739916</v>
      </c>
      <c r="AS281" s="8">
        <f>InputSummary!AS282</f>
        <v>-11.634130968728453</v>
      </c>
      <c r="AT281" s="8">
        <f>InputSummary!AT282</f>
        <v>-12.361923422214995</v>
      </c>
      <c r="AU281" s="8">
        <f>InputSummary!AU282</f>
        <v>0</v>
      </c>
      <c r="AV281" s="8">
        <f>InputSummary!AV282</f>
        <v>0</v>
      </c>
      <c r="AW281" s="8"/>
    </row>
    <row r="282" spans="1:49" ht="15">
      <c r="A282" s="98"/>
      <c r="B282" s="7"/>
      <c r="C282" s="7"/>
      <c r="D282" s="7"/>
      <c r="E282" s="2" t="s">
        <v>345</v>
      </c>
      <c r="F282" s="2"/>
      <c r="G282" s="2" t="s">
        <v>105</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InputSummary!AR287</f>
        <v>1.368578491828039</v>
      </c>
      <c r="AS282" s="8">
        <f>InputSummary!AS287</f>
        <v>1.4008338175049104</v>
      </c>
      <c r="AT282" s="8">
        <f>InputSummary!AT287</f>
        <v>1.2944169556388054</v>
      </c>
      <c r="AU282" s="8">
        <f>InputSummary!AU287</f>
        <v>1.1615288221705597</v>
      </c>
      <c r="AV282" s="8">
        <f>InputSummary!AV287</f>
        <v>1.0171476978779488</v>
      </c>
      <c r="AW282" s="7"/>
    </row>
    <row r="283" spans="1:49" ht="15">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5">
      <c r="A284" s="98"/>
      <c r="B284" s="7"/>
      <c r="C284" s="7"/>
      <c r="D284" s="7"/>
      <c r="E284" s="7" t="s">
        <v>1126</v>
      </c>
      <c r="F284" s="7"/>
      <c r="G284" s="7" t="s">
        <v>868</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0</v>
      </c>
      <c r="AV284" s="7" t="b">
        <f t="shared" si="74"/>
        <v>0</v>
      </c>
      <c r="AW284" s="7"/>
    </row>
    <row r="285" spans="1:49" ht="15">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5">
      <c r="A286" s="98"/>
      <c r="B286" s="7"/>
      <c r="C286" s="7"/>
      <c r="D286" s="7"/>
      <c r="E286" s="2" t="s">
        <v>1127</v>
      </c>
      <c r="F286" s="2"/>
      <c r="G286" s="2" t="s">
        <v>105</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1.368578491828039</v>
      </c>
      <c r="AS286" s="7">
        <f t="shared" si="75"/>
        <v>1.4008338175049104</v>
      </c>
      <c r="AT286" s="7">
        <f t="shared" si="75"/>
        <v>1.2944169556388054</v>
      </c>
      <c r="AU286" s="7">
        <f t="shared" si="75"/>
        <v>0</v>
      </c>
      <c r="AV286" s="7">
        <f t="shared" si="75"/>
        <v>0</v>
      </c>
      <c r="AW286" s="7"/>
    </row>
    <row r="287" spans="1:49" ht="15">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5">
      <c r="A288" s="98"/>
      <c r="B288" s="7"/>
      <c r="C288" s="7"/>
      <c r="D288" s="7"/>
      <c r="E288" s="7" t="s">
        <v>1125</v>
      </c>
      <c r="F288" s="7"/>
      <c r="G288" s="2" t="s">
        <v>105</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-6.6250073214459526</v>
      </c>
      <c r="AS288" s="463">
        <f t="shared" ref="AS288:AV288" si="76">(AS281+AS286) * AS284</f>
        <v>-10.233297151223542</v>
      </c>
      <c r="AT288" s="463">
        <f t="shared" si="76"/>
        <v>-11.067506466576189</v>
      </c>
      <c r="AU288" s="463">
        <f t="shared" si="76"/>
        <v>0</v>
      </c>
      <c r="AV288" s="463">
        <f t="shared" si="76"/>
        <v>0</v>
      </c>
      <c r="AW288" s="7"/>
    </row>
    <row r="289" spans="1:49" ht="15">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5">
      <c r="A290" s="98"/>
      <c r="B290" s="21"/>
      <c r="C290" s="28" t="s">
        <v>1128</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5">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5">
      <c r="A292" s="98"/>
      <c r="B292" s="2"/>
      <c r="C292" s="2"/>
      <c r="D292" s="2"/>
      <c r="E292" s="2" t="s">
        <v>1129</v>
      </c>
      <c r="F292" s="2"/>
      <c r="G292" s="21" t="s">
        <v>304</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-25.621896772103849</v>
      </c>
      <c r="AS292" s="2">
        <f>(AS288 * AS$17) * ((1 - AS226) / AS226)</f>
        <v>-40.782845264802276</v>
      </c>
      <c r="AT292" s="2">
        <f>(AT288 * AT$17) * ((1 - AT226) / AT226)</f>
        <v>-44.861740865789358</v>
      </c>
      <c r="AU292" s="2">
        <f>(AU288 * AU$17) * ((1 - AU226) / AU226)</f>
        <v>0</v>
      </c>
      <c r="AV292" s="2">
        <f>(AV288 * AV$17) * ((1 - AV226) / AV226)</f>
        <v>0</v>
      </c>
      <c r="AW292" s="2"/>
    </row>
    <row r="293" spans="1:49" ht="15">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5">
      <c r="A294" s="98"/>
      <c r="B294" s="2"/>
      <c r="C294" s="2"/>
      <c r="D294" s="2"/>
      <c r="E294" s="2" t="s">
        <v>1130</v>
      </c>
      <c r="F294" s="2"/>
      <c r="G294" s="21" t="s">
        <v>304</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5">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5">
      <c r="A296" s="7"/>
      <c r="B296" s="2"/>
      <c r="C296" s="2"/>
      <c r="D296" s="2"/>
      <c r="E296" s="2" t="s">
        <v>1131</v>
      </c>
      <c r="F296" s="2"/>
      <c r="G296" s="21" t="s">
        <v>868</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5">
      <c r="A297" s="7"/>
      <c r="B297" s="2"/>
      <c r="C297" s="2"/>
      <c r="D297" s="2"/>
      <c r="E297" s="2" t="s">
        <v>1132</v>
      </c>
      <c r="F297" s="2"/>
      <c r="G297" s="21" t="s">
        <v>868</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5">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5">
      <c r="A299" s="7"/>
      <c r="B299" s="2"/>
      <c r="C299" s="2"/>
      <c r="D299" s="2"/>
      <c r="E299" s="7" t="s">
        <v>1106</v>
      </c>
      <c r="F299" s="21"/>
      <c r="G299" s="21" t="s">
        <v>304</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-25.621896772103849</v>
      </c>
      <c r="AS299" s="464">
        <f t="shared" ref="AS299:AV299" si="79">IF(AS292&lt;0,AS292, AS296 * IF(AS297, -AS294,AS292))</f>
        <v>-40.782845264802276</v>
      </c>
      <c r="AT299" s="464">
        <f t="shared" si="79"/>
        <v>-44.861740865789358</v>
      </c>
      <c r="AU299" s="464">
        <f t="shared" si="79"/>
        <v>0</v>
      </c>
      <c r="AV299" s="464">
        <f t="shared" si="79"/>
        <v>0</v>
      </c>
      <c r="AW299" s="2"/>
    </row>
    <row r="300" spans="1:49" ht="15">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5">
      <c r="A301" s="7"/>
      <c r="B301" s="21"/>
      <c r="C301" s="28" t="s">
        <v>1133</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5">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5">
      <c r="A303" s="7"/>
      <c r="B303" s="2"/>
      <c r="C303" s="2"/>
      <c r="D303" s="2"/>
      <c r="E303" s="2" t="s">
        <v>1134</v>
      </c>
      <c r="F303" s="2"/>
      <c r="G303" s="21" t="s">
        <v>304</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5">
      <c r="A304" s="7"/>
      <c r="B304" s="2"/>
      <c r="C304" s="2"/>
      <c r="D304" s="2"/>
      <c r="E304" s="7" t="s">
        <v>335</v>
      </c>
      <c r="F304" s="21"/>
      <c r="G304" s="7" t="s">
        <v>209</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0"/>
      <c r="AR304" s="185">
        <f>AR226</f>
        <v>0.25</v>
      </c>
      <c r="AS304" s="185">
        <f>AS226</f>
        <v>0.25</v>
      </c>
      <c r="AT304" s="185">
        <f>AT226</f>
        <v>0.25</v>
      </c>
      <c r="AU304" s="185">
        <f>AU226</f>
        <v>0.25</v>
      </c>
      <c r="AV304" s="185">
        <f>AV226</f>
        <v>0.25</v>
      </c>
      <c r="AW304" s="2"/>
    </row>
    <row r="305" spans="1:49" ht="15">
      <c r="A305" s="7"/>
      <c r="B305" s="2"/>
      <c r="C305" s="2"/>
      <c r="D305" s="2"/>
      <c r="E305" s="7" t="s">
        <v>1112</v>
      </c>
      <c r="F305" s="21"/>
      <c r="G305" s="7" t="s">
        <v>100</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3"/>
      <c r="AK305" s="213"/>
      <c r="AL305" s="213"/>
      <c r="AM305" s="213"/>
      <c r="AN305" s="213"/>
      <c r="AO305" s="213"/>
      <c r="AP305" s="213"/>
      <c r="AQ305" s="310"/>
      <c r="AR305" s="213">
        <f>AR229</f>
        <v>1.3333333333333333</v>
      </c>
      <c r="AS305" s="213">
        <f>AS229</f>
        <v>1.3333333333333333</v>
      </c>
      <c r="AT305" s="213">
        <f>AT229</f>
        <v>1.3333333333333333</v>
      </c>
      <c r="AU305" s="213">
        <f>AU229</f>
        <v>1.3333333333333333</v>
      </c>
      <c r="AV305" s="213">
        <f>AV229</f>
        <v>1.3333333333333333</v>
      </c>
      <c r="AW305" s="2"/>
    </row>
    <row r="306" spans="1:49" ht="15">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5">
      <c r="A307" s="7"/>
      <c r="B307" s="2"/>
      <c r="C307" s="2"/>
      <c r="D307" s="2"/>
      <c r="E307" s="2" t="s">
        <v>1135</v>
      </c>
      <c r="F307" s="2"/>
      <c r="G307" s="21" t="s">
        <v>304</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5">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5">
      <c r="A309" s="21"/>
      <c r="B309" s="37" t="s">
        <v>1136</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5">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5">
      <c r="A311" s="7"/>
      <c r="B311" s="2"/>
      <c r="C311" s="194"/>
      <c r="D311" s="10" t="s">
        <v>1137</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5">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5">
      <c r="A313" s="7"/>
      <c r="B313" s="2"/>
      <c r="C313" s="2"/>
      <c r="D313" s="2"/>
      <c r="E313" s="2" t="s">
        <v>923</v>
      </c>
      <c r="F313" s="2"/>
      <c r="G313" s="2" t="s">
        <v>105</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1526.3444167298512</v>
      </c>
      <c r="AS313" s="8">
        <f>'Return&amp;RAV'!AS46</f>
        <v>1600.1218742867916</v>
      </c>
      <c r="AT313" s="8">
        <f>'Return&amp;RAV'!AT46</f>
        <v>1676.7908188005997</v>
      </c>
      <c r="AU313" s="8">
        <f>'Return&amp;RAV'!AU46</f>
        <v>1754.453302430037</v>
      </c>
      <c r="AV313" s="8">
        <f>'Return&amp;RAV'!AV46</f>
        <v>1818.5624265051385</v>
      </c>
      <c r="AW313" s="2"/>
    </row>
    <row r="314" spans="1:49" ht="15">
      <c r="A314" s="7"/>
      <c r="B314" s="2"/>
      <c r="C314" s="2"/>
      <c r="D314" s="2"/>
      <c r="E314" s="2" t="s">
        <v>1138</v>
      </c>
      <c r="F314" s="2"/>
      <c r="G314" s="2" t="s">
        <v>100</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5"/>
      <c r="AR314" s="92">
        <f>InputSummary!AR195</f>
        <v>1.3123689983998859</v>
      </c>
      <c r="AS314" s="92">
        <f>InputSummary!AS195</f>
        <v>1.3406592815876854</v>
      </c>
      <c r="AT314" s="92">
        <f>InputSummary!AT195</f>
        <v>1.3609729496063137</v>
      </c>
      <c r="AU314" s="92">
        <f>InputSummary!AU195</f>
        <v>1.383709961204471</v>
      </c>
      <c r="AV314" s="92">
        <f>InputSummary!AV195</f>
        <v>1.4090308989490572</v>
      </c>
      <c r="AW314" s="2"/>
    </row>
    <row r="315" spans="1:49" ht="15">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5">
      <c r="A316" s="7"/>
      <c r="B316" s="2"/>
      <c r="C316" s="2"/>
      <c r="D316" s="2"/>
      <c r="E316" s="2" t="s">
        <v>325</v>
      </c>
      <c r="F316" s="2"/>
      <c r="G316" s="21" t="s">
        <v>304</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InputSummary!AR283</f>
        <v>0</v>
      </c>
      <c r="AS316" s="8">
        <f>InputSummary!AS283</f>
        <v>0</v>
      </c>
      <c r="AT316" s="8">
        <f>InputSummary!AT283</f>
        <v>0</v>
      </c>
      <c r="AU316" s="8">
        <f>InputSummary!AU283</f>
        <v>0</v>
      </c>
      <c r="AV316" s="8">
        <f>InputSummary!AV283</f>
        <v>0</v>
      </c>
      <c r="AW316" s="2"/>
    </row>
    <row r="317" spans="1:49" ht="15">
      <c r="A317" s="7"/>
      <c r="B317" s="2"/>
      <c r="C317" s="2"/>
      <c r="D317" s="2"/>
      <c r="E317" s="2" t="s">
        <v>923</v>
      </c>
      <c r="F317" s="2"/>
      <c r="G317" s="21" t="s">
        <v>304</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2003.1270933970129</v>
      </c>
      <c r="AS317" s="7">
        <f t="shared" si="82"/>
        <v>2145.2182424340708</v>
      </c>
      <c r="AT317" s="7">
        <f t="shared" si="82"/>
        <v>2282.0669465358378</v>
      </c>
      <c r="AU317" s="7">
        <f t="shared" si="82"/>
        <v>2427.6545110405223</v>
      </c>
      <c r="AV317" s="7">
        <f t="shared" si="82"/>
        <v>2562.410650613514</v>
      </c>
      <c r="AW317" s="2"/>
    </row>
    <row r="318" spans="1:49" ht="15">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5">
      <c r="A319" s="7"/>
      <c r="B319" s="2"/>
      <c r="C319" s="2"/>
      <c r="D319" s="2"/>
      <c r="E319" s="2" t="s">
        <v>1139</v>
      </c>
      <c r="F319" s="2"/>
      <c r="G319" s="2" t="s">
        <v>209</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0"/>
      <c r="AR319" s="185">
        <f t="shared" ref="AR319:AV319" si="83">AR316/AR317</f>
        <v>0</v>
      </c>
      <c r="AS319" s="185">
        <f t="shared" si="83"/>
        <v>0</v>
      </c>
      <c r="AT319" s="185">
        <f t="shared" si="83"/>
        <v>0</v>
      </c>
      <c r="AU319" s="185">
        <f t="shared" si="83"/>
        <v>0</v>
      </c>
      <c r="AV319" s="185">
        <f t="shared" si="83"/>
        <v>0</v>
      </c>
      <c r="AW319" s="2"/>
    </row>
    <row r="320" spans="1:49" ht="15">
      <c r="A320" s="7"/>
      <c r="B320" s="2"/>
      <c r="C320" s="2"/>
      <c r="D320" s="2"/>
      <c r="E320" s="2" t="s">
        <v>1140</v>
      </c>
      <c r="F320" s="2"/>
      <c r="G320" s="2" t="s">
        <v>209</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6"/>
      <c r="AR320" s="123">
        <f>InputSummary!AR288</f>
        <v>0.65</v>
      </c>
      <c r="AS320" s="123">
        <f>InputSummary!AS288</f>
        <v>0.64</v>
      </c>
      <c r="AT320" s="123">
        <f>InputSummary!AT288</f>
        <v>0.63</v>
      </c>
      <c r="AU320" s="123">
        <f>InputSummary!AU288</f>
        <v>0.61</v>
      </c>
      <c r="AV320" s="123">
        <f>InputSummary!AV288</f>
        <v>0.6</v>
      </c>
      <c r="AW320" s="2"/>
    </row>
    <row r="321" spans="1:49" ht="15">
      <c r="A321" s="7"/>
      <c r="B321" s="2"/>
      <c r="C321" s="2"/>
      <c r="D321" s="2"/>
      <c r="E321" s="2" t="s">
        <v>1141</v>
      </c>
      <c r="F321" s="2"/>
      <c r="G321" s="2" t="s">
        <v>868</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4"/>
      <c r="AR321" s="432" t="b">
        <f t="shared" ref="AR321:AV321" si="84">AR319&gt;AR320</f>
        <v>0</v>
      </c>
      <c r="AS321" s="432" t="b">
        <f t="shared" si="84"/>
        <v>0</v>
      </c>
      <c r="AT321" s="432" t="b">
        <f t="shared" si="84"/>
        <v>0</v>
      </c>
      <c r="AU321" s="432" t="b">
        <f t="shared" si="84"/>
        <v>0</v>
      </c>
      <c r="AV321" s="432" t="b">
        <f t="shared" si="84"/>
        <v>0</v>
      </c>
      <c r="AW321" s="2"/>
    </row>
    <row r="322" spans="1:49" ht="15">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5">
      <c r="A323" s="7"/>
      <c r="B323" s="2"/>
      <c r="C323" s="194"/>
      <c r="D323" s="10" t="s">
        <v>1142</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5">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5">
      <c r="A325" s="7"/>
      <c r="B325" s="2"/>
      <c r="C325" s="2"/>
      <c r="D325" s="2"/>
      <c r="E325" s="2" t="s">
        <v>327</v>
      </c>
      <c r="F325" s="2"/>
      <c r="G325" s="21" t="s">
        <v>304</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InputSummary!AR284</f>
        <v>0</v>
      </c>
      <c r="AS325" s="8">
        <f>InputSummary!AS284</f>
        <v>0</v>
      </c>
      <c r="AT325" s="8">
        <f>InputSummary!AT284</f>
        <v>0</v>
      </c>
      <c r="AU325" s="8">
        <f>InputSummary!AU284</f>
        <v>0</v>
      </c>
      <c r="AV325" s="8">
        <f>InputSummary!AV284</f>
        <v>0</v>
      </c>
      <c r="AW325" s="2"/>
    </row>
    <row r="326" spans="1:49" ht="15">
      <c r="A326" s="7"/>
      <c r="B326" s="2"/>
      <c r="C326" s="2"/>
      <c r="D326" s="2"/>
      <c r="E326" s="2" t="s">
        <v>1143</v>
      </c>
      <c r="F326" s="2"/>
      <c r="G326" s="21" t="s">
        <v>304</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65.939194014010994</v>
      </c>
      <c r="AS326" s="2">
        <f xml:space="preserve"> - (AS203+AS204)</f>
        <v>61.916177654365342</v>
      </c>
      <c r="AT326" s="2">
        <f xml:space="preserve"> - (AT203+AT204)</f>
        <v>64.254817919951364</v>
      </c>
      <c r="AU326" s="2">
        <f xml:space="preserve"> - (AU203+AU204)</f>
        <v>69.84034358295817</v>
      </c>
      <c r="AV326" s="2">
        <f xml:space="preserve"> - (AV203+AV204)</f>
        <v>76.446570190198912</v>
      </c>
      <c r="AW326" s="2"/>
    </row>
    <row r="327" spans="1:49" ht="15">
      <c r="A327" s="7"/>
      <c r="B327" s="2"/>
      <c r="C327" s="2"/>
      <c r="D327" s="2"/>
      <c r="E327" s="2" t="s">
        <v>1144</v>
      </c>
      <c r="F327" s="2"/>
      <c r="G327" s="2" t="s">
        <v>868</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4"/>
      <c r="AR327" s="432" t="b">
        <f t="shared" ref="AR327:AV327" si="85">AR325&gt;AR326</f>
        <v>0</v>
      </c>
      <c r="AS327" s="432" t="b">
        <f t="shared" si="85"/>
        <v>0</v>
      </c>
      <c r="AT327" s="432" t="b">
        <f t="shared" si="85"/>
        <v>0</v>
      </c>
      <c r="AU327" s="432" t="b">
        <f t="shared" si="85"/>
        <v>0</v>
      </c>
      <c r="AV327" s="432" t="b">
        <f t="shared" si="85"/>
        <v>0</v>
      </c>
      <c r="AW327" s="2"/>
    </row>
    <row r="328" spans="1:49" ht="15">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5">
      <c r="A329" s="7"/>
      <c r="B329" s="2"/>
      <c r="C329" s="194"/>
      <c r="D329" s="10" t="s">
        <v>1145</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5">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5">
      <c r="A331" s="7"/>
      <c r="B331" s="2"/>
      <c r="C331" s="2"/>
      <c r="D331" s="2"/>
      <c r="E331" s="2" t="s">
        <v>1146</v>
      </c>
      <c r="F331" s="2"/>
      <c r="G331" s="2" t="s">
        <v>868</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5">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5">
      <c r="A333" s="7"/>
      <c r="B333" s="2"/>
      <c r="C333" s="2"/>
      <c r="D333" s="2"/>
      <c r="E333" s="2" t="s">
        <v>1145</v>
      </c>
      <c r="F333" s="2"/>
      <c r="G333" s="21" t="s">
        <v>304</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5">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5">
      <c r="A335" s="98"/>
      <c r="B335" s="37" t="s">
        <v>79</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100" priority="9" operator="equal">
      <formula>FALSE()</formula>
    </cfRule>
  </conditionalFormatting>
  <conditionalFormatting sqref="AJ284:AU284 AR284:AV285">
    <cfRule type="cellIs" dxfId="99" priority="16" operator="equal">
      <formula>FALSE()</formula>
    </cfRule>
  </conditionalFormatting>
  <conditionalFormatting sqref="AJ296:AV297">
    <cfRule type="cellIs" dxfId="98" priority="10" operator="equal">
      <formula>FALSE()</formula>
    </cfRule>
  </conditionalFormatting>
  <conditionalFormatting sqref="AJ321:AV321">
    <cfRule type="cellIs" dxfId="97" priority="8" operator="equal">
      <formula>FALSE()</formula>
    </cfRule>
  </conditionalFormatting>
  <conditionalFormatting sqref="AJ327:AV327">
    <cfRule type="cellIs" dxfId="96" priority="7" operator="equal">
      <formula>FALSE()</formula>
    </cfRule>
  </conditionalFormatting>
  <conditionalFormatting sqref="AJ331:AV331">
    <cfRule type="cellIs" dxfId="95" priority="6" operator="equal">
      <formula>FALSE()</formula>
    </cfRule>
  </conditionalFormatting>
  <conditionalFormatting sqref="AM2">
    <cfRule type="expression" dxfId="94" priority="1">
      <formula>mac_sensitivity=2</formula>
    </cfRule>
    <cfRule type="expression" dxfId="93" priority="2">
      <formula>mac_sensitivity=1</formula>
    </cfRule>
  </conditionalFormatting>
  <conditionalFormatting sqref="AM3">
    <cfRule type="expression" dxfId="92" priority="3">
      <formula>$AM$3="OK"</formula>
    </cfRule>
  </conditionalFormatting>
  <conditionalFormatting sqref="AR12:AR13 AJ84:AV84">
    <cfRule type="cellIs" dxfId="91" priority="22" operator="equal">
      <formula>FALSE()</formula>
    </cfRule>
  </conditionalFormatting>
  <conditionalFormatting sqref="AR176:AV176">
    <cfRule type="cellIs" dxfId="90" priority="20" operator="equal">
      <formula>FALSE()</formula>
    </cfRule>
  </conditionalFormatting>
  <conditionalFormatting sqref="AR327:AV328">
    <cfRule type="cellIs" dxfId="89"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14.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2" width="9" hidden="1" customWidth="1"/>
    <col min="53" max="16384" width="9" hidden="1"/>
  </cols>
  <sheetData>
    <row r="1" spans="1:102" ht="19.5">
      <c r="A1" s="195" t="s">
        <v>1147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102"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10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5">
      <c r="B6" s="37" t="s">
        <v>1148</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5">
      <c r="B7" s="4" t="s">
        <v>1149</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5">
      <c r="B8" s="4" t="s">
        <v>1150</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5">
      <c r="A9" s="2"/>
      <c r="B9" s="4" t="s">
        <v>1151</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5">
      <c r="C11" s="28" t="s">
        <v>1152</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5">
      <c r="I12" s="182"/>
      <c r="AQ12" s="147"/>
    </row>
    <row r="13" spans="1:102" s="82" customFormat="1" ht="15.75">
      <c r="E13" s="7" t="s">
        <v>256</v>
      </c>
      <c r="G13" s="7" t="s">
        <v>209</v>
      </c>
      <c r="H13" s="82" t="s">
        <v>290</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5"/>
      <c r="AR13" s="439">
        <f>InputSummary!AR171</f>
        <v>0.6</v>
      </c>
      <c r="AS13" s="439">
        <f>InputSummary!AS171</f>
        <v>0.6</v>
      </c>
      <c r="AT13" s="439">
        <f>InputSummary!AT171</f>
        <v>0.6</v>
      </c>
      <c r="AU13" s="439">
        <f>InputSummary!AU171</f>
        <v>0.6</v>
      </c>
      <c r="AV13" s="439">
        <f>InputSummary!AV171</f>
        <v>0.6</v>
      </c>
    </row>
    <row r="14" spans="1:102" s="82" customFormat="1" ht="15.75">
      <c r="E14" s="56" t="s">
        <v>925</v>
      </c>
      <c r="G14" s="2" t="s">
        <v>105</v>
      </c>
      <c r="H14" s="82" t="s">
        <v>1153</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5"/>
      <c r="AR14" s="400">
        <f>'Return&amp;RAV'!AR23</f>
        <v>1477.3137096421492</v>
      </c>
      <c r="AS14" s="400">
        <f>'Return&amp;RAV'!AS23</f>
        <v>1531.4493782421241</v>
      </c>
      <c r="AT14" s="400">
        <f>'Return&amp;RAV'!AT23</f>
        <v>1605.0878437656093</v>
      </c>
      <c r="AU14" s="400">
        <f>'Return&amp;RAV'!AU23</f>
        <v>1680.6126849766761</v>
      </c>
      <c r="AV14" s="400">
        <f>'Return&amp;RAV'!AV23</f>
        <v>1750.0620183156884</v>
      </c>
    </row>
    <row r="15" spans="1:102" s="82" customFormat="1" ht="15">
      <c r="E15" s="194" t="s">
        <v>1154</v>
      </c>
      <c r="G15" s="2" t="s">
        <v>105</v>
      </c>
      <c r="H15" s="21" t="s">
        <v>1155</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448">
        <f>AR14 * (1 - AR13)</f>
        <v>590.92548385685973</v>
      </c>
      <c r="AS15" s="449">
        <f t="shared" ref="AS15:AV15" si="0">AS14 * (1 - AS13)</f>
        <v>612.57975129684962</v>
      </c>
      <c r="AT15" s="449">
        <f t="shared" si="0"/>
        <v>642.0351375062437</v>
      </c>
      <c r="AU15" s="449">
        <f t="shared" si="0"/>
        <v>672.24507399067045</v>
      </c>
      <c r="AV15" s="449">
        <f t="shared" si="0"/>
        <v>700.02480732627544</v>
      </c>
    </row>
    <row r="16" spans="1:102" s="82" customFormat="1" ht="15">
      <c r="E16" s="194"/>
      <c r="G16" s="2"/>
      <c r="H16" s="133"/>
      <c r="AJ16" s="92"/>
      <c r="AK16" s="92"/>
      <c r="AL16" s="92"/>
      <c r="AM16" s="92"/>
      <c r="AN16" s="92"/>
      <c r="AO16" s="92"/>
      <c r="AP16" s="92"/>
      <c r="AQ16" s="215"/>
      <c r="AR16" s="92"/>
      <c r="AS16" s="92"/>
      <c r="AT16" s="92"/>
      <c r="AU16" s="92"/>
      <c r="AV16" s="92"/>
    </row>
    <row r="17" spans="1:49" s="82" customFormat="1" ht="16.5">
      <c r="E17" s="56" t="s">
        <v>1156</v>
      </c>
      <c r="G17" s="2" t="s">
        <v>105</v>
      </c>
      <c r="H17" s="21" t="s">
        <v>1157</v>
      </c>
      <c r="I17" s="438">
        <f>SUM(AR14:AV14)</f>
        <v>8044.5256349422471</v>
      </c>
      <c r="AJ17" s="93"/>
      <c r="AK17" s="93"/>
      <c r="AL17" s="93"/>
      <c r="AM17" s="93"/>
      <c r="AN17" s="93"/>
      <c r="AO17" s="93"/>
      <c r="AP17" s="93"/>
      <c r="AQ17" s="241"/>
      <c r="AR17" s="93"/>
      <c r="AS17" s="93"/>
      <c r="AT17" s="93"/>
      <c r="AU17" s="93"/>
      <c r="AV17" s="93"/>
    </row>
    <row r="18" spans="1:49" s="82" customFormat="1" ht="15">
      <c r="E18" s="56" t="s">
        <v>256</v>
      </c>
      <c r="G18" s="2" t="s">
        <v>105</v>
      </c>
      <c r="H18" s="21" t="s">
        <v>290</v>
      </c>
      <c r="I18" s="439">
        <f>InputSummary!I239</f>
        <v>0.6</v>
      </c>
      <c r="AJ18" s="92"/>
      <c r="AK18" s="92"/>
      <c r="AL18" s="92"/>
      <c r="AM18" s="92"/>
      <c r="AN18" s="92"/>
      <c r="AO18" s="92"/>
      <c r="AP18" s="92"/>
      <c r="AQ18" s="215"/>
      <c r="AR18" s="92"/>
      <c r="AS18" s="92"/>
      <c r="AT18" s="92"/>
      <c r="AU18" s="92"/>
      <c r="AV18" s="92"/>
    </row>
    <row r="19" spans="1:49" s="82" customFormat="1" ht="16.5">
      <c r="C19" s="194"/>
      <c r="D19" s="194"/>
      <c r="E19" s="56" t="s">
        <v>1158</v>
      </c>
      <c r="F19" s="194"/>
      <c r="G19" s="2" t="s">
        <v>105</v>
      </c>
      <c r="H19" s="21" t="s">
        <v>1159</v>
      </c>
      <c r="I19" s="440">
        <f>I17 * (1 - I18)</f>
        <v>3217.8102539768988</v>
      </c>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89"/>
      <c r="AR19" s="194"/>
      <c r="AS19" s="194"/>
      <c r="AT19" s="194"/>
      <c r="AU19" s="194"/>
      <c r="AV19" s="194"/>
    </row>
    <row r="20" spans="1:49" s="82" customFormat="1" ht="15">
      <c r="E20" s="2"/>
      <c r="G20" s="2"/>
      <c r="AJ20" s="92"/>
      <c r="AK20" s="92"/>
      <c r="AL20" s="92"/>
      <c r="AM20" s="92"/>
      <c r="AN20" s="92"/>
      <c r="AO20" s="92"/>
      <c r="AP20" s="92"/>
      <c r="AQ20" s="215"/>
      <c r="AR20" s="92"/>
      <c r="AS20" s="92"/>
      <c r="AT20" s="92"/>
      <c r="AU20" s="92"/>
      <c r="AV20" s="92"/>
    </row>
    <row r="21" spans="1:49" s="21" customFormat="1" ht="15">
      <c r="C21" s="28" t="s">
        <v>1160</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5">
      <c r="E22" s="346"/>
      <c r="G22" s="2"/>
      <c r="AJ22" s="92"/>
      <c r="AK22" s="92"/>
      <c r="AL22" s="92"/>
      <c r="AM22" s="92"/>
      <c r="AN22" s="92"/>
      <c r="AO22" s="92"/>
      <c r="AP22" s="92"/>
      <c r="AQ22" s="215"/>
      <c r="AR22" s="92"/>
      <c r="AS22" s="92"/>
      <c r="AT22" s="92"/>
      <c r="AU22" s="92"/>
      <c r="AV22" s="92"/>
    </row>
    <row r="23" spans="1:49" s="82" customFormat="1" ht="15">
      <c r="E23" s="56" t="s">
        <v>1161</v>
      </c>
      <c r="G23" s="2" t="s">
        <v>105</v>
      </c>
      <c r="AJ23" s="92"/>
      <c r="AK23" s="92"/>
      <c r="AL23" s="92"/>
      <c r="AM23" s="92"/>
      <c r="AN23" s="92"/>
      <c r="AO23" s="92"/>
      <c r="AP23" s="92"/>
      <c r="AQ23" s="215"/>
      <c r="AR23" s="8">
        <f>-(TIM!AR15 * (1 - TIM!AR17) + TIM!AR28 * (1 - TIM!AR30))</f>
        <v>16.539515871703504</v>
      </c>
      <c r="AS23" s="8">
        <f>-(TIM!AS15 * (1 - TIM!AS17) + TIM!AS28 * (1 - TIM!AS30))</f>
        <v>2.5811615454329915</v>
      </c>
      <c r="AT23" s="8">
        <f>-(TIM!AT15 * (1 - TIM!AT17) + TIM!AT28 * (1 - TIM!AT30))</f>
        <v>-11.568798501776849</v>
      </c>
      <c r="AU23" s="8">
        <f>-(TIM!AU15 * (1 - TIM!AU17) + TIM!AU28 * (1 - TIM!AU30))</f>
        <v>-7.4488746030208999</v>
      </c>
      <c r="AV23" s="8">
        <f>-(TIM!AV15 * (1 - TIM!AV17) + TIM!AV28 * (1 - TIM!AV30))</f>
        <v>-0.10618474920940915</v>
      </c>
    </row>
    <row r="24" spans="1:49" s="82" customFormat="1" ht="15">
      <c r="E24" s="56" t="s">
        <v>1162</v>
      </c>
      <c r="G24" s="2" t="s">
        <v>105</v>
      </c>
      <c r="AJ24" s="92"/>
      <c r="AK24" s="92"/>
      <c r="AL24" s="92"/>
      <c r="AM24" s="92"/>
      <c r="AO24" s="437"/>
      <c r="AP24" s="92"/>
      <c r="AQ24" s="215"/>
      <c r="AR24" s="8">
        <f>Revenue!AR16</f>
        <v>-1.3314740347543448</v>
      </c>
      <c r="AS24" s="8">
        <f>Revenue!AS16</f>
        <v>0</v>
      </c>
      <c r="AT24" s="8">
        <f>Revenue!AT16</f>
        <v>0</v>
      </c>
      <c r="AU24" s="8">
        <f>Revenue!AU16</f>
        <v>0</v>
      </c>
      <c r="AV24" s="8">
        <f>Revenue!AV16</f>
        <v>0</v>
      </c>
    </row>
    <row r="25" spans="1:49" s="82" customFormat="1" ht="15">
      <c r="E25" s="56" t="s">
        <v>1160</v>
      </c>
      <c r="G25" s="2" t="s">
        <v>105</v>
      </c>
      <c r="I25" s="393"/>
      <c r="AJ25" s="92"/>
      <c r="AK25" s="92"/>
      <c r="AL25" s="92"/>
      <c r="AM25" s="92"/>
      <c r="AN25" s="144"/>
      <c r="AO25" s="437"/>
      <c r="AP25" s="92"/>
      <c r="AQ25" s="215"/>
      <c r="AR25" s="447">
        <f>SUM(AR23:AR24)</f>
        <v>15.208041836949159</v>
      </c>
      <c r="AS25" s="431">
        <f t="shared" ref="AS25:AV25" si="1">SUM(AS23:AS24)</f>
        <v>2.5811615454329915</v>
      </c>
      <c r="AT25" s="431">
        <f t="shared" si="1"/>
        <v>-11.568798501776849</v>
      </c>
      <c r="AU25" s="431">
        <f t="shared" si="1"/>
        <v>-7.4488746030208999</v>
      </c>
      <c r="AV25" s="431">
        <f t="shared" si="1"/>
        <v>-0.10618474920940915</v>
      </c>
    </row>
    <row r="26" spans="1:49" s="82" customFormat="1" ht="15">
      <c r="E26" s="56"/>
      <c r="AJ26" s="92"/>
      <c r="AK26" s="92"/>
      <c r="AL26" s="92"/>
      <c r="AM26" s="92"/>
      <c r="AN26" s="250"/>
      <c r="AO26" s="400"/>
      <c r="AP26" s="92"/>
      <c r="AQ26" s="215"/>
      <c r="AR26" s="92"/>
      <c r="AS26" s="92"/>
      <c r="AT26" s="92"/>
      <c r="AU26" s="92"/>
      <c r="AV26" s="92"/>
    </row>
    <row r="27" spans="1:49" s="82" customFormat="1" ht="15">
      <c r="E27" s="56" t="s">
        <v>1163</v>
      </c>
      <c r="F27"/>
      <c r="G27" s="2" t="s">
        <v>249</v>
      </c>
      <c r="H27" s="82" t="s">
        <v>1164</v>
      </c>
      <c r="I27" s="289">
        <f>SUM(AR25:AV25)/SUM(AR15:AV15)</f>
        <v>-4.1477102945256141E-4</v>
      </c>
      <c r="AJ27" s="92"/>
      <c r="AK27" s="92"/>
      <c r="AL27" s="92"/>
      <c r="AM27" s="92"/>
      <c r="AN27" s="436"/>
      <c r="AO27" s="400"/>
      <c r="AP27" s="92"/>
      <c r="AQ27" s="215"/>
      <c r="AR27" s="92"/>
      <c r="AS27" s="92"/>
      <c r="AT27" s="92"/>
      <c r="AU27" s="92"/>
      <c r="AV27" s="92"/>
    </row>
    <row r="28" spans="1:49" s="82" customFormat="1" ht="15">
      <c r="E28" s="56"/>
      <c r="F28"/>
      <c r="G28" s="2"/>
      <c r="AJ28" s="92"/>
      <c r="AK28" s="92"/>
      <c r="AL28" s="92"/>
      <c r="AM28" s="92"/>
      <c r="AN28" s="92"/>
      <c r="AO28" s="437"/>
      <c r="AP28" s="92"/>
      <c r="AQ28" s="215"/>
      <c r="AR28" s="92"/>
      <c r="AS28" s="92"/>
      <c r="AT28" s="92"/>
      <c r="AU28" s="92"/>
      <c r="AV28" s="92"/>
    </row>
    <row r="29" spans="1:49" s="82" customFormat="1" ht="15">
      <c r="A29" s="21"/>
      <c r="B29" s="21"/>
      <c r="C29" s="28" t="s">
        <v>1165</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5">
      <c r="E30" s="56"/>
      <c r="F30"/>
      <c r="G30" s="2"/>
      <c r="AJ30" s="92"/>
      <c r="AK30" s="92"/>
      <c r="AL30" s="92"/>
      <c r="AM30" s="92"/>
      <c r="AN30" s="92"/>
      <c r="AO30" s="437"/>
      <c r="AP30" s="92"/>
      <c r="AQ30" s="215"/>
      <c r="AR30" s="92"/>
      <c r="AS30" s="92"/>
      <c r="AT30" s="92"/>
      <c r="AU30" s="92"/>
      <c r="AV30" s="92"/>
    </row>
    <row r="31" spans="1:49" s="82" customFormat="1" ht="15">
      <c r="D31" s="351" t="s">
        <v>1166</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5">
      <c r="E32" s="56"/>
      <c r="G32" s="2"/>
      <c r="AJ32" s="92"/>
      <c r="AK32" s="92"/>
      <c r="AL32" s="92"/>
      <c r="AM32" s="92"/>
      <c r="AN32" s="92"/>
      <c r="AO32" s="437"/>
      <c r="AP32" s="92"/>
      <c r="AQ32" s="215"/>
      <c r="AR32" s="92"/>
      <c r="AS32" s="92"/>
      <c r="AT32" s="92"/>
      <c r="AU32" s="92"/>
      <c r="AV32" s="92"/>
    </row>
    <row r="33" spans="2:52" s="82" customFormat="1" ht="15">
      <c r="E33" s="56" t="s">
        <v>291</v>
      </c>
      <c r="G33" s="2" t="s">
        <v>249</v>
      </c>
      <c r="H33" s="82" t="s">
        <v>292</v>
      </c>
      <c r="I33" s="439">
        <f>InputSummary!I240</f>
        <v>0.03</v>
      </c>
      <c r="AJ33" s="92"/>
      <c r="AK33" s="92"/>
      <c r="AL33" s="92"/>
      <c r="AM33" s="92"/>
      <c r="AN33" s="92"/>
      <c r="AO33" s="437"/>
      <c r="AP33" s="92"/>
      <c r="AQ33" s="215"/>
      <c r="AR33" s="92"/>
      <c r="AS33" s="92"/>
      <c r="AT33" s="92"/>
      <c r="AU33" s="92"/>
      <c r="AV33" s="92"/>
    </row>
    <row r="34" spans="2:52" s="82" customFormat="1" ht="15">
      <c r="E34" s="56" t="s">
        <v>293</v>
      </c>
      <c r="G34" s="2" t="s">
        <v>249</v>
      </c>
      <c r="H34" s="82" t="s">
        <v>294</v>
      </c>
      <c r="I34" s="439">
        <f>InputSummary!I241</f>
        <v>0.04</v>
      </c>
      <c r="AJ34" s="92"/>
      <c r="AK34" s="92"/>
      <c r="AL34" s="92"/>
      <c r="AM34" s="92"/>
      <c r="AN34" s="92"/>
      <c r="AO34" s="437"/>
      <c r="AP34" s="92"/>
      <c r="AQ34" s="215"/>
      <c r="AR34" s="92"/>
      <c r="AS34" s="92"/>
      <c r="AT34" s="92"/>
      <c r="AU34" s="92"/>
      <c r="AV34" s="92"/>
    </row>
    <row r="35" spans="2:52" s="82" customFormat="1" ht="15">
      <c r="E35" s="56" t="s">
        <v>295</v>
      </c>
      <c r="G35" s="2" t="s">
        <v>209</v>
      </c>
      <c r="H35" s="82" t="s">
        <v>296</v>
      </c>
      <c r="I35" s="439">
        <f>InputSummary!I242</f>
        <v>0.5</v>
      </c>
      <c r="AJ35" s="92"/>
      <c r="AK35" s="92"/>
      <c r="AL35" s="92"/>
      <c r="AM35" s="92"/>
      <c r="AN35" s="92"/>
      <c r="AO35" s="437"/>
      <c r="AP35" s="92"/>
      <c r="AQ35" s="215"/>
      <c r="AR35" s="92"/>
      <c r="AS35" s="92"/>
      <c r="AT35" s="92"/>
      <c r="AU35" s="92"/>
      <c r="AV35" s="92"/>
    </row>
    <row r="36" spans="2:52" s="82" customFormat="1" ht="15">
      <c r="E36" s="56" t="s">
        <v>297</v>
      </c>
      <c r="G36" s="2" t="s">
        <v>209</v>
      </c>
      <c r="H36" s="82" t="s">
        <v>298</v>
      </c>
      <c r="I36" s="439">
        <f>InputSummary!I243</f>
        <v>0.9</v>
      </c>
      <c r="AJ36" s="92"/>
      <c r="AK36" s="92"/>
      <c r="AL36" s="92"/>
      <c r="AM36" s="92"/>
      <c r="AN36" s="92"/>
      <c r="AO36" s="437"/>
      <c r="AP36" s="92"/>
      <c r="AQ36" s="215"/>
      <c r="AR36" s="92"/>
      <c r="AS36" s="92"/>
      <c r="AT36" s="92"/>
      <c r="AU36" s="92"/>
      <c r="AV36" s="92"/>
    </row>
    <row r="37" spans="2:52" s="82" customFormat="1" ht="15">
      <c r="E37" s="56"/>
      <c r="G37" s="2"/>
      <c r="AJ37" s="92"/>
      <c r="AK37" s="92"/>
      <c r="AL37" s="92"/>
      <c r="AM37" s="92"/>
      <c r="AN37" s="92"/>
      <c r="AO37" s="437"/>
      <c r="AP37" s="92"/>
      <c r="AQ37" s="215"/>
      <c r="AR37" s="92"/>
      <c r="AS37" s="92"/>
      <c r="AT37" s="92"/>
      <c r="AU37" s="92"/>
      <c r="AV37" s="92"/>
    </row>
    <row r="38" spans="2:52" s="2" customFormat="1" ht="15" customHeight="1">
      <c r="C38" s="55"/>
      <c r="D38" s="97" t="s">
        <v>1167</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5">
      <c r="E39" s="56"/>
      <c r="G39" s="2"/>
      <c r="AJ39" s="92"/>
      <c r="AK39" s="92"/>
      <c r="AL39" s="92"/>
      <c r="AM39" s="92"/>
      <c r="AN39" s="92"/>
      <c r="AO39" s="92"/>
      <c r="AP39" s="92"/>
      <c r="AQ39" s="215"/>
      <c r="AR39" s="92"/>
      <c r="AS39" s="92"/>
      <c r="AT39" s="92"/>
      <c r="AU39" s="92"/>
      <c r="AV39" s="92"/>
    </row>
    <row r="40" spans="2:52" s="82" customFormat="1" ht="15">
      <c r="E40" s="56" t="s">
        <v>1168</v>
      </c>
      <c r="G40" s="2" t="s">
        <v>868</v>
      </c>
      <c r="I40" s="82" t="b">
        <f>I27 &gt;= 0</f>
        <v>0</v>
      </c>
      <c r="AJ40" s="92"/>
      <c r="AK40" s="92"/>
      <c r="AL40" s="92"/>
      <c r="AM40" s="92"/>
      <c r="AN40" s="92"/>
      <c r="AO40" s="92"/>
      <c r="AP40" s="92"/>
      <c r="AQ40" s="215"/>
      <c r="AR40" s="92"/>
      <c r="AS40" s="92"/>
      <c r="AT40" s="92"/>
      <c r="AU40" s="92"/>
      <c r="AV40" s="92"/>
    </row>
    <row r="41" spans="2:52" s="82" customFormat="1" ht="15">
      <c r="E41" s="56"/>
      <c r="G41" s="2"/>
      <c r="AJ41" s="92"/>
      <c r="AK41" s="92"/>
      <c r="AL41" s="92"/>
      <c r="AM41" s="92"/>
      <c r="AN41" s="92"/>
      <c r="AO41" s="92"/>
      <c r="AP41" s="92"/>
      <c r="AQ41" s="215"/>
      <c r="AR41" s="92"/>
      <c r="AS41" s="92"/>
      <c r="AT41" s="92"/>
      <c r="AU41" s="92"/>
      <c r="AV41" s="92"/>
    </row>
    <row r="42" spans="2:52" s="82" customFormat="1" ht="15">
      <c r="E42" s="2" t="s">
        <v>1169</v>
      </c>
      <c r="G42" s="2" t="s">
        <v>209</v>
      </c>
      <c r="I42" s="311">
        <f>I40 * MAX( MIN( I27, I34) - I33, 0) * I35</f>
        <v>0</v>
      </c>
      <c r="AJ42" s="92"/>
      <c r="AK42" s="92"/>
      <c r="AL42" s="92"/>
      <c r="AM42" s="92"/>
      <c r="AN42" s="92"/>
      <c r="AO42" s="92"/>
      <c r="AP42" s="92"/>
      <c r="AQ42" s="215"/>
      <c r="AR42" s="92"/>
      <c r="AS42" s="92"/>
      <c r="AT42" s="92"/>
      <c r="AU42" s="92"/>
      <c r="AV42" s="92"/>
    </row>
    <row r="43" spans="2:52" s="82" customFormat="1" ht="15">
      <c r="E43" s="2" t="s">
        <v>1170</v>
      </c>
      <c r="G43" s="2" t="s">
        <v>209</v>
      </c>
      <c r="I43" s="311">
        <f>I40 * MAX( I27 - I34, 0) * I36</f>
        <v>0</v>
      </c>
      <c r="AJ43" s="92"/>
      <c r="AK43" s="92"/>
      <c r="AL43" s="92"/>
      <c r="AM43" s="92"/>
      <c r="AN43" s="92"/>
      <c r="AO43" s="92"/>
      <c r="AP43" s="92"/>
      <c r="AQ43" s="215"/>
      <c r="AR43" s="92"/>
      <c r="AS43" s="92"/>
      <c r="AT43" s="92"/>
      <c r="AU43" s="92"/>
      <c r="AV43" s="92"/>
    </row>
    <row r="44" spans="2:52" s="82" customFormat="1" ht="15">
      <c r="E44" s="2"/>
      <c r="G44" s="2"/>
      <c r="AJ44" s="92"/>
      <c r="AK44" s="92"/>
      <c r="AL44" s="92"/>
      <c r="AM44" s="92"/>
      <c r="AN44" s="92"/>
      <c r="AO44" s="92"/>
      <c r="AP44" s="92"/>
      <c r="AQ44" s="215"/>
      <c r="AR44" s="92"/>
      <c r="AS44" s="92"/>
      <c r="AT44" s="92"/>
      <c r="AU44" s="92"/>
      <c r="AV44" s="92"/>
    </row>
    <row r="45" spans="2:52" s="82" customFormat="1" ht="15">
      <c r="E45" s="2" t="s">
        <v>1167</v>
      </c>
      <c r="G45" s="2" t="s">
        <v>105</v>
      </c>
      <c r="I45" s="446">
        <f>I19 * (-I42 -I43)</f>
        <v>0</v>
      </c>
      <c r="AJ45" s="92"/>
      <c r="AK45" s="92"/>
      <c r="AL45" s="92"/>
      <c r="AM45" s="92"/>
      <c r="AN45" s="92"/>
      <c r="AO45" s="92"/>
      <c r="AP45" s="92"/>
      <c r="AQ45" s="215"/>
      <c r="AR45" s="92"/>
      <c r="AS45" s="92"/>
      <c r="AT45" s="92"/>
      <c r="AU45" s="92"/>
      <c r="AV45" s="92"/>
    </row>
    <row r="46" spans="2:52" s="21" customFormat="1" ht="15">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1171</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5">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5">
      <c r="B49" s="34"/>
      <c r="C49" s="34"/>
      <c r="D49" s="34"/>
      <c r="E49" s="35" t="s">
        <v>1172</v>
      </c>
      <c r="F49" s="35"/>
      <c r="G49" s="21" t="s">
        <v>868</v>
      </c>
      <c r="H49" s="35"/>
      <c r="I49" s="35" t="b">
        <f>I27 &lt; 0</f>
        <v>1</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5">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5">
      <c r="B51" s="34"/>
      <c r="C51" s="34"/>
      <c r="D51" s="34"/>
      <c r="E51" s="35" t="s">
        <v>1173</v>
      </c>
      <c r="F51" s="35"/>
      <c r="G51" s="21" t="s">
        <v>209</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5">
      <c r="B52" s="34"/>
      <c r="C52" s="34"/>
      <c r="D52" s="34"/>
      <c r="E52" s="35" t="s">
        <v>1174</v>
      </c>
      <c r="F52" s="35"/>
      <c r="G52" s="21" t="s">
        <v>209</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5">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5">
      <c r="B54" s="34"/>
      <c r="C54" s="34"/>
      <c r="D54" s="34"/>
      <c r="E54" s="35" t="s">
        <v>1171</v>
      </c>
      <c r="F54" s="35"/>
      <c r="G54" s="2" t="s">
        <v>105</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5">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1175</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1176</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1177</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5">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5">
      <c r="B60" s="34"/>
      <c r="C60" s="34"/>
      <c r="D60" s="34"/>
      <c r="E60" s="35" t="s">
        <v>1178</v>
      </c>
      <c r="F60" s="35"/>
      <c r="G60" s="2" t="s">
        <v>105</v>
      </c>
      <c r="H60" s="35" t="s">
        <v>1179</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5">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5">
      <c r="B62" s="34"/>
      <c r="C62" s="34"/>
      <c r="D62" s="34"/>
      <c r="E62" s="35" t="s">
        <v>1180</v>
      </c>
      <c r="F62" s="35"/>
      <c r="G62" s="2" t="s">
        <v>209</v>
      </c>
      <c r="H62" s="35" t="s">
        <v>1181</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0.18364211597825994</v>
      </c>
      <c r="AS62" s="439">
        <f t="shared" ref="AS62:AV62" si="2">AS15/$I$19</f>
        <v>0.19037162012264736</v>
      </c>
      <c r="AT62" s="439">
        <f t="shared" si="2"/>
        <v>0.19952548063166592</v>
      </c>
      <c r="AU62" s="439">
        <f t="shared" si="2"/>
        <v>0.20891383298932598</v>
      </c>
      <c r="AV62" s="439">
        <f t="shared" si="2"/>
        <v>0.21754695027810084</v>
      </c>
      <c r="AW62" s="34"/>
      <c r="AX62"/>
      <c r="AY62"/>
      <c r="AZ62"/>
    </row>
    <row r="63" spans="2:52" s="21" customFormat="1" ht="15">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5">
      <c r="B64" s="34"/>
      <c r="C64" s="34"/>
      <c r="D64" s="34"/>
      <c r="E64" s="35" t="s">
        <v>1182</v>
      </c>
      <c r="F64" s="35"/>
      <c r="G64" s="2" t="s">
        <v>105</v>
      </c>
      <c r="H64" s="35" t="s">
        <v>1183</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5">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5">
      <c r="B66" s="37" t="s">
        <v>1184</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5">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5">
      <c r="B68" s="34"/>
      <c r="C68" s="34"/>
      <c r="D68" s="34"/>
      <c r="E68" s="35" t="s">
        <v>1160</v>
      </c>
      <c r="F68" s="35"/>
      <c r="G68" s="2" t="s">
        <v>105</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15.208041836949159</v>
      </c>
      <c r="AS68" s="7">
        <f t="shared" ref="AS68:AV68" si="4">AS25</f>
        <v>2.5811615454329915</v>
      </c>
      <c r="AT68" s="7">
        <f t="shared" si="4"/>
        <v>-11.568798501776849</v>
      </c>
      <c r="AU68" s="7">
        <f t="shared" si="4"/>
        <v>-7.4488746030208999</v>
      </c>
      <c r="AV68" s="7">
        <f t="shared" si="4"/>
        <v>-0.10618474920940915</v>
      </c>
      <c r="AW68" s="34"/>
      <c r="AX68"/>
      <c r="AY68"/>
      <c r="AZ68"/>
    </row>
    <row r="69" spans="1:52" s="21" customFormat="1" ht="15">
      <c r="B69" s="34"/>
      <c r="C69" s="34"/>
      <c r="D69" s="34"/>
      <c r="E69" s="35" t="s">
        <v>1182</v>
      </c>
      <c r="F69" s="35"/>
      <c r="G69" s="2" t="s">
        <v>105</v>
      </c>
      <c r="H69" s="35" t="s">
        <v>1183</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5">
      <c r="B70" s="34"/>
      <c r="C70" s="34"/>
      <c r="D70" s="34"/>
      <c r="E70" s="35" t="s">
        <v>1185</v>
      </c>
      <c r="F70" s="35"/>
      <c r="G70" s="2" t="s">
        <v>105</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15.208041836949159</v>
      </c>
      <c r="AS70" s="431">
        <f t="shared" ref="AS70:AV70" si="6">SUM(AS68:AS69)</f>
        <v>2.5811615454329915</v>
      </c>
      <c r="AT70" s="431">
        <f t="shared" si="6"/>
        <v>-11.568798501776849</v>
      </c>
      <c r="AU70" s="431">
        <f t="shared" si="6"/>
        <v>-7.4488746030208999</v>
      </c>
      <c r="AV70" s="431">
        <f t="shared" si="6"/>
        <v>-0.10618474920940915</v>
      </c>
      <c r="AW70" s="34"/>
      <c r="AX70"/>
      <c r="AY70"/>
      <c r="AZ70"/>
    </row>
    <row r="71" spans="1:52" s="21" customFormat="1" ht="15">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5">
      <c r="B72" s="34"/>
      <c r="C72" s="34"/>
      <c r="D72" s="34"/>
      <c r="E72" s="35" t="s">
        <v>1163</v>
      </c>
      <c r="F72" s="35"/>
      <c r="G72" s="21" t="s">
        <v>1186</v>
      </c>
      <c r="H72" s="35"/>
      <c r="I72" s="450">
        <f>SUM(AR68:AV68) / I19</f>
        <v>-4.1477102945256141E-4</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5">
      <c r="B73" s="34"/>
      <c r="C73" s="34"/>
      <c r="D73" s="34"/>
      <c r="E73" s="35" t="s">
        <v>1178</v>
      </c>
      <c r="F73" s="35"/>
      <c r="G73" s="21" t="s">
        <v>1186</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5">
      <c r="B74" s="34"/>
      <c r="C74" s="34"/>
      <c r="D74" s="34"/>
      <c r="E74" s="35" t="s">
        <v>1187</v>
      </c>
      <c r="F74" s="35"/>
      <c r="G74" s="21" t="s">
        <v>1186</v>
      </c>
      <c r="H74" s="35"/>
      <c r="I74" s="451">
        <f>SUM(I72:I73)</f>
        <v>-4.1477102945256141E-4</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5">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5">
      <c r="A76" s="21"/>
      <c r="B76" s="37" t="s">
        <v>79</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row r="78" spans="1:52"/>
  </sheetData>
  <conditionalFormatting sqref="AM2">
    <cfRule type="expression" dxfId="88" priority="1">
      <formula>mac_sensitivity=2</formula>
    </cfRule>
    <cfRule type="expression" dxfId="87" priority="2">
      <formula>mac_sensitivity=1</formula>
    </cfRule>
  </conditionalFormatting>
  <conditionalFormatting sqref="AM3">
    <cfRule type="expression" dxfId="8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1.875" customWidth="1"/>
    <col min="7" max="7" width="12" customWidth="1"/>
    <col min="8" max="8" width="2" customWidth="1"/>
    <col min="9" max="9" width="10.5" customWidth="1"/>
    <col min="10" max="10" width="1.5" customWidth="1" collapsed="1"/>
    <col min="11" max="35" width="9.625" hidden="1" customWidth="1" outlineLevel="1"/>
    <col min="36" max="48" width="9.625" customWidth="1"/>
    <col min="49" max="49" width="6" customWidth="1"/>
    <col min="50" max="52" width="9" hidden="1" customWidth="1"/>
    <col min="53" max="99" width="0" hidden="1" customWidth="1"/>
    <col min="100" max="16384" width="9" hidden="1"/>
  </cols>
  <sheetData>
    <row r="1" spans="1:52" ht="19.5">
      <c r="A1" s="195" t="s">
        <v>67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52"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472"/>
      <c r="AS3" s="472"/>
      <c r="AT3" s="472"/>
      <c r="AU3" s="472"/>
      <c r="AV3" s="181"/>
      <c r="AW3" s="181"/>
    </row>
    <row r="4" spans="1:5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5">
      <c r="B6" s="37" t="s">
        <v>534</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5">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5">
      <c r="A8" s="2"/>
      <c r="B8" s="2"/>
      <c r="C8" s="2"/>
      <c r="D8" s="2"/>
      <c r="E8" s="21" t="s">
        <v>1188</v>
      </c>
      <c r="F8" s="21"/>
      <c r="G8" s="2" t="s">
        <v>105</v>
      </c>
      <c r="H8" s="288"/>
      <c r="I8" s="2" t="s">
        <v>1189</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53.232109125132617</v>
      </c>
      <c r="AS8" s="8">
        <f>TIM!AS66</f>
        <v>62.46489438655658</v>
      </c>
      <c r="AT8" s="8">
        <f>TIM!AT66</f>
        <v>63.17677963402673</v>
      </c>
      <c r="AU8" s="8">
        <f>TIM!AU66</f>
        <v>63.737896260808384</v>
      </c>
      <c r="AV8" s="8">
        <f>TIM!AV66</f>
        <v>60.01704136354595</v>
      </c>
    </row>
    <row r="9" spans="1:52" ht="15">
      <c r="E9" s="7" t="s">
        <v>935</v>
      </c>
      <c r="F9" s="7"/>
      <c r="G9" s="2" t="s">
        <v>105</v>
      </c>
      <c r="H9" s="288"/>
      <c r="I9" s="2" t="s">
        <v>1190</v>
      </c>
      <c r="AJ9" s="8"/>
      <c r="AK9" s="8"/>
      <c r="AL9" s="8"/>
      <c r="AM9" s="8"/>
      <c r="AN9" s="8"/>
      <c r="AO9" s="8"/>
      <c r="AP9" s="8"/>
      <c r="AQ9" s="435"/>
      <c r="AR9" s="8">
        <f>-'Return&amp;RAV'!AR45</f>
        <v>111.44416203307952</v>
      </c>
      <c r="AS9" s="8">
        <f>-'Return&amp;RAV'!AS45</f>
        <v>109.93337156931337</v>
      </c>
      <c r="AT9" s="8">
        <f>-'Return&amp;RAV'!AT45</f>
        <v>109.453111687288</v>
      </c>
      <c r="AU9" s="8">
        <f>-'Return&amp;RAV'!AU45</f>
        <v>108.19658751182081</v>
      </c>
      <c r="AV9" s="8">
        <f>-'Return&amp;RAV'!AV45</f>
        <v>106.68771856092478</v>
      </c>
    </row>
    <row r="10" spans="1:52" ht="15">
      <c r="E10" s="7" t="s">
        <v>530</v>
      </c>
      <c r="F10" s="7"/>
      <c r="G10" s="2" t="s">
        <v>105</v>
      </c>
      <c r="H10" s="288"/>
      <c r="I10" s="2" t="s">
        <v>1191</v>
      </c>
      <c r="AJ10" s="8"/>
      <c r="AK10" s="8"/>
      <c r="AL10" s="8"/>
      <c r="AM10" s="8"/>
      <c r="AN10" s="8"/>
      <c r="AO10" s="8"/>
      <c r="AP10" s="8"/>
      <c r="AQ10" s="435"/>
      <c r="AR10" s="8">
        <f>'Return&amp;RAV'!AR30</f>
        <v>58.698958921610206</v>
      </c>
      <c r="AS10" s="8">
        <f>'Return&amp;RAV'!AS30</f>
        <v>63.356341339402768</v>
      </c>
      <c r="AT10" s="8">
        <f>'Return&amp;RAV'!AT30</f>
        <v>66.53116527308822</v>
      </c>
      <c r="AU10" s="8">
        <f>'Return&amp;RAV'!AU30</f>
        <v>69.85988354507478</v>
      </c>
      <c r="AV10" s="8">
        <f>'Return&amp;RAV'!AV30</f>
        <v>73.075053417787487</v>
      </c>
    </row>
    <row r="11" spans="1:52" ht="15">
      <c r="E11" s="7" t="s">
        <v>751</v>
      </c>
      <c r="F11" s="21"/>
      <c r="G11" s="2" t="s">
        <v>105</v>
      </c>
      <c r="H11" s="288"/>
      <c r="I11" s="2" t="s">
        <v>1192</v>
      </c>
      <c r="AJ11" s="8"/>
      <c r="AK11" s="8"/>
      <c r="AL11" s="8"/>
      <c r="AM11" s="8"/>
      <c r="AN11" s="8"/>
      <c r="AO11" s="8"/>
      <c r="AP11" s="8"/>
      <c r="AQ11" s="435"/>
      <c r="AR11" s="8">
        <f>InputSummary!AR97</f>
        <v>47.273409133187982</v>
      </c>
      <c r="AS11" s="8">
        <f>InputSummary!AS97</f>
        <v>2.0850963412769374E-2</v>
      </c>
      <c r="AT11" s="8">
        <f>InputSummary!AT97</f>
        <v>32.088294548153613</v>
      </c>
      <c r="AU11" s="8">
        <f>InputSummary!AU97</f>
        <v>32.431332171924097</v>
      </c>
      <c r="AV11" s="8">
        <f>InputSummary!AV97</f>
        <v>32.641919857311827</v>
      </c>
    </row>
    <row r="12" spans="1:52" ht="15">
      <c r="E12" s="133" t="s">
        <v>1193</v>
      </c>
      <c r="F12" s="21"/>
      <c r="G12" s="180" t="s">
        <v>105</v>
      </c>
      <c r="H12" s="288"/>
      <c r="I12" s="2"/>
      <c r="AJ12" s="539"/>
      <c r="AK12" s="539"/>
      <c r="AL12" s="539"/>
      <c r="AM12" s="539"/>
      <c r="AN12" s="539"/>
      <c r="AO12" s="539"/>
      <c r="AP12" s="539"/>
      <c r="AQ12" s="540"/>
      <c r="AR12" s="539">
        <f t="shared" ref="AR12:AV12" si="0">SUM(AR8:AR11)</f>
        <v>270.64863921301031</v>
      </c>
      <c r="AS12" s="539">
        <f t="shared" si="0"/>
        <v>235.77545825868549</v>
      </c>
      <c r="AT12" s="539">
        <f t="shared" si="0"/>
        <v>271.24935114255658</v>
      </c>
      <c r="AU12" s="539">
        <f t="shared" si="0"/>
        <v>274.22569948962808</v>
      </c>
      <c r="AV12" s="539">
        <f t="shared" si="0"/>
        <v>272.42173319957004</v>
      </c>
    </row>
    <row r="13" spans="1:52" ht="15">
      <c r="E13" s="21" t="s">
        <v>1194</v>
      </c>
      <c r="F13" s="21"/>
      <c r="G13" s="2" t="s">
        <v>105</v>
      </c>
      <c r="H13" s="288"/>
      <c r="I13" s="2" t="s">
        <v>1195</v>
      </c>
      <c r="AJ13" s="8"/>
      <c r="AK13" s="8"/>
      <c r="AL13" s="8"/>
      <c r="AM13" s="8"/>
      <c r="AN13" s="8"/>
      <c r="AO13" s="8"/>
      <c r="AP13" s="8"/>
      <c r="AQ13" s="435"/>
      <c r="AR13" s="8">
        <v>0</v>
      </c>
      <c r="AS13" s="8">
        <v>0</v>
      </c>
      <c r="AT13" s="8">
        <v>0</v>
      </c>
      <c r="AU13" s="8">
        <v>0</v>
      </c>
      <c r="AV13" s="8">
        <v>0</v>
      </c>
    </row>
    <row r="14" spans="1:52" ht="15">
      <c r="E14" s="21" t="s">
        <v>264</v>
      </c>
      <c r="F14" s="21"/>
      <c r="G14" s="2" t="s">
        <v>105</v>
      </c>
      <c r="H14" s="288"/>
      <c r="I14" s="2" t="s">
        <v>1196</v>
      </c>
      <c r="AJ14" s="8"/>
      <c r="AK14" s="8"/>
      <c r="AL14" s="8"/>
      <c r="AM14" s="8"/>
      <c r="AN14" s="8"/>
      <c r="AO14" s="8"/>
      <c r="AP14" s="8"/>
      <c r="AQ14" s="435"/>
      <c r="AR14" s="8">
        <f>'Finance&amp;Tax'!AR185</f>
        <v>3.4420389688950572</v>
      </c>
      <c r="AS14" s="8">
        <f>'Finance&amp;Tax'!AS185</f>
        <v>0</v>
      </c>
      <c r="AT14" s="8">
        <f>'Finance&amp;Tax'!AT185</f>
        <v>0</v>
      </c>
      <c r="AU14" s="8">
        <f>'Finance&amp;Tax'!AU185</f>
        <v>0</v>
      </c>
      <c r="AV14" s="8">
        <f>'Finance&amp;Tax'!AV185</f>
        <v>0</v>
      </c>
    </row>
    <row r="15" spans="1:52" ht="15">
      <c r="E15" s="7" t="s">
        <v>1197</v>
      </c>
      <c r="F15" s="21"/>
      <c r="G15" s="2" t="s">
        <v>105</v>
      </c>
      <c r="H15" s="288"/>
      <c r="I15" s="2" t="s">
        <v>1198</v>
      </c>
      <c r="AJ15" s="8"/>
      <c r="AK15" s="8"/>
      <c r="AL15" s="8"/>
      <c r="AM15" s="8"/>
      <c r="AN15" s="8"/>
      <c r="AO15" s="8"/>
      <c r="AP15" s="8"/>
      <c r="AQ15" s="435"/>
      <c r="AR15" s="8">
        <f>TIM!AR76</f>
        <v>0</v>
      </c>
      <c r="AS15" s="8">
        <f>TIM!AS76</f>
        <v>0</v>
      </c>
      <c r="AT15" s="8">
        <f>TIM!AT76</f>
        <v>0</v>
      </c>
      <c r="AU15" s="8">
        <f>TIM!AU76</f>
        <v>0</v>
      </c>
      <c r="AV15" s="8">
        <f>TIM!AV76</f>
        <v>0</v>
      </c>
    </row>
    <row r="16" spans="1:52" ht="15">
      <c r="E16" s="7" t="s">
        <v>1199</v>
      </c>
      <c r="F16" s="21"/>
      <c r="G16" s="2" t="s">
        <v>105</v>
      </c>
      <c r="H16" s="288"/>
      <c r="I16" s="2" t="s">
        <v>1200</v>
      </c>
      <c r="AJ16" s="8"/>
      <c r="AK16" s="8"/>
      <c r="AL16" s="8"/>
      <c r="AM16" s="8"/>
      <c r="AN16" s="8"/>
      <c r="AO16" s="8"/>
      <c r="AP16" s="8"/>
      <c r="AQ16" s="435"/>
      <c r="AR16" s="8">
        <f>InputSummary!AR111</f>
        <v>-1.3314740347543448</v>
      </c>
      <c r="AS16" s="8">
        <f>InputSummary!AS111</f>
        <v>0</v>
      </c>
      <c r="AT16" s="8">
        <f>InputSummary!AT111</f>
        <v>0</v>
      </c>
      <c r="AU16" s="8">
        <f>InputSummary!AU111</f>
        <v>0</v>
      </c>
      <c r="AV16" s="8">
        <f>InputSummary!AV111</f>
        <v>0</v>
      </c>
    </row>
    <row r="17" spans="1:48" ht="15">
      <c r="E17" s="7" t="s">
        <v>3</v>
      </c>
      <c r="F17" s="21"/>
      <c r="G17" s="2" t="s">
        <v>105</v>
      </c>
      <c r="H17" s="288"/>
      <c r="I17" s="2" t="s">
        <v>1201</v>
      </c>
      <c r="AJ17" s="8"/>
      <c r="AK17" s="8"/>
      <c r="AL17" s="8"/>
      <c r="AM17" s="8"/>
      <c r="AN17" s="8"/>
      <c r="AO17" s="8"/>
      <c r="AP17" s="8"/>
      <c r="AQ17" s="435"/>
      <c r="AR17" s="8">
        <f>InputSummary!AR123</f>
        <v>1.0520814812803718</v>
      </c>
      <c r="AS17" s="8">
        <f>InputSummary!AS123</f>
        <v>0.64894579200000002</v>
      </c>
      <c r="AT17" s="8">
        <f>InputSummary!AT123</f>
        <v>0.64894579200000002</v>
      </c>
      <c r="AU17" s="8">
        <f>InputSummary!AU123</f>
        <v>0.64894579200000002</v>
      </c>
      <c r="AV17" s="8">
        <f>InputSummary!AV123</f>
        <v>0.60421683200000009</v>
      </c>
    </row>
    <row r="18" spans="1:48" ht="15">
      <c r="E18" s="7" t="s">
        <v>576</v>
      </c>
      <c r="F18" s="21"/>
      <c r="G18" s="2" t="s">
        <v>105</v>
      </c>
      <c r="H18" s="288"/>
      <c r="I18" s="2" t="s">
        <v>213</v>
      </c>
      <c r="AJ18" s="8"/>
      <c r="AK18" s="8"/>
      <c r="AL18" s="8"/>
      <c r="AM18" s="8"/>
      <c r="AN18" s="8"/>
      <c r="AO18" s="8"/>
      <c r="AP18" s="8"/>
      <c r="AQ18" s="435"/>
      <c r="AR18" s="8">
        <f>InputSummary!AR149</f>
        <v>-3.7623428995071047E-2</v>
      </c>
      <c r="AS18" s="8">
        <f>InputSummary!AS149</f>
        <v>-3.7623428995071047E-2</v>
      </c>
      <c r="AT18" s="8">
        <f>InputSummary!AT149</f>
        <v>-3.7623428995071047E-2</v>
      </c>
      <c r="AU18" s="8">
        <f>InputSummary!AU149</f>
        <v>-3.7623428995071047E-2</v>
      </c>
      <c r="AV18" s="8">
        <f>InputSummary!AV149</f>
        <v>-3.7623428995071047E-2</v>
      </c>
    </row>
    <row r="19" spans="1:48" ht="15">
      <c r="E19" s="133" t="s">
        <v>1202</v>
      </c>
      <c r="F19" s="21"/>
      <c r="G19" s="180" t="s">
        <v>105</v>
      </c>
      <c r="H19" s="288"/>
      <c r="I19" s="2"/>
      <c r="AJ19" s="541"/>
      <c r="AK19" s="541"/>
      <c r="AL19" s="541"/>
      <c r="AM19" s="541"/>
      <c r="AN19" s="541"/>
      <c r="AO19" s="541"/>
      <c r="AP19" s="541"/>
      <c r="AQ19" s="542"/>
      <c r="AR19" s="541">
        <f t="shared" ref="AR19:AV19" si="1">SUM(AR12:AR18)</f>
        <v>273.77366219943633</v>
      </c>
      <c r="AS19" s="541">
        <f t="shared" si="1"/>
        <v>236.38678062169043</v>
      </c>
      <c r="AT19" s="541">
        <f t="shared" si="1"/>
        <v>271.86067350556152</v>
      </c>
      <c r="AU19" s="541">
        <f t="shared" si="1"/>
        <v>274.83702185263303</v>
      </c>
      <c r="AV19" s="541">
        <f t="shared" si="1"/>
        <v>272.988326602575</v>
      </c>
    </row>
    <row r="20" spans="1:48" ht="15">
      <c r="E20" s="21" t="s">
        <v>533</v>
      </c>
      <c r="F20" s="21"/>
      <c r="G20" s="2" t="s">
        <v>105</v>
      </c>
      <c r="H20" s="288"/>
      <c r="I20" s="2" t="s">
        <v>1203</v>
      </c>
      <c r="AJ20" s="93"/>
      <c r="AK20" s="93"/>
      <c r="AL20" s="93"/>
      <c r="AM20" s="93"/>
      <c r="AN20" s="93"/>
      <c r="AO20" s="93"/>
      <c r="AP20" s="8"/>
      <c r="AQ20" s="435"/>
      <c r="AR20" s="8">
        <f>'Finance&amp;Tax'!AR240</f>
        <v>18.912324382557923</v>
      </c>
      <c r="AS20" s="8">
        <f>'Finance&amp;Tax'!AS240</f>
        <v>16.80711593650496</v>
      </c>
      <c r="AT20" s="8">
        <f>'Finance&amp;Tax'!AT240</f>
        <v>16.142149212467647</v>
      </c>
      <c r="AU20" s="8">
        <f>'Finance&amp;Tax'!AU240</f>
        <v>26.273244189525634</v>
      </c>
      <c r="AV20" s="8">
        <f>'Finance&amp;Tax'!AV240</f>
        <v>23.209020779359033</v>
      </c>
    </row>
    <row r="21" spans="1:48" ht="15">
      <c r="E21" s="21" t="s">
        <v>329</v>
      </c>
      <c r="F21" s="21"/>
      <c r="G21" s="2" t="s">
        <v>105</v>
      </c>
      <c r="H21" s="288"/>
      <c r="I21" s="2" t="s">
        <v>1204</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8" ht="15">
      <c r="E22" s="133" t="s">
        <v>1205</v>
      </c>
      <c r="F22" s="21"/>
      <c r="G22" s="180" t="s">
        <v>105</v>
      </c>
      <c r="H22" s="288"/>
      <c r="I22" s="2"/>
      <c r="AJ22" s="541"/>
      <c r="AK22" s="541"/>
      <c r="AL22" s="541"/>
      <c r="AM22" s="541"/>
      <c r="AN22" s="541"/>
      <c r="AO22" s="541"/>
      <c r="AP22" s="541"/>
      <c r="AQ22" s="542"/>
      <c r="AR22" s="541">
        <f t="shared" ref="AR22:AV22" si="2">SUM(AR19:AR21)</f>
        <v>292.68598658199426</v>
      </c>
      <c r="AS22" s="541">
        <f t="shared" si="2"/>
        <v>253.19389655819541</v>
      </c>
      <c r="AT22" s="541">
        <f t="shared" si="2"/>
        <v>288.00282271802917</v>
      </c>
      <c r="AU22" s="541">
        <f t="shared" si="2"/>
        <v>301.11026604215868</v>
      </c>
      <c r="AV22" s="541">
        <f t="shared" si="2"/>
        <v>296.19734738193404</v>
      </c>
    </row>
    <row r="23" spans="1:48" ht="15">
      <c r="E23" s="133"/>
      <c r="F23" s="7"/>
      <c r="G23" s="180"/>
      <c r="AJ23" s="85"/>
      <c r="AK23" s="85"/>
      <c r="AL23" s="85"/>
      <c r="AM23" s="85"/>
      <c r="AN23" s="85"/>
      <c r="AO23" s="85"/>
      <c r="AP23" s="85"/>
      <c r="AQ23" s="240"/>
      <c r="AR23" s="480"/>
      <c r="AS23" s="480"/>
      <c r="AT23" s="480"/>
      <c r="AU23" s="480"/>
      <c r="AV23" s="480"/>
    </row>
    <row r="24" spans="1:48">
      <c r="AQ24" s="313"/>
    </row>
    <row r="25" spans="1:48" ht="15">
      <c r="A25" s="98"/>
      <c r="B25" s="37" t="s">
        <v>79</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c r="AR26" s="481"/>
      <c r="AS26" s="481"/>
    </row>
    <row r="27" spans="1:48"/>
  </sheetData>
  <conditionalFormatting sqref="AM2">
    <cfRule type="expression" dxfId="85" priority="1">
      <formula>mac_sensitivity=2</formula>
    </cfRule>
    <cfRule type="expression" dxfId="84" priority="2">
      <formula>mac_sensitivity=1</formula>
    </cfRule>
  </conditionalFormatting>
  <conditionalFormatting sqref="AM3">
    <cfRule type="expression" dxfId="83"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142875</xdr:colOff>
                    <xdr:row>0</xdr:row>
                    <xdr:rowOff>28575</xdr:rowOff>
                  </from>
                  <to>
                    <xdr:col>8</xdr:col>
                    <xdr:colOff>0</xdr:colOff>
                    <xdr:row>0</xdr:row>
                    <xdr:rowOff>161925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zoomScale="85" zoomScaleNormal="85"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2" width="9.625" customWidth="1"/>
    <col min="43" max="43" width="9.625" style="220" customWidth="1"/>
    <col min="44" max="48" width="9.625" customWidth="1"/>
    <col min="49" max="49" width="3" customWidth="1"/>
    <col min="50" max="52" width="9" hidden="1" customWidth="1"/>
    <col min="53" max="16384" width="9" hidden="1"/>
  </cols>
  <sheetData>
    <row r="1" spans="1:102" ht="19.5">
      <c r="A1" s="195" t="s">
        <v>1147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102"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10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7"/>
      <c r="B5" s="7"/>
      <c r="C5" s="4" t="s">
        <v>1206</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5">
      <c r="B7" s="37" t="s">
        <v>1148</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5">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5">
      <c r="A9" s="2"/>
      <c r="B9" s="2"/>
      <c r="C9" s="20" t="s">
        <v>544</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5">
      <c r="A11" s="2"/>
      <c r="B11" s="2"/>
      <c r="C11" s="2"/>
      <c r="D11" s="2"/>
      <c r="E11" s="2" t="s">
        <v>552</v>
      </c>
      <c r="F11" s="2"/>
      <c r="G11" s="2" t="s">
        <v>868</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5">
      <c r="B12" s="34"/>
      <c r="C12" s="34"/>
      <c r="D12" s="34"/>
      <c r="E12" s="34" t="s">
        <v>1207</v>
      </c>
      <c r="F12" s="34"/>
      <c r="G12" s="2" t="s">
        <v>550</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5">
      <c r="C14" s="28" t="s">
        <v>950</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5">
      <c r="I15" s="182"/>
      <c r="AQ15" s="147"/>
    </row>
    <row r="16" spans="1:102" s="82" customFormat="1" ht="15.75">
      <c r="E16" s="2" t="s">
        <v>1</v>
      </c>
      <c r="G16" s="2" t="s">
        <v>100</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5">
        <f>InputSummary!AQ$194</f>
        <v>1.1939376770538244</v>
      </c>
      <c r="AR16" s="92">
        <f>InputSummary!AR$194</f>
        <v>1.2891506141768156</v>
      </c>
      <c r="AS16" s="92">
        <f>InputSummary!AS$194</f>
        <v>1.3284361388165782</v>
      </c>
      <c r="AT16" s="92">
        <f>InputSummary!AT$194</f>
        <v>1.3511547218960771</v>
      </c>
      <c r="AU16" s="92">
        <f>InputSummary!AU$194</f>
        <v>1.3719916643626167</v>
      </c>
      <c r="AV16" s="92">
        <f>InputSummary!AV$194</f>
        <v>1.3966351746111914</v>
      </c>
    </row>
    <row r="17" spans="3:48" s="82" customFormat="1" ht="15">
      <c r="E17" s="2" t="s">
        <v>1208</v>
      </c>
      <c r="G17" s="2"/>
      <c r="H17" s="82" t="s">
        <v>1209</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379.22513900367994</v>
      </c>
      <c r="AS17" s="8">
        <f>'Annual Inflation'!AS29</f>
        <v>390.78163083521014</v>
      </c>
      <c r="AT17" s="8">
        <f>'Annual Inflation'!AT29</f>
        <v>397.46468069109602</v>
      </c>
      <c r="AU17" s="8">
        <f>'Annual Inflation'!AU29</f>
        <v>403.59421460000311</v>
      </c>
      <c r="AV17" s="8">
        <f>'Annual Inflation'!AV29</f>
        <v>410.84351386479216</v>
      </c>
    </row>
    <row r="18" spans="3:48" s="82" customFormat="1" ht="15">
      <c r="E18" s="2"/>
      <c r="G18" s="2"/>
      <c r="AJ18" s="92"/>
      <c r="AK18" s="92"/>
      <c r="AL18" s="92"/>
      <c r="AM18" s="92"/>
      <c r="AN18" s="92"/>
      <c r="AO18" s="92"/>
      <c r="AP18" s="92"/>
      <c r="AQ18" s="215"/>
      <c r="AR18" s="92"/>
      <c r="AS18" s="92"/>
      <c r="AT18" s="92"/>
      <c r="AU18" s="92"/>
      <c r="AV18" s="92"/>
    </row>
    <row r="19" spans="3:48" s="82" customFormat="1" ht="15">
      <c r="C19" s="28" t="s">
        <v>1210</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5">
      <c r="E20" s="2"/>
      <c r="G20" s="2"/>
      <c r="AJ20" s="92"/>
      <c r="AK20" s="92"/>
      <c r="AL20" s="92"/>
      <c r="AM20" s="92"/>
      <c r="AN20" s="92"/>
      <c r="AO20" s="92"/>
      <c r="AP20" s="92"/>
      <c r="AQ20" s="215"/>
      <c r="AR20" s="92"/>
      <c r="AS20" s="92"/>
      <c r="AT20" s="92"/>
      <c r="AU20" s="92"/>
      <c r="AV20" s="92"/>
    </row>
    <row r="21" spans="3:48" s="82" customFormat="1" ht="15">
      <c r="E21" s="259" t="s">
        <v>397</v>
      </c>
      <c r="AJ21" s="92"/>
      <c r="AK21" s="92"/>
      <c r="AL21" s="92"/>
      <c r="AM21" s="92"/>
      <c r="AN21" s="92"/>
      <c r="AO21" s="92"/>
      <c r="AP21" s="92"/>
      <c r="AQ21" s="215"/>
      <c r="AR21" s="92"/>
      <c r="AS21" s="92"/>
      <c r="AT21" s="92"/>
      <c r="AU21" s="92"/>
      <c r="AV21" s="92"/>
    </row>
    <row r="22" spans="3:48" s="82" customFormat="1" ht="15">
      <c r="E22" s="346" t="s">
        <v>792</v>
      </c>
      <c r="G22" s="2" t="s">
        <v>304</v>
      </c>
      <c r="H22" s="82" t="s">
        <v>793</v>
      </c>
      <c r="AJ22" s="92"/>
      <c r="AK22" s="92"/>
      <c r="AL22" s="92"/>
      <c r="AM22" s="92"/>
      <c r="AN22" s="92"/>
      <c r="AO22" s="92"/>
      <c r="AP22" s="92"/>
      <c r="AQ22" s="215"/>
      <c r="AR22" s="8">
        <f>Legacy!AR26</f>
        <v>1.8310022846250977</v>
      </c>
      <c r="AS22" s="8">
        <f>Legacy!AS26</f>
        <v>1.9617694967509849</v>
      </c>
      <c r="AT22" s="8">
        <f>Legacy!AT26</f>
        <v>2.077865909128795</v>
      </c>
      <c r="AU22" s="8">
        <f>Legacy!AU26</f>
        <v>2.1973660124914374</v>
      </c>
      <c r="AV22" s="8">
        <f>Legacy!AV26</f>
        <v>2.3298157554538768</v>
      </c>
    </row>
    <row r="23" spans="3:48" s="82" customFormat="1" ht="15">
      <c r="E23" s="346" t="s">
        <v>794</v>
      </c>
      <c r="G23" s="2" t="s">
        <v>304</v>
      </c>
      <c r="H23" s="82" t="s">
        <v>712</v>
      </c>
      <c r="AJ23" s="92"/>
      <c r="AK23" s="92"/>
      <c r="AL23" s="92"/>
      <c r="AM23" s="92"/>
      <c r="AN23" s="92"/>
      <c r="AO23" s="92"/>
      <c r="AP23" s="92"/>
      <c r="AQ23" s="215"/>
      <c r="AR23" s="8">
        <f>Legacy!AR33</f>
        <v>11.000388283562989</v>
      </c>
      <c r="AS23" s="8">
        <f>Legacy!AS33</f>
        <v>33.327039582195709</v>
      </c>
      <c r="AT23" s="8">
        <f>Legacy!AT33</f>
        <v>0</v>
      </c>
      <c r="AU23" s="8">
        <f>Legacy!AU33</f>
        <v>0</v>
      </c>
      <c r="AV23" s="8">
        <f>Legacy!AV33</f>
        <v>0</v>
      </c>
    </row>
    <row r="24" spans="3:48" s="82" customFormat="1" ht="15">
      <c r="E24" s="346" t="s">
        <v>717</v>
      </c>
      <c r="G24" s="2" t="s">
        <v>304</v>
      </c>
      <c r="H24" s="82" t="s">
        <v>720</v>
      </c>
      <c r="AJ24" s="92"/>
      <c r="AK24" s="92"/>
      <c r="AL24" s="92"/>
      <c r="AM24" s="92"/>
      <c r="AN24" s="92"/>
      <c r="AO24" s="92"/>
      <c r="AP24" s="92"/>
      <c r="AQ24" s="475"/>
      <c r="AR24" s="8">
        <f>Legacy!AR43</f>
        <v>-1.4428176689494179</v>
      </c>
      <c r="AS24" s="8">
        <f>Legacy!AS43</f>
        <v>0</v>
      </c>
      <c r="AT24" s="8">
        <f>Legacy!AT43</f>
        <v>0</v>
      </c>
      <c r="AU24" s="8">
        <f>Legacy!AU43</f>
        <v>0</v>
      </c>
      <c r="AV24" s="8">
        <f>Legacy!AV43</f>
        <v>0</v>
      </c>
    </row>
    <row r="25" spans="3:48" s="82" customFormat="1" ht="15">
      <c r="E25" s="346" t="s">
        <v>430</v>
      </c>
      <c r="G25" s="2" t="s">
        <v>304</v>
      </c>
      <c r="H25" s="82" t="s">
        <v>721</v>
      </c>
      <c r="AJ25" s="92"/>
      <c r="AK25" s="92"/>
      <c r="AL25" s="92"/>
      <c r="AM25" s="92"/>
      <c r="AN25" s="92"/>
      <c r="AO25" s="92"/>
      <c r="AP25" s="92"/>
      <c r="AQ25" s="475"/>
      <c r="AR25" s="8">
        <f>Legacy!AR48</f>
        <v>0</v>
      </c>
      <c r="AS25" s="8">
        <f>Legacy!AS48</f>
        <v>0</v>
      </c>
      <c r="AT25" s="8">
        <f>Legacy!AT48</f>
        <v>0</v>
      </c>
      <c r="AU25" s="8">
        <f>Legacy!AU48</f>
        <v>0</v>
      </c>
      <c r="AV25" s="8">
        <f>Legacy!AV48</f>
        <v>0</v>
      </c>
    </row>
    <row r="26" spans="3:48" s="82" customFormat="1" ht="15">
      <c r="E26" s="346" t="s">
        <v>435</v>
      </c>
      <c r="G26" s="2" t="s">
        <v>304</v>
      </c>
      <c r="H26" s="82" t="s">
        <v>1211</v>
      </c>
      <c r="AJ26" s="92"/>
      <c r="AK26" s="92"/>
      <c r="AL26" s="92"/>
      <c r="AM26" s="92"/>
      <c r="AN26" s="92"/>
      <c r="AO26" s="92"/>
      <c r="AP26" s="92"/>
      <c r="AQ26" s="215"/>
      <c r="AR26" s="8">
        <f>Legacy!AR55</f>
        <v>0</v>
      </c>
      <c r="AS26" s="8">
        <f>Legacy!AS55</f>
        <v>0</v>
      </c>
      <c r="AT26" s="8">
        <f>Legacy!AT55</f>
        <v>0</v>
      </c>
      <c r="AU26" s="8">
        <f>Legacy!AU55</f>
        <v>0</v>
      </c>
      <c r="AV26" s="8">
        <f>Legacy!AV55</f>
        <v>0</v>
      </c>
    </row>
    <row r="27" spans="3:48" s="82" customFormat="1" ht="15">
      <c r="E27" s="259" t="s">
        <v>440</v>
      </c>
      <c r="AJ27" s="92"/>
      <c r="AK27" s="92"/>
      <c r="AL27" s="92"/>
      <c r="AM27" s="92"/>
      <c r="AN27" s="92"/>
      <c r="AO27" s="92"/>
      <c r="AP27" s="92"/>
      <c r="AQ27" s="215"/>
      <c r="AR27" s="8"/>
      <c r="AS27" s="8"/>
      <c r="AT27" s="8"/>
      <c r="AU27" s="8"/>
      <c r="AV27" s="8"/>
    </row>
    <row r="28" spans="3:48" s="82" customFormat="1" ht="15">
      <c r="E28" s="346" t="s">
        <v>796</v>
      </c>
      <c r="F28"/>
      <c r="G28" s="2" t="s">
        <v>304</v>
      </c>
      <c r="H28" s="82" t="s">
        <v>797</v>
      </c>
      <c r="AJ28" s="92"/>
      <c r="AK28" s="92"/>
      <c r="AL28" s="92"/>
      <c r="AM28" s="92"/>
      <c r="AN28" s="92"/>
      <c r="AO28" s="92"/>
      <c r="AP28" s="92"/>
      <c r="AQ28" s="215"/>
      <c r="AR28" s="8">
        <f>Legacy!AR62</f>
        <v>0.87418609570518735</v>
      </c>
      <c r="AS28" s="8">
        <f>Legacy!AS62</f>
        <v>2.121332078791192</v>
      </c>
      <c r="AT28" s="8">
        <f>Legacy!AT62</f>
        <v>0</v>
      </c>
      <c r="AU28" s="8">
        <f>Legacy!AU62</f>
        <v>0</v>
      </c>
      <c r="AV28" s="8">
        <f>Legacy!AV62</f>
        <v>0</v>
      </c>
    </row>
    <row r="29" spans="3:48" s="82" customFormat="1" ht="15">
      <c r="E29" s="346" t="s">
        <v>798</v>
      </c>
      <c r="F29"/>
      <c r="G29" s="2" t="s">
        <v>304</v>
      </c>
      <c r="H29" s="82" t="s">
        <v>799</v>
      </c>
      <c r="AJ29" s="92"/>
      <c r="AK29" s="92"/>
      <c r="AL29" s="92"/>
      <c r="AM29" s="92"/>
      <c r="AN29" s="92"/>
      <c r="AO29" s="92"/>
      <c r="AP29" s="92"/>
      <c r="AQ29" s="215"/>
      <c r="AR29" s="8">
        <f>Legacy!AR68</f>
        <v>7.5805403219043788</v>
      </c>
      <c r="AS29" s="8">
        <f>Legacy!AS68</f>
        <v>8.1030718075714798</v>
      </c>
      <c r="AT29" s="8">
        <f>Legacy!AT68</f>
        <v>0</v>
      </c>
      <c r="AU29" s="8">
        <f>Legacy!AU68</f>
        <v>0</v>
      </c>
      <c r="AV29" s="8">
        <f>Legacy!AV68</f>
        <v>0</v>
      </c>
    </row>
    <row r="30" spans="3:48" s="82" customFormat="1" ht="15">
      <c r="E30" s="346" t="s">
        <v>800</v>
      </c>
      <c r="F30"/>
      <c r="G30" s="2" t="s">
        <v>304</v>
      </c>
      <c r="H30" s="82" t="s">
        <v>801</v>
      </c>
      <c r="AJ30" s="92"/>
      <c r="AK30" s="92"/>
      <c r="AL30" s="92"/>
      <c r="AM30" s="92"/>
      <c r="AN30" s="92"/>
      <c r="AO30" s="92"/>
      <c r="AP30" s="92"/>
      <c r="AQ30" s="215"/>
      <c r="AR30" s="8">
        <f>Legacy!AR72</f>
        <v>0</v>
      </c>
      <c r="AS30" s="8">
        <f>Legacy!AS72</f>
        <v>0</v>
      </c>
      <c r="AT30" s="8">
        <f>Legacy!AT72</f>
        <v>0</v>
      </c>
      <c r="AU30" s="8">
        <f>Legacy!AU72</f>
        <v>0</v>
      </c>
      <c r="AV30" s="8">
        <f>Legacy!AV72</f>
        <v>0</v>
      </c>
    </row>
    <row r="31" spans="3:48" s="82" customFormat="1" ht="15">
      <c r="E31" s="346" t="s">
        <v>749</v>
      </c>
      <c r="F31"/>
      <c r="G31" s="2" t="s">
        <v>304</v>
      </c>
      <c r="H31" s="82" t="s">
        <v>802</v>
      </c>
      <c r="AJ31" s="92"/>
      <c r="AK31" s="92"/>
      <c r="AL31" s="92"/>
      <c r="AM31" s="92"/>
      <c r="AN31" s="92"/>
      <c r="AO31" s="92"/>
      <c r="AP31" s="92"/>
      <c r="AQ31" s="215"/>
      <c r="AR31" s="8">
        <f>Legacy!AR79</f>
        <v>0</v>
      </c>
      <c r="AS31" s="8">
        <f>Legacy!AS79</f>
        <v>0</v>
      </c>
      <c r="AT31" s="8">
        <f>Legacy!AT79</f>
        <v>0</v>
      </c>
      <c r="AU31" s="8">
        <f>Legacy!AU79</f>
        <v>0</v>
      </c>
      <c r="AV31" s="8">
        <f>Legacy!AV79</f>
        <v>0</v>
      </c>
    </row>
    <row r="32" spans="3:48" s="82" customFormat="1" ht="15">
      <c r="E32" s="259" t="s">
        <v>467</v>
      </c>
      <c r="H32" s="182"/>
      <c r="AJ32" s="92"/>
      <c r="AK32" s="92"/>
      <c r="AL32" s="92"/>
      <c r="AM32" s="92"/>
      <c r="AN32" s="92"/>
      <c r="AO32" s="92"/>
      <c r="AP32" s="92"/>
      <c r="AQ32" s="215"/>
      <c r="AR32" s="8"/>
      <c r="AS32" s="8"/>
      <c r="AT32" s="8"/>
      <c r="AU32" s="8"/>
      <c r="AV32" s="8"/>
    </row>
    <row r="33" spans="2:52" s="82" customFormat="1" ht="15">
      <c r="E33" s="346" t="s">
        <v>468</v>
      </c>
      <c r="G33" s="2" t="s">
        <v>304</v>
      </c>
      <c r="H33" s="82" t="s">
        <v>756</v>
      </c>
      <c r="AJ33" s="92"/>
      <c r="AK33" s="92"/>
      <c r="AL33" s="92"/>
      <c r="AM33" s="92"/>
      <c r="AN33" s="92"/>
      <c r="AO33" s="92"/>
      <c r="AP33" s="92"/>
      <c r="AQ33" s="215"/>
      <c r="AR33" s="8">
        <f>Legacy!AR85</f>
        <v>0.73843554858591287</v>
      </c>
      <c r="AS33" s="8">
        <f>Legacy!AS85</f>
        <v>0.61462789087013836</v>
      </c>
      <c r="AT33" s="8">
        <f>Legacy!AT85</f>
        <v>0</v>
      </c>
      <c r="AU33" s="8">
        <f>Legacy!AU85</f>
        <v>0</v>
      </c>
      <c r="AV33" s="8">
        <f>Legacy!AV85</f>
        <v>0</v>
      </c>
    </row>
    <row r="34" spans="2:52" s="82" customFormat="1" ht="15">
      <c r="E34" s="346" t="s">
        <v>473</v>
      </c>
      <c r="G34" s="2" t="s">
        <v>304</v>
      </c>
      <c r="H34" s="82" t="s">
        <v>759</v>
      </c>
      <c r="AJ34" s="92"/>
      <c r="AK34" s="92"/>
      <c r="AL34" s="92"/>
      <c r="AM34" s="92"/>
      <c r="AN34" s="92"/>
      <c r="AO34" s="92"/>
      <c r="AP34" s="92"/>
      <c r="AQ34" s="215"/>
      <c r="AR34" s="8">
        <f>Legacy!AR90</f>
        <v>5.1234012525284145</v>
      </c>
      <c r="AS34" s="8">
        <f>Legacy!AS90</f>
        <v>2.1190444201478074</v>
      </c>
      <c r="AT34" s="8">
        <f>Legacy!AT90</f>
        <v>0</v>
      </c>
      <c r="AU34" s="8">
        <f>Legacy!AU90</f>
        <v>0</v>
      </c>
      <c r="AV34" s="8">
        <f>Legacy!AV90</f>
        <v>0</v>
      </c>
    </row>
    <row r="35" spans="2:52" s="82" customFormat="1" ht="15">
      <c r="E35" s="346" t="s">
        <v>478</v>
      </c>
      <c r="G35" s="2" t="s">
        <v>304</v>
      </c>
      <c r="H35" s="82" t="s">
        <v>762</v>
      </c>
      <c r="AJ35" s="92"/>
      <c r="AK35" s="92"/>
      <c r="AL35" s="92"/>
      <c r="AM35" s="92"/>
      <c r="AN35" s="92"/>
      <c r="AO35" s="92"/>
      <c r="AP35" s="92"/>
      <c r="AQ35" s="215"/>
      <c r="AR35" s="8">
        <f>Legacy!AR95</f>
        <v>-4.6010809228740754</v>
      </c>
      <c r="AS35" s="8">
        <f>Legacy!AS95</f>
        <v>-1.8986790416498178</v>
      </c>
      <c r="AT35" s="8">
        <f>Legacy!AT95</f>
        <v>0</v>
      </c>
      <c r="AU35" s="8">
        <f>Legacy!AU95</f>
        <v>0</v>
      </c>
      <c r="AV35" s="8">
        <f>Legacy!AV95</f>
        <v>0</v>
      </c>
    </row>
    <row r="36" spans="2:52" s="82" customFormat="1" ht="15">
      <c r="E36" s="346" t="s">
        <v>483</v>
      </c>
      <c r="G36" s="2" t="s">
        <v>304</v>
      </c>
      <c r="H36" s="82" t="s">
        <v>765</v>
      </c>
      <c r="AJ36" s="92"/>
      <c r="AK36" s="92"/>
      <c r="AL36" s="92"/>
      <c r="AM36" s="92"/>
      <c r="AN36" s="92"/>
      <c r="AO36" s="92"/>
      <c r="AP36" s="92"/>
      <c r="AQ36" s="215"/>
      <c r="AR36" s="8">
        <f>Legacy!AR100</f>
        <v>2.2686766599988282</v>
      </c>
      <c r="AS36" s="8">
        <f>Legacy!AS100</f>
        <v>2.2309407807171353</v>
      </c>
      <c r="AT36" s="8">
        <f>Legacy!AT100</f>
        <v>0</v>
      </c>
      <c r="AU36" s="8">
        <f>Legacy!AU100</f>
        <v>0</v>
      </c>
      <c r="AV36" s="8">
        <f>Legacy!AV100</f>
        <v>0</v>
      </c>
    </row>
    <row r="37" spans="2:52" s="82" customFormat="1" ht="15">
      <c r="E37" s="346" t="s">
        <v>488</v>
      </c>
      <c r="G37" s="2" t="s">
        <v>304</v>
      </c>
      <c r="H37" s="82" t="s">
        <v>768</v>
      </c>
      <c r="AJ37" s="92"/>
      <c r="AK37" s="92"/>
      <c r="AL37" s="92"/>
      <c r="AM37" s="92"/>
      <c r="AN37" s="92"/>
      <c r="AO37" s="92"/>
      <c r="AP37" s="92"/>
      <c r="AQ37" s="215"/>
      <c r="AR37" s="8">
        <f>Legacy!AR105</f>
        <v>1.3171679243373307</v>
      </c>
      <c r="AS37" s="8">
        <f>Legacy!AS105</f>
        <v>0.926590572135228</v>
      </c>
      <c r="AT37" s="8">
        <f>Legacy!AT105</f>
        <v>0</v>
      </c>
      <c r="AU37" s="8">
        <f>Legacy!AU105</f>
        <v>0</v>
      </c>
      <c r="AV37" s="8">
        <f>Legacy!AV105</f>
        <v>0</v>
      </c>
    </row>
    <row r="38" spans="2:52" s="82" customFormat="1" ht="15">
      <c r="E38" s="346" t="s">
        <v>804</v>
      </c>
      <c r="G38" s="2" t="s">
        <v>304</v>
      </c>
      <c r="H38" s="82" t="s">
        <v>771</v>
      </c>
      <c r="AJ38" s="92"/>
      <c r="AK38" s="92"/>
      <c r="AL38" s="92"/>
      <c r="AM38" s="92"/>
      <c r="AN38" s="92"/>
      <c r="AO38" s="92"/>
      <c r="AP38" s="92"/>
      <c r="AQ38" s="215"/>
      <c r="AR38" s="8">
        <f>Legacy!AR110</f>
        <v>4.4116244632316205E-2</v>
      </c>
      <c r="AS38" s="8">
        <f>Legacy!AS110</f>
        <v>4.2949259532285504E-2</v>
      </c>
      <c r="AT38" s="8">
        <f>Legacy!AT110</f>
        <v>0</v>
      </c>
      <c r="AU38" s="8">
        <f>Legacy!AU110</f>
        <v>0</v>
      </c>
      <c r="AV38" s="8">
        <f>Legacy!AV110</f>
        <v>0</v>
      </c>
    </row>
    <row r="39" spans="2:52" s="82" customFormat="1" ht="15">
      <c r="E39" s="346" t="s">
        <v>805</v>
      </c>
      <c r="G39" s="2" t="s">
        <v>304</v>
      </c>
      <c r="H39" s="82" t="s">
        <v>774</v>
      </c>
      <c r="AJ39" s="92"/>
      <c r="AK39" s="92"/>
      <c r="AL39" s="92"/>
      <c r="AM39" s="92"/>
      <c r="AN39" s="92"/>
      <c r="AO39" s="92"/>
      <c r="AP39" s="92"/>
      <c r="AQ39" s="215"/>
      <c r="AR39" s="8">
        <f>Legacy!AR115</f>
        <v>0</v>
      </c>
      <c r="AS39" s="8">
        <f>Legacy!AS115</f>
        <v>0</v>
      </c>
      <c r="AT39" s="8">
        <f>Legacy!AT115</f>
        <v>0</v>
      </c>
      <c r="AU39" s="8">
        <f>Legacy!AU115</f>
        <v>0</v>
      </c>
      <c r="AV39" s="8">
        <f>Legacy!AV115</f>
        <v>0</v>
      </c>
    </row>
    <row r="40" spans="2:52" s="82" customFormat="1" ht="15">
      <c r="E40" s="346" t="s">
        <v>503</v>
      </c>
      <c r="G40" s="2" t="s">
        <v>304</v>
      </c>
      <c r="H40" s="82" t="s">
        <v>777</v>
      </c>
      <c r="AJ40" s="92"/>
      <c r="AK40" s="92"/>
      <c r="AL40" s="92"/>
      <c r="AM40" s="92"/>
      <c r="AN40" s="92"/>
      <c r="AO40" s="92"/>
      <c r="AP40" s="92"/>
      <c r="AQ40" s="215"/>
      <c r="AR40" s="8">
        <f>Legacy!AR120</f>
        <v>0</v>
      </c>
      <c r="AS40" s="8">
        <f>Legacy!AS120</f>
        <v>0</v>
      </c>
      <c r="AT40" s="8">
        <f>Legacy!AT120</f>
        <v>0</v>
      </c>
      <c r="AU40" s="8">
        <f>Legacy!AU120</f>
        <v>0</v>
      </c>
      <c r="AV40" s="8">
        <f>Legacy!AV120</f>
        <v>0</v>
      </c>
    </row>
    <row r="41" spans="2:52" s="82" customFormat="1" ht="15">
      <c r="E41" s="346" t="s">
        <v>508</v>
      </c>
      <c r="G41" s="2" t="s">
        <v>304</v>
      </c>
      <c r="H41" s="82" t="s">
        <v>780</v>
      </c>
      <c r="AJ41" s="92"/>
      <c r="AK41" s="92"/>
      <c r="AL41" s="92"/>
      <c r="AM41" s="92"/>
      <c r="AN41" s="92"/>
      <c r="AO41" s="92"/>
      <c r="AP41" s="92"/>
      <c r="AQ41" s="215"/>
      <c r="AR41" s="8">
        <f>Legacy!AR125</f>
        <v>0</v>
      </c>
      <c r="AS41" s="8">
        <f>Legacy!AS125</f>
        <v>0</v>
      </c>
      <c r="AT41" s="8">
        <f>Legacy!AT125</f>
        <v>0</v>
      </c>
      <c r="AU41" s="8">
        <f>Legacy!AU125</f>
        <v>0</v>
      </c>
      <c r="AV41" s="8">
        <f>Legacy!AV125</f>
        <v>0</v>
      </c>
    </row>
    <row r="42" spans="2:52" s="82" customFormat="1" ht="15">
      <c r="E42" s="346" t="s">
        <v>806</v>
      </c>
      <c r="G42" s="2" t="s">
        <v>304</v>
      </c>
      <c r="H42" s="82" t="s">
        <v>1212</v>
      </c>
      <c r="AJ42" s="92"/>
      <c r="AK42" s="92"/>
      <c r="AL42" s="92"/>
      <c r="AM42" s="92"/>
      <c r="AN42" s="92"/>
      <c r="AO42" s="92"/>
      <c r="AP42" s="92"/>
      <c r="AQ42" s="215"/>
      <c r="AR42" s="8">
        <f>Legacy!AR130</f>
        <v>0.72042405831650225</v>
      </c>
      <c r="AS42" s="8">
        <f>Legacy!AS130</f>
        <v>1.3795833876806398</v>
      </c>
      <c r="AT42" s="8">
        <f>Legacy!AT130</f>
        <v>0</v>
      </c>
      <c r="AU42" s="8">
        <f>Legacy!AU130</f>
        <v>0</v>
      </c>
      <c r="AV42" s="8">
        <f>Legacy!AV130</f>
        <v>0</v>
      </c>
    </row>
    <row r="43" spans="2:52" s="82" customFormat="1" ht="15">
      <c r="E43" s="346" t="s">
        <v>807</v>
      </c>
      <c r="G43" s="2" t="s">
        <v>304</v>
      </c>
      <c r="H43" s="82" t="s">
        <v>788</v>
      </c>
      <c r="AJ43" s="92"/>
      <c r="AK43" s="92"/>
      <c r="AL43" s="92"/>
      <c r="AM43" s="92"/>
      <c r="AN43" s="92"/>
      <c r="AO43" s="92"/>
      <c r="AP43" s="92"/>
      <c r="AQ43" s="215"/>
      <c r="AR43" s="8">
        <f>Legacy!AR135</f>
        <v>0.86106370336092886</v>
      </c>
      <c r="AS43" s="8">
        <f>Legacy!AS135</f>
        <v>3.0604258912504139</v>
      </c>
      <c r="AT43" s="8">
        <f>Legacy!AT135</f>
        <v>-7.228238716177296E-2</v>
      </c>
      <c r="AU43" s="8">
        <f>Legacy!AU135</f>
        <v>0</v>
      </c>
      <c r="AV43" s="8">
        <f>Legacy!AV135</f>
        <v>0</v>
      </c>
    </row>
    <row r="44" spans="2:52" s="82" customFormat="1" ht="15">
      <c r="E44" s="346" t="s">
        <v>808</v>
      </c>
      <c r="G44" s="2" t="s">
        <v>304</v>
      </c>
      <c r="H44" s="82" t="s">
        <v>790</v>
      </c>
      <c r="AJ44" s="92"/>
      <c r="AK44" s="92"/>
      <c r="AL44" s="92"/>
      <c r="AM44" s="92"/>
      <c r="AN44" s="92"/>
      <c r="AO44" s="92"/>
      <c r="AP44" s="92"/>
      <c r="AQ44" s="215"/>
      <c r="AR44" s="8">
        <f>Legacy!AR141</f>
        <v>0</v>
      </c>
      <c r="AS44" s="8">
        <f>Legacy!AS141</f>
        <v>0</v>
      </c>
      <c r="AT44" s="8">
        <f>Legacy!AT141</f>
        <v>0</v>
      </c>
      <c r="AU44" s="8">
        <f>Legacy!AU141</f>
        <v>0</v>
      </c>
      <c r="AV44" s="8">
        <f>Legacy!AV141</f>
        <v>0</v>
      </c>
    </row>
    <row r="45" spans="2:52" s="82" customFormat="1" ht="15">
      <c r="E45" s="2" t="s">
        <v>1213</v>
      </c>
      <c r="G45" s="2" t="s">
        <v>304</v>
      </c>
      <c r="H45" s="82" t="s">
        <v>1214</v>
      </c>
      <c r="AJ45" s="92"/>
      <c r="AK45" s="92"/>
      <c r="AL45" s="92"/>
      <c r="AM45" s="92"/>
      <c r="AN45" s="92"/>
      <c r="AO45" s="92"/>
      <c r="AP45" s="92"/>
      <c r="AQ45" s="215"/>
      <c r="AR45" s="543">
        <f>SUM(AR22:AR44)</f>
        <v>26.315503785734393</v>
      </c>
      <c r="AS45" s="544">
        <f t="shared" ref="AS45:AV45" si="1">SUM(AS22:AS44)</f>
        <v>53.988696125993187</v>
      </c>
      <c r="AT45" s="544">
        <f t="shared" si="1"/>
        <v>2.0055835219670222</v>
      </c>
      <c r="AU45" s="544">
        <f t="shared" si="1"/>
        <v>2.1973660124914374</v>
      </c>
      <c r="AV45" s="544">
        <f t="shared" si="1"/>
        <v>2.3298157554538768</v>
      </c>
    </row>
    <row r="46" spans="2:52" s="82" customFormat="1" ht="15">
      <c r="E46" s="2"/>
      <c r="G46" s="2"/>
      <c r="AJ46" s="92"/>
      <c r="AK46" s="92"/>
      <c r="AL46" s="92"/>
      <c r="AM46" s="92"/>
      <c r="AN46" s="92"/>
      <c r="AO46" s="92"/>
      <c r="AP46" s="92"/>
      <c r="AQ46" s="215"/>
      <c r="AR46" s="92"/>
      <c r="AS46" s="92"/>
      <c r="AT46" s="92"/>
      <c r="AU46" s="92"/>
      <c r="AV46" s="92"/>
    </row>
    <row r="47" spans="2:52" s="2" customFormat="1" ht="15">
      <c r="C47" s="28" t="s">
        <v>1147</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4"/>
      <c r="AX47"/>
      <c r="AY47"/>
      <c r="AZ47"/>
    </row>
    <row r="48" spans="2:52" s="21" customFormat="1" ht="15">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5">
      <c r="B49" s="34"/>
      <c r="C49" s="34"/>
      <c r="D49" s="34"/>
      <c r="E49" s="34" t="s">
        <v>1205</v>
      </c>
      <c r="F49" s="34"/>
      <c r="G49" s="34" t="s">
        <v>304</v>
      </c>
      <c r="H49" s="159" t="s">
        <v>1215</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377.3163193631251</v>
      </c>
      <c r="AS49" s="35">
        <f>Revenue!AS22 * (AS17/$AO$17)</f>
        <v>336.35192231569323</v>
      </c>
      <c r="AT49" s="35">
        <f>Revenue!AT22 * (AT17/$AO$17)</f>
        <v>389.13637383486389</v>
      </c>
      <c r="AU49" s="35">
        <f>Revenue!AU22 * (AU17/$AO$17)</f>
        <v>413.12077506385157</v>
      </c>
      <c r="AV49" s="35">
        <f>Revenue!AV22 * (AV17/$AO$17)</f>
        <v>413.67963398013916</v>
      </c>
      <c r="AW49" s="34"/>
      <c r="AX49"/>
      <c r="AY49"/>
      <c r="AZ49"/>
    </row>
    <row r="50" spans="2:52" s="21" customFormat="1" ht="15">
      <c r="B50" s="34"/>
      <c r="C50" s="34"/>
      <c r="D50" s="34"/>
      <c r="E50" s="141" t="s">
        <v>1216</v>
      </c>
      <c r="F50"/>
      <c r="G50" s="21" t="s">
        <v>304</v>
      </c>
      <c r="H50" t="s">
        <v>1217</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14.136639957072363</v>
      </c>
      <c r="AS50" s="35">
        <f>AS69</f>
        <v>62.986620702992269</v>
      </c>
      <c r="AT50" s="35">
        <f>AT69</f>
        <v>-50.731415266687009</v>
      </c>
      <c r="AU50" s="35">
        <f>AU69</f>
        <v>0</v>
      </c>
      <c r="AV50" s="35">
        <f>AV69</f>
        <v>0</v>
      </c>
      <c r="AW50" s="34"/>
      <c r="AX50"/>
      <c r="AY50"/>
      <c r="AZ50"/>
    </row>
    <row r="51" spans="2:52" s="21" customFormat="1" ht="15">
      <c r="B51" s="34"/>
      <c r="C51" s="34"/>
      <c r="D51" s="34"/>
      <c r="E51" s="35" t="s">
        <v>1218</v>
      </c>
      <c r="F51" s="35"/>
      <c r="G51" s="21" t="s">
        <v>304</v>
      </c>
      <c r="H51" s="35" t="s">
        <v>1219</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5">
      <c r="B52" s="34"/>
      <c r="C52" s="34"/>
      <c r="D52" s="34"/>
      <c r="E52" s="159" t="s">
        <v>1213</v>
      </c>
      <c r="F52" s="159"/>
      <c r="G52" s="21" t="s">
        <v>304</v>
      </c>
      <c r="H52" s="159" t="s">
        <v>1220</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26.315503785734393</v>
      </c>
      <c r="AS52" s="35">
        <f t="shared" ref="AS52:AV52" si="3">AS45</f>
        <v>53.988696125993187</v>
      </c>
      <c r="AT52" s="35">
        <f t="shared" si="3"/>
        <v>2.0055835219670222</v>
      </c>
      <c r="AU52" s="35">
        <f t="shared" si="3"/>
        <v>2.1973660124914374</v>
      </c>
      <c r="AV52" s="35">
        <f t="shared" si="3"/>
        <v>2.3298157554538768</v>
      </c>
      <c r="AW52" s="34"/>
      <c r="AX52"/>
      <c r="AY52"/>
      <c r="AZ52"/>
    </row>
    <row r="53" spans="2:52" s="21" customFormat="1" ht="15">
      <c r="B53" s="34"/>
      <c r="C53" s="34"/>
      <c r="D53" s="34"/>
      <c r="E53" s="34" t="s">
        <v>1147</v>
      </c>
      <c r="F53" s="34"/>
      <c r="G53" s="21" t="s">
        <v>304</v>
      </c>
      <c r="H53" s="34" t="s">
        <v>1221</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5">
        <f>SUM(AR49:AR52)</f>
        <v>417.76846310593186</v>
      </c>
      <c r="AS53" s="546">
        <f t="shared" ref="AS53:AV53" si="4">SUM(AS49:AS52)</f>
        <v>453.32723914467874</v>
      </c>
      <c r="AT53" s="546">
        <f t="shared" si="4"/>
        <v>340.41054209014391</v>
      </c>
      <c r="AU53" s="546">
        <f t="shared" si="4"/>
        <v>415.31814107634301</v>
      </c>
      <c r="AV53" s="546">
        <f t="shared" si="4"/>
        <v>416.00944973559302</v>
      </c>
      <c r="AW53" s="34"/>
      <c r="AX53"/>
      <c r="AY53"/>
      <c r="AZ53"/>
    </row>
    <row r="54" spans="2:52" s="21" customFormat="1" ht="15">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5">
      <c r="C55" s="28" t="s">
        <v>1216</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4"/>
      <c r="AX55"/>
      <c r="AY55"/>
      <c r="AZ55"/>
    </row>
    <row r="56" spans="2:52" s="21" customFormat="1" ht="15">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5">
      <c r="B57" s="34"/>
      <c r="C57" s="34"/>
      <c r="D57" s="34"/>
      <c r="E57" s="34" t="s">
        <v>1222</v>
      </c>
      <c r="F57" s="34"/>
      <c r="G57" s="21" t="s">
        <v>304</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4">
        <f>Legacy!AQ37</f>
        <v>400.6964231536399</v>
      </c>
      <c r="AR57" s="35"/>
      <c r="AS57" s="34"/>
      <c r="AT57" s="34"/>
      <c r="AU57" s="34"/>
      <c r="AV57" s="34"/>
      <c r="AW57" s="34"/>
      <c r="AX57"/>
      <c r="AY57"/>
      <c r="AZ57"/>
    </row>
    <row r="58" spans="2:52" s="21" customFormat="1" ht="15">
      <c r="B58" s="34"/>
      <c r="C58" s="34"/>
      <c r="D58" s="34"/>
      <c r="E58" s="34" t="s">
        <v>1223</v>
      </c>
      <c r="F58" s="34"/>
      <c r="G58" s="21" t="s">
        <v>304</v>
      </c>
      <c r="H58" s="34" t="s">
        <v>1224</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400.6964231536399</v>
      </c>
      <c r="AR58" s="35">
        <f>AR57 + AR53</f>
        <v>417.76846310593186</v>
      </c>
      <c r="AS58" s="34">
        <f t="shared" ref="AS58:AV58" si="6">AS57 + AS53</f>
        <v>453.32723914467874</v>
      </c>
      <c r="AT58" s="34">
        <f t="shared" si="6"/>
        <v>340.41054209014391</v>
      </c>
      <c r="AU58" s="34">
        <f t="shared" si="6"/>
        <v>415.31814107634301</v>
      </c>
      <c r="AV58" s="34">
        <f t="shared" si="6"/>
        <v>416.00944973559302</v>
      </c>
      <c r="AW58" s="34"/>
      <c r="AX58"/>
      <c r="AY58"/>
      <c r="AZ58"/>
    </row>
    <row r="59" spans="2:52" s="21" customFormat="1" ht="15">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5">
      <c r="B60" s="34"/>
      <c r="C60" s="34"/>
      <c r="D60" s="34"/>
      <c r="E60" s="34" t="s">
        <v>1225</v>
      </c>
      <c r="F60" s="34"/>
      <c r="G60" s="21" t="s">
        <v>304</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4">
        <f>InputSummary!AQ249</f>
        <v>387.98965212000002</v>
      </c>
      <c r="AR60" s="330">
        <f>InputSummary!AR249</f>
        <v>358.98039111327591</v>
      </c>
      <c r="AS60" s="81">
        <f>InputSummary!AS249</f>
        <v>501.22414267437853</v>
      </c>
      <c r="AT60" s="81">
        <f>InputSummary!AT249</f>
        <v>0</v>
      </c>
      <c r="AU60" s="81">
        <f>InputSummary!AU249</f>
        <v>0</v>
      </c>
      <c r="AV60" s="81">
        <f>InputSummary!AV249</f>
        <v>0</v>
      </c>
      <c r="AW60" s="34"/>
      <c r="AX60"/>
      <c r="AY60"/>
      <c r="AZ60"/>
    </row>
    <row r="61" spans="2:52" s="21" customFormat="1" ht="15">
      <c r="B61" s="34"/>
      <c r="C61" s="34"/>
      <c r="D61" s="34"/>
      <c r="E61" s="34" t="s">
        <v>1226</v>
      </c>
      <c r="F61" s="34"/>
      <c r="G61" s="21" t="s">
        <v>304</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340.41054209014391</v>
      </c>
      <c r="AU61" s="34">
        <f t="shared" si="7"/>
        <v>415.31814107634301</v>
      </c>
      <c r="AV61" s="34">
        <f t="shared" si="7"/>
        <v>416.00944973559302</v>
      </c>
      <c r="AW61" s="34"/>
      <c r="AX61"/>
      <c r="AY61"/>
      <c r="AZ61"/>
    </row>
    <row r="62" spans="2:52" s="21" customFormat="1" ht="15">
      <c r="B62" s="34"/>
      <c r="C62" s="34"/>
      <c r="D62" s="34"/>
      <c r="E62" s="34" t="s">
        <v>1227</v>
      </c>
      <c r="F62" s="34"/>
      <c r="G62" s="21" t="s">
        <v>304</v>
      </c>
      <c r="H62" s="34" t="s">
        <v>619</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387.98965212000002</v>
      </c>
      <c r="AR62" s="35">
        <f t="shared" ref="AR62:AV62" si="8">AR60+AR61</f>
        <v>358.98039111327591</v>
      </c>
      <c r="AS62" s="35">
        <f t="shared" si="8"/>
        <v>501.22414267437853</v>
      </c>
      <c r="AT62" s="35">
        <f t="shared" si="8"/>
        <v>340.41054209014391</v>
      </c>
      <c r="AU62" s="35">
        <f t="shared" si="8"/>
        <v>415.31814107634301</v>
      </c>
      <c r="AV62" s="35">
        <f t="shared" si="8"/>
        <v>416.00944973559302</v>
      </c>
      <c r="AW62" s="34"/>
      <c r="AX62"/>
      <c r="AY62"/>
      <c r="AZ62"/>
    </row>
    <row r="63" spans="2:52" s="134" customFormat="1" ht="15">
      <c r="B63" s="77"/>
      <c r="C63" s="77"/>
      <c r="D63" s="77"/>
      <c r="E63" s="77" t="s">
        <v>1228</v>
      </c>
      <c r="F63" s="77"/>
      <c r="G63" s="134" t="s">
        <v>304</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12.706771033639882</v>
      </c>
      <c r="AR63" s="365">
        <f t="shared" si="9"/>
        <v>58.788071992655944</v>
      </c>
      <c r="AS63" s="365">
        <f t="shared" si="9"/>
        <v>-47.896903529699784</v>
      </c>
      <c r="AT63" s="365">
        <f t="shared" si="9"/>
        <v>0</v>
      </c>
      <c r="AU63" s="365">
        <f t="shared" si="9"/>
        <v>0</v>
      </c>
      <c r="AV63" s="365">
        <f t="shared" si="9"/>
        <v>0</v>
      </c>
      <c r="AW63" s="77"/>
      <c r="AX63" s="78"/>
      <c r="AY63" s="78"/>
      <c r="AZ63" s="78"/>
    </row>
    <row r="64" spans="2:52" s="21" customFormat="1" ht="15">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5">
      <c r="E65" s="7" t="s">
        <v>1229</v>
      </c>
      <c r="F65" s="7"/>
      <c r="G65" s="7" t="s">
        <v>249</v>
      </c>
      <c r="H65" s="141" t="s">
        <v>600</v>
      </c>
      <c r="AJ65" s="8"/>
      <c r="AK65" s="8"/>
      <c r="AL65" s="8"/>
      <c r="AM65" s="8"/>
      <c r="AN65" s="8"/>
      <c r="AO65" s="8"/>
      <c r="AP65" s="8"/>
      <c r="AQ65" s="216">
        <f>InputSummary!AQ182</f>
        <v>3.0359999999999998E-2</v>
      </c>
      <c r="AR65" s="211">
        <f>InputSummary!AR182</f>
        <v>3.97335776E-2</v>
      </c>
      <c r="AS65" s="211">
        <f>InputSummary!AS182</f>
        <v>4.1370183200000001E-2</v>
      </c>
      <c r="AT65" s="211">
        <f>InputSummary!AT182</f>
        <v>4.1450170800000005E-2</v>
      </c>
      <c r="AU65" s="211">
        <f>InputSummary!AU182</f>
        <v>4.15681044E-2</v>
      </c>
      <c r="AV65" s="211">
        <f>InputSummary!AV182</f>
        <v>4.1755693600000005E-2</v>
      </c>
      <c r="AW65" s="8"/>
    </row>
    <row r="66" spans="1:52" ht="15">
      <c r="A66" s="21"/>
      <c r="E66" s="21" t="s">
        <v>1230</v>
      </c>
      <c r="F66" s="7"/>
      <c r="G66" s="7" t="s">
        <v>604</v>
      </c>
      <c r="H66" s="141" t="s">
        <v>1231</v>
      </c>
      <c r="AJ66" s="8"/>
      <c r="AK66" s="8"/>
      <c r="AL66" s="8"/>
      <c r="AM66" s="8"/>
      <c r="AN66" s="8"/>
      <c r="AO66" s="8"/>
      <c r="AP66" s="8"/>
      <c r="AQ66" s="227">
        <f t="shared" ref="AQ66:AV66" si="10">IF(AQ12=1,AR17/AQ17 - 1,"")</f>
        <v>7.9746990946746754E-2</v>
      </c>
      <c r="AR66" s="212">
        <f t="shared" si="10"/>
        <v>3.0473960302030534E-2</v>
      </c>
      <c r="AS66" s="212">
        <f t="shared" si="10"/>
        <v>1.7101750257816128E-2</v>
      </c>
      <c r="AT66" s="212">
        <f t="shared" si="10"/>
        <v>1.5421581354723823E-2</v>
      </c>
      <c r="AU66" s="212">
        <f t="shared" si="10"/>
        <v>1.7961851291584452E-2</v>
      </c>
      <c r="AV66" s="212" t="str">
        <f t="shared" si="10"/>
        <v/>
      </c>
      <c r="AW66" s="8"/>
    </row>
    <row r="67" spans="1:52" ht="15">
      <c r="A67" s="21"/>
      <c r="E67" s="21" t="s">
        <v>1232</v>
      </c>
      <c r="F67" s="21"/>
      <c r="G67" s="21" t="s">
        <v>1233</v>
      </c>
      <c r="H67" s="21" t="s">
        <v>1234</v>
      </c>
      <c r="AJ67" s="8"/>
      <c r="AK67" s="8"/>
      <c r="AL67" s="8"/>
      <c r="AM67" s="8"/>
      <c r="AN67" s="8"/>
      <c r="AO67" s="8"/>
      <c r="AP67" s="8"/>
      <c r="AQ67" s="547">
        <f t="shared" ref="AQ67:AV67" si="11">IF(AQ12=1,(1 + AQ65) * (1 + AQ66) - 1,"")</f>
        <v>0.11252810959188997</v>
      </c>
      <c r="AR67" s="548">
        <f t="shared" si="11"/>
        <v>7.1418377368470676E-2</v>
      </c>
      <c r="AS67" s="548">
        <f t="shared" si="11"/>
        <v>5.9179435999022534E-2</v>
      </c>
      <c r="AT67" s="548">
        <f t="shared" si="11"/>
        <v>5.7510979335883228E-2</v>
      </c>
      <c r="AU67" s="548">
        <f t="shared" si="11"/>
        <v>6.02765958012903E-2</v>
      </c>
      <c r="AV67" s="548" t="str">
        <f t="shared" si="11"/>
        <v/>
      </c>
      <c r="AW67" s="8"/>
    </row>
    <row r="68" spans="1:52" s="21" customFormat="1" ht="15">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5">
      <c r="B69" s="34"/>
      <c r="C69" s="34"/>
      <c r="D69" s="34"/>
      <c r="E69" s="367" t="s">
        <v>1235</v>
      </c>
      <c r="F69" s="34"/>
      <c r="G69" s="21" t="s">
        <v>304</v>
      </c>
      <c r="H69" s="34" t="s">
        <v>1217</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14.136639957072363</v>
      </c>
      <c r="AS69" s="34">
        <f>(AR58 - AR62) * (1 + AR67)</f>
        <v>62.986620702992269</v>
      </c>
      <c r="AT69" s="34">
        <f>(AS58 - AS62) * (1 + AS67)</f>
        <v>-50.731415266687009</v>
      </c>
      <c r="AU69" s="34">
        <f>(AT58 - AT62) * (1 + AT67)</f>
        <v>0</v>
      </c>
      <c r="AV69" s="34">
        <f>(AU58 - AU62) * (1 + AU67)</f>
        <v>0</v>
      </c>
      <c r="AW69" s="34"/>
      <c r="AX69"/>
      <c r="AY69"/>
      <c r="AZ69"/>
    </row>
    <row r="70" spans="1:52" s="21" customFormat="1" ht="15">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5">
      <c r="C71" s="28" t="s">
        <v>1218</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4"/>
      <c r="AX71"/>
      <c r="AY71"/>
      <c r="AZ71"/>
    </row>
    <row r="72" spans="1:52" s="21" customFormat="1" ht="15">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5">
      <c r="B73" s="34"/>
      <c r="C73" s="34"/>
      <c r="D73" s="366" t="s">
        <v>1236</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5">
      <c r="B74" s="34"/>
      <c r="C74" s="34"/>
      <c r="D74" s="34"/>
      <c r="E74" s="34" t="s">
        <v>1237</v>
      </c>
      <c r="F74" s="34"/>
      <c r="G74" s="2" t="s">
        <v>105</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f>InputSummary!AQ247</f>
        <v>0</v>
      </c>
      <c r="AR74" s="35"/>
      <c r="AS74" s="34"/>
      <c r="AT74" s="34"/>
      <c r="AU74" s="34"/>
      <c r="AV74" s="34"/>
      <c r="AW74" s="34"/>
      <c r="AX74"/>
      <c r="AY74"/>
      <c r="AZ74"/>
    </row>
    <row r="75" spans="1:52" s="21" customFormat="1" ht="15">
      <c r="B75" s="34"/>
      <c r="C75" s="34"/>
      <c r="D75" s="34"/>
      <c r="E75" s="34" t="s">
        <v>1238</v>
      </c>
      <c r="F75" s="34"/>
      <c r="G75" s="2" t="s">
        <v>105</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270.64863921301031</v>
      </c>
      <c r="AS75" s="34">
        <f>Revenue!AS12</f>
        <v>235.77545825868549</v>
      </c>
      <c r="AT75" s="34">
        <f>Revenue!AT12</f>
        <v>271.24935114255658</v>
      </c>
      <c r="AU75" s="34">
        <f>Revenue!AU12</f>
        <v>274.22569948962808</v>
      </c>
      <c r="AV75" s="34">
        <f>Revenue!AV12</f>
        <v>272.42173319957004</v>
      </c>
      <c r="AW75" s="34"/>
      <c r="AX75"/>
      <c r="AY75"/>
      <c r="AZ75"/>
    </row>
    <row r="76" spans="1:52" s="21" customFormat="1" ht="15">
      <c r="B76" s="34"/>
      <c r="C76" s="34"/>
      <c r="D76" s="34"/>
      <c r="E76" s="34" t="s">
        <v>1239</v>
      </c>
      <c r="F76" s="34"/>
      <c r="G76" s="2" t="s">
        <v>105</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270.64863921301031</v>
      </c>
      <c r="AS76" s="34">
        <f t="shared" ref="AS76:AV76" si="13">AS74 + AS75</f>
        <v>235.77545825868549</v>
      </c>
      <c r="AT76" s="34">
        <f t="shared" si="13"/>
        <v>271.24935114255658</v>
      </c>
      <c r="AU76" s="34">
        <f t="shared" si="13"/>
        <v>274.22569948962808</v>
      </c>
      <c r="AV76" s="34">
        <f t="shared" si="13"/>
        <v>272.42173319957004</v>
      </c>
      <c r="AW76" s="34"/>
      <c r="AX76"/>
      <c r="AY76"/>
      <c r="AZ76"/>
    </row>
    <row r="77" spans="1:52" s="21" customFormat="1" ht="15">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5">
      <c r="B78" s="34"/>
      <c r="C78" s="34"/>
      <c r="D78" s="34"/>
      <c r="E78" s="34" t="s">
        <v>1240</v>
      </c>
      <c r="F78" s="34"/>
      <c r="G78" s="2" t="s">
        <v>105</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4">
        <f>InputSummary!AQ251</f>
        <v>0</v>
      </c>
      <c r="AR78" s="330">
        <f>InputSummary!AR251</f>
        <v>0</v>
      </c>
      <c r="AS78" s="81">
        <f>InputSummary!AS251</f>
        <v>0</v>
      </c>
      <c r="AT78" s="81">
        <f>InputSummary!AT251</f>
        <v>0</v>
      </c>
      <c r="AU78" s="81">
        <f>InputSummary!AU251</f>
        <v>0</v>
      </c>
      <c r="AV78" s="81">
        <f>InputSummary!AV251</f>
        <v>0</v>
      </c>
      <c r="AW78" s="34"/>
      <c r="AX78"/>
      <c r="AY78"/>
      <c r="AZ78"/>
    </row>
    <row r="79" spans="1:52" s="21" customFormat="1" ht="15">
      <c r="B79" s="34"/>
      <c r="C79" s="34"/>
      <c r="D79" s="34"/>
      <c r="E79" s="34" t="s">
        <v>1241</v>
      </c>
      <c r="F79" s="34"/>
      <c r="G79" s="2" t="s">
        <v>105</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270.64863921301031</v>
      </c>
      <c r="AS79" s="35">
        <f t="shared" ref="AS79:AV79" si="16">IF(AS78 = 0, AS76, 0)</f>
        <v>235.77545825868549</v>
      </c>
      <c r="AT79" s="35">
        <f t="shared" si="16"/>
        <v>271.24935114255658</v>
      </c>
      <c r="AU79" s="35">
        <f t="shared" si="16"/>
        <v>274.22569948962808</v>
      </c>
      <c r="AV79" s="35">
        <f t="shared" si="16"/>
        <v>272.42173319957004</v>
      </c>
      <c r="AW79" s="34"/>
      <c r="AX79"/>
      <c r="AY79"/>
      <c r="AZ79"/>
    </row>
    <row r="80" spans="1:52" s="21" customFormat="1" ht="15">
      <c r="B80" s="34"/>
      <c r="C80" s="34"/>
      <c r="D80" s="34"/>
      <c r="E80" s="34" t="s">
        <v>308</v>
      </c>
      <c r="F80" s="34"/>
      <c r="G80" s="2" t="s">
        <v>105</v>
      </c>
      <c r="H80" s="34" t="s">
        <v>1242</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270.64863921301031</v>
      </c>
      <c r="AS80" s="35">
        <f t="shared" ref="AS80:AV80" si="18">AS78+AS79</f>
        <v>235.77545825868549</v>
      </c>
      <c r="AT80" s="35">
        <f t="shared" si="18"/>
        <v>271.24935114255658</v>
      </c>
      <c r="AU80" s="35">
        <f t="shared" si="18"/>
        <v>274.22569948962808</v>
      </c>
      <c r="AV80" s="35">
        <f t="shared" si="18"/>
        <v>272.42173319957004</v>
      </c>
      <c r="AW80" s="34"/>
      <c r="AX80"/>
      <c r="AY80"/>
      <c r="AZ80"/>
    </row>
    <row r="81" spans="2:52" s="134" customFormat="1" ht="15">
      <c r="B81" s="77"/>
      <c r="C81" s="77"/>
      <c r="D81" s="77"/>
      <c r="E81" s="77" t="s">
        <v>1243</v>
      </c>
      <c r="F81" s="77"/>
      <c r="G81" s="2" t="s">
        <v>105</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0</v>
      </c>
      <c r="AS81" s="365">
        <f t="shared" ref="AS81:AV81" si="21">AS76-AS80</f>
        <v>0</v>
      </c>
      <c r="AT81" s="365">
        <f t="shared" si="21"/>
        <v>0</v>
      </c>
      <c r="AU81" s="365">
        <f t="shared" si="21"/>
        <v>0</v>
      </c>
      <c r="AV81" s="365">
        <f t="shared" si="21"/>
        <v>0</v>
      </c>
      <c r="AW81" s="77"/>
      <c r="AX81" s="78"/>
      <c r="AY81" s="78"/>
      <c r="AZ81" s="78"/>
    </row>
    <row r="82" spans="2:52" s="21" customFormat="1" ht="15">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5">
      <c r="B83" s="34"/>
      <c r="C83" s="34"/>
      <c r="D83" s="34"/>
      <c r="E83" s="34" t="s">
        <v>314</v>
      </c>
      <c r="F83" s="34"/>
      <c r="G83" s="34" t="s">
        <v>315</v>
      </c>
      <c r="H83" s="34" t="s">
        <v>316</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InputSummary!AQ254</f>
        <v>0</v>
      </c>
      <c r="AR83" s="368">
        <f>InputSummary!AR254</f>
        <v>0</v>
      </c>
      <c r="AS83" s="368">
        <f>InputSummary!AS254</f>
        <v>0</v>
      </c>
      <c r="AT83" s="368">
        <f>InputSummary!AT254</f>
        <v>0</v>
      </c>
      <c r="AU83" s="368">
        <f>InputSummary!AU254</f>
        <v>0</v>
      </c>
      <c r="AV83" s="368">
        <f>InputSummary!AV254</f>
        <v>0</v>
      </c>
      <c r="AW83" s="34"/>
      <c r="AX83"/>
      <c r="AY83"/>
      <c r="AZ83"/>
    </row>
    <row r="84" spans="2:52" s="21" customFormat="1" ht="15">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5">
      <c r="E85" s="131" t="s">
        <v>319</v>
      </c>
      <c r="F85" s="21"/>
      <c r="G85" s="21" t="s">
        <v>209</v>
      </c>
      <c r="H85" s="21"/>
      <c r="I85" s="370">
        <f>InputSummary!I256</f>
        <v>0.06</v>
      </c>
      <c r="AQ85" s="369"/>
      <c r="AR85" s="143"/>
      <c r="AS85" s="143"/>
      <c r="AT85" s="143"/>
      <c r="AU85" s="143"/>
      <c r="AV85" s="143"/>
    </row>
    <row r="86" spans="2:52" s="21" customFormat="1" ht="15">
      <c r="B86" s="34"/>
      <c r="C86" s="34"/>
      <c r="D86" s="34"/>
      <c r="E86" s="34" t="s">
        <v>1243</v>
      </c>
      <c r="F86" s="34"/>
      <c r="G86" s="34" t="s">
        <v>315</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1</v>
      </c>
      <c r="AS86" s="368">
        <f t="shared" si="22"/>
        <v>1</v>
      </c>
      <c r="AT86" s="368">
        <f t="shared" si="22"/>
        <v>1</v>
      </c>
      <c r="AU86" s="368">
        <f t="shared" si="22"/>
        <v>1</v>
      </c>
      <c r="AV86" s="368">
        <f t="shared" si="22"/>
        <v>1</v>
      </c>
      <c r="AW86" s="34"/>
      <c r="AX86"/>
      <c r="AY86"/>
      <c r="AZ86"/>
    </row>
    <row r="87" spans="2:52" s="21" customFormat="1" ht="15">
      <c r="B87" s="34"/>
      <c r="C87" s="34"/>
      <c r="D87" s="34"/>
      <c r="E87" s="34" t="s">
        <v>320</v>
      </c>
      <c r="F87" s="34"/>
      <c r="G87" s="21" t="s">
        <v>209</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7">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5">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5">
      <c r="B89" s="367"/>
      <c r="C89" s="367"/>
      <c r="D89" s="367"/>
      <c r="E89" s="367" t="s">
        <v>1244</v>
      </c>
      <c r="F89" s="367"/>
      <c r="G89" s="34" t="s">
        <v>304</v>
      </c>
      <c r="H89" s="367" t="s">
        <v>1245</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5">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5">
      <c r="B91" s="34"/>
      <c r="C91" s="34"/>
      <c r="D91" s="366" t="s">
        <v>1246</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5">
      <c r="B92" s="34"/>
      <c r="C92" s="34"/>
      <c r="D92" s="34"/>
      <c r="E92" s="34" t="s">
        <v>1247</v>
      </c>
      <c r="F92" s="34"/>
      <c r="G92" s="34" t="s">
        <v>304</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4">
        <f>InputSummary!AQ250</f>
        <v>0</v>
      </c>
      <c r="AR92" s="330">
        <f>InputSummary!AR250</f>
        <v>0</v>
      </c>
      <c r="AS92" s="330">
        <f>InputSummary!AS250</f>
        <v>0</v>
      </c>
      <c r="AT92" s="330">
        <f>InputSummary!AT250</f>
        <v>0</v>
      </c>
      <c r="AU92" s="330">
        <f>InputSummary!AU250</f>
        <v>0</v>
      </c>
      <c r="AV92" s="330">
        <f>InputSummary!AV250</f>
        <v>0</v>
      </c>
      <c r="AW92" s="34"/>
      <c r="AX92"/>
      <c r="AY92"/>
      <c r="AZ92"/>
    </row>
    <row r="93" spans="2:52" s="21" customFormat="1" ht="15">
      <c r="B93" s="34"/>
      <c r="C93" s="34"/>
      <c r="D93" s="34"/>
      <c r="E93" s="34" t="s">
        <v>1248</v>
      </c>
      <c r="F93" s="34"/>
      <c r="G93" s="34" t="s">
        <v>304</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400.6964231536399</v>
      </c>
      <c r="AR93" s="35">
        <f t="shared" si="24"/>
        <v>417.76846310593186</v>
      </c>
      <c r="AS93" s="35">
        <f t="shared" si="24"/>
        <v>453.32723914467874</v>
      </c>
      <c r="AT93" s="35">
        <f t="shared" si="24"/>
        <v>340.41054209014391</v>
      </c>
      <c r="AU93" s="35">
        <f t="shared" si="24"/>
        <v>415.31814107634301</v>
      </c>
      <c r="AV93" s="35">
        <f t="shared" si="24"/>
        <v>416.00944973559302</v>
      </c>
      <c r="AW93" s="34"/>
      <c r="AX93"/>
      <c r="AY93"/>
      <c r="AZ93"/>
    </row>
    <row r="94" spans="2:52" s="21" customFormat="1" ht="15">
      <c r="B94" s="34"/>
      <c r="C94" s="34"/>
      <c r="D94" s="34"/>
      <c r="E94" s="34" t="s">
        <v>306</v>
      </c>
      <c r="F94" s="34"/>
      <c r="G94" s="34" t="s">
        <v>304</v>
      </c>
      <c r="H94" s="34" t="s">
        <v>1249</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400.6964231536399</v>
      </c>
      <c r="AR94" s="35">
        <f t="shared" ref="AR94:AV94" si="25">AR92+AR93</f>
        <v>417.76846310593186</v>
      </c>
      <c r="AS94" s="35">
        <f t="shared" si="25"/>
        <v>453.32723914467874</v>
      </c>
      <c r="AT94" s="35">
        <f t="shared" si="25"/>
        <v>340.41054209014391</v>
      </c>
      <c r="AU94" s="35">
        <f t="shared" si="25"/>
        <v>415.31814107634301</v>
      </c>
      <c r="AV94" s="35">
        <f t="shared" si="25"/>
        <v>416.00944973559302</v>
      </c>
      <c r="AW94" s="34"/>
      <c r="AX94"/>
      <c r="AY94"/>
      <c r="AZ94"/>
    </row>
    <row r="95" spans="2:52" s="134" customFormat="1" ht="15">
      <c r="B95" s="77"/>
      <c r="C95" s="77"/>
      <c r="D95" s="77"/>
      <c r="E95" s="77" t="s">
        <v>1250</v>
      </c>
      <c r="F95" s="77"/>
      <c r="G95" s="34" t="s">
        <v>304</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-12.706771033639882</v>
      </c>
      <c r="AR95" s="365">
        <f t="shared" si="26"/>
        <v>-58.788071992655944</v>
      </c>
      <c r="AS95" s="365">
        <f t="shared" si="26"/>
        <v>47.896903529699784</v>
      </c>
      <c r="AT95" s="365">
        <f t="shared" si="26"/>
        <v>0</v>
      </c>
      <c r="AU95" s="365">
        <f t="shared" si="26"/>
        <v>0</v>
      </c>
      <c r="AV95" s="365">
        <f t="shared" si="26"/>
        <v>0</v>
      </c>
      <c r="AW95" s="77"/>
      <c r="AX95" s="78"/>
      <c r="AY95" s="78"/>
      <c r="AZ95" s="78"/>
    </row>
    <row r="96" spans="2:52" s="21" customFormat="1" ht="15">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5">
      <c r="B97" s="34"/>
      <c r="C97" s="34"/>
      <c r="D97" s="34"/>
      <c r="E97" s="34" t="s">
        <v>317</v>
      </c>
      <c r="F97" s="34"/>
      <c r="G97" s="34" t="s">
        <v>315</v>
      </c>
      <c r="H97" s="34" t="s">
        <v>318</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InputSummary!AQ255</f>
        <v>0</v>
      </c>
      <c r="AR97" s="368">
        <f>InputSummary!AR255</f>
        <v>0</v>
      </c>
      <c r="AS97" s="368">
        <f>InputSummary!AS255</f>
        <v>0</v>
      </c>
      <c r="AT97" s="368">
        <f>InputSummary!AT255</f>
        <v>0</v>
      </c>
      <c r="AU97" s="368">
        <f>InputSummary!AU255</f>
        <v>0</v>
      </c>
      <c r="AV97" s="368">
        <f>InputSummary!AV255</f>
        <v>0</v>
      </c>
      <c r="AW97" s="34"/>
      <c r="AX97"/>
      <c r="AY97"/>
      <c r="AZ97"/>
    </row>
    <row r="98" spans="1:52" s="21" customFormat="1" ht="15">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5">
      <c r="E99" s="131" t="s">
        <v>319</v>
      </c>
      <c r="F99" s="21"/>
      <c r="G99" s="21" t="s">
        <v>209</v>
      </c>
      <c r="H99" s="21"/>
      <c r="I99" s="370">
        <f>InputSummary!I256</f>
        <v>0.06</v>
      </c>
      <c r="AQ99" s="369"/>
      <c r="AR99" s="143"/>
      <c r="AS99" s="143"/>
      <c r="AT99" s="143"/>
      <c r="AU99" s="143"/>
      <c r="AV99" s="143"/>
    </row>
    <row r="100" spans="1:52" s="21" customFormat="1" ht="15">
      <c r="B100" s="34"/>
      <c r="C100" s="34"/>
      <c r="D100" s="34"/>
      <c r="E100" s="34" t="s">
        <v>1251</v>
      </c>
      <c r="F100" s="34"/>
      <c r="G100" s="34" t="s">
        <v>315</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1.0327502833238187</v>
      </c>
      <c r="AR100" s="368">
        <f t="shared" ref="AR100:AV100" si="27">IFERROR(AR94/AR62,0)</f>
        <v>1.163764020119153</v>
      </c>
      <c r="AS100" s="368">
        <f t="shared" si="27"/>
        <v>0.90444015071952322</v>
      </c>
      <c r="AT100" s="368">
        <f t="shared" si="27"/>
        <v>1</v>
      </c>
      <c r="AU100" s="368">
        <f t="shared" si="27"/>
        <v>1</v>
      </c>
      <c r="AV100" s="368">
        <f t="shared" si="27"/>
        <v>1</v>
      </c>
      <c r="AW100" s="34"/>
      <c r="AX100"/>
      <c r="AY100"/>
      <c r="AZ100"/>
    </row>
    <row r="101" spans="1:52" s="21" customFormat="1" ht="15">
      <c r="B101" s="34"/>
      <c r="C101" s="34"/>
      <c r="D101" s="34"/>
      <c r="E101" s="34" t="s">
        <v>321</v>
      </c>
      <c r="F101" s="34"/>
      <c r="G101" s="21" t="s">
        <v>209</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7">
        <f>(IF(AQ100&gt;=1+$I99,1,0) + IF(AQ100&lt;=1-$I99,-1,0)) * $I101</f>
        <v>0</v>
      </c>
      <c r="AR101" s="126">
        <f t="shared" ref="AR101:AV101" si="28">(IF(AR100&gt;=1+$I99,1,0) + IF(AR100&lt;=1-$I99,-1,0)) * $I101</f>
        <v>1.15E-2</v>
      </c>
      <c r="AS101" s="126">
        <f t="shared" si="28"/>
        <v>-1.15E-2</v>
      </c>
      <c r="AT101" s="126">
        <f t="shared" si="28"/>
        <v>0</v>
      </c>
      <c r="AU101" s="126">
        <f t="shared" si="28"/>
        <v>0</v>
      </c>
      <c r="AV101" s="126">
        <f t="shared" si="28"/>
        <v>0</v>
      </c>
      <c r="AW101" s="34"/>
      <c r="AX101"/>
      <c r="AY101"/>
      <c r="AZ101"/>
    </row>
    <row r="102" spans="1:52" s="21" customFormat="1" ht="15">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5">
      <c r="B103" s="367"/>
      <c r="C103" s="367"/>
      <c r="D103" s="367"/>
      <c r="E103" s="367" t="s">
        <v>1252</v>
      </c>
      <c r="F103" s="367"/>
      <c r="G103" s="34" t="s">
        <v>304</v>
      </c>
      <c r="H103" s="367" t="s">
        <v>1253</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 t="shared" ref="AV103" si="29">(AU62-AU94)*AU97*AU101</f>
        <v>0</v>
      </c>
      <c r="AW103" s="373"/>
      <c r="AX103" s="319"/>
      <c r="AY103" s="319"/>
      <c r="AZ103" s="319"/>
    </row>
    <row r="104" spans="1:52" s="21" customFormat="1" ht="15">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5">
      <c r="B105" s="367"/>
      <c r="C105" s="367"/>
      <c r="D105" s="367"/>
      <c r="E105" s="367" t="s">
        <v>1254</v>
      </c>
      <c r="F105" s="367"/>
      <c r="G105" s="367"/>
      <c r="H105" s="367" t="s">
        <v>1219</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30">AU89 + AU103</f>
        <v>0</v>
      </c>
      <c r="AV105" s="373">
        <f t="shared" si="30"/>
        <v>0</v>
      </c>
      <c r="AW105" s="367"/>
      <c r="AX105" s="319"/>
      <c r="AY105" s="319"/>
      <c r="AZ105" s="319"/>
    </row>
    <row r="106" spans="1:52" s="21" customFormat="1" ht="15">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5">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5">
      <c r="A108" s="21"/>
      <c r="B108" s="37" t="s">
        <v>79</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row r="110" spans="1:52"/>
  </sheetData>
  <conditionalFormatting sqref="K11:AV11">
    <cfRule type="cellIs" dxfId="82" priority="5" operator="equal">
      <formula>FALSE()</formula>
    </cfRule>
  </conditionalFormatting>
  <conditionalFormatting sqref="AM2">
    <cfRule type="expression" dxfId="81" priority="1">
      <formula>mac_sensitivity=2</formula>
    </cfRule>
    <cfRule type="expression" dxfId="80" priority="2">
      <formula>mac_sensitivity=1</formula>
    </cfRule>
  </conditionalFormatting>
  <conditionalFormatting sqref="AM3">
    <cfRule type="expression" dxfId="79"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59"/>
  <sheetViews>
    <sheetView zoomScale="85" zoomScaleNormal="85" workbookViewId="0"/>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 min="11" max="35" width="9.625" hidden="1" customWidth="1" outlineLevel="1"/>
    <col min="36" max="36" width="9.625" customWidth="1" collapsed="1"/>
    <col min="37" max="48" width="9.625" customWidth="1"/>
    <col min="49" max="49" width="3" customWidth="1"/>
    <col min="50" max="54" width="0" hidden="1" customWidth="1"/>
    <col min="55" max="16384" width="9" hidden="1"/>
  </cols>
  <sheetData>
    <row r="1" spans="1:49" ht="19.5">
      <c r="A1" s="195" t="s">
        <v>72</v>
      </c>
      <c r="B1" s="181"/>
      <c r="C1" s="181"/>
      <c r="D1" s="181"/>
      <c r="E1" s="181"/>
      <c r="F1" s="181"/>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5">
      <c r="A2" s="181"/>
      <c r="B2" s="157" t="str">
        <f>UserInterface!$E$30</f>
        <v>NPgN</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
      <c r="C6" s="2"/>
      <c r="D6" s="2"/>
      <c r="E6" s="2" t="s">
        <v>1255</v>
      </c>
      <c r="F6" s="2"/>
      <c r="G6" s="2" t="s">
        <v>1256</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3">
        <f t="shared" si="0"/>
        <v>2023</v>
      </c>
      <c r="AR6" s="159">
        <f t="shared" si="0"/>
        <v>2024</v>
      </c>
      <c r="AS6" s="159">
        <f t="shared" si="0"/>
        <v>2025</v>
      </c>
      <c r="AT6" s="159">
        <f t="shared" si="0"/>
        <v>2026</v>
      </c>
      <c r="AU6" s="159">
        <f t="shared" si="0"/>
        <v>2027</v>
      </c>
      <c r="AV6" s="159">
        <f t="shared" si="0"/>
        <v>2028</v>
      </c>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2">
        <v>4.0595818817694251E-2</v>
      </c>
      <c r="AS7" s="358">
        <v>1.694406930493586E-2</v>
      </c>
      <c r="AT7" s="358">
        <v>1.9104788826139751E-2</v>
      </c>
      <c r="AU7" s="358">
        <v>1.9975186831839853E-2</v>
      </c>
      <c r="AV7" s="358">
        <v>2.0000000000000684E-2</v>
      </c>
      <c r="AW7" s="2"/>
    </row>
    <row r="8" spans="1:49" ht="15">
      <c r="A8" s="2"/>
      <c r="B8" s="2"/>
      <c r="C8" s="2"/>
      <c r="D8" s="2"/>
      <c r="E8" s="2" t="s">
        <v>1257</v>
      </c>
      <c r="F8" s="2"/>
      <c r="G8" s="2" t="s">
        <v>1256</v>
      </c>
      <c r="H8" s="2"/>
      <c r="I8" s="501">
        <f t="array" ref="I8">YEAR(LARGE(IF('Monthly Inflation'!$H$5:$H$355&lt;&gt;"",'Monthly Inflation'!$E$5:$E$352),1))</f>
        <v>2023</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5">
      <c r="A9" s="2"/>
      <c r="B9" s="2"/>
      <c r="C9" s="2"/>
      <c r="D9" s="2"/>
      <c r="E9" s="2" t="s">
        <v>1258</v>
      </c>
      <c r="F9" s="2"/>
      <c r="G9" s="2" t="s">
        <v>1259</v>
      </c>
      <c r="H9" s="2"/>
      <c r="I9" s="250">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5">
      <c r="A11" s="2"/>
      <c r="B11" s="2"/>
      <c r="C11" s="2"/>
      <c r="D11" s="2"/>
      <c r="E11" s="2" t="s">
        <v>1260</v>
      </c>
      <c r="F11" s="2"/>
      <c r="G11" s="2" t="s">
        <v>1259</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5">
      <c r="A12" s="2"/>
      <c r="B12" s="2"/>
      <c r="C12" s="2"/>
      <c r="D12" s="2"/>
      <c r="E12" s="2" t="s">
        <v>1261</v>
      </c>
      <c r="F12" s="2"/>
      <c r="G12" s="2" t="s">
        <v>1262</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5">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5">
      <c r="A14" s="2"/>
      <c r="B14" s="2"/>
      <c r="C14" s="2"/>
      <c r="D14" s="2"/>
      <c r="E14" s="2" t="s">
        <v>1263</v>
      </c>
      <c r="F14" s="2"/>
      <c r="G14" s="2" t="s">
        <v>277</v>
      </c>
      <c r="H14" s="2"/>
      <c r="I14" s="261">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5">
      <c r="A15" s="2"/>
      <c r="B15" s="2"/>
      <c r="C15" s="2"/>
      <c r="D15" s="2"/>
      <c r="E15" s="2" t="s">
        <v>547</v>
      </c>
      <c r="F15" s="2"/>
      <c r="G15" s="2" t="s">
        <v>277</v>
      </c>
      <c r="H15" s="2"/>
      <c r="I15" s="202">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5">
      <c r="A17" s="2"/>
      <c r="B17" s="22" t="s">
        <v>73</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7"/>
      <c r="AR17" s="22"/>
      <c r="AS17" s="22"/>
      <c r="AT17" s="22"/>
      <c r="AU17" s="22"/>
      <c r="AV17" s="22"/>
      <c r="AW17" s="2"/>
    </row>
    <row r="18" spans="1:49" ht="1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0" t="s">
        <v>1264</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5">
      <c r="A21" s="2"/>
      <c r="B21" s="2"/>
      <c r="C21" s="2"/>
      <c r="D21" s="2"/>
      <c r="E21" s="2" t="s">
        <v>1265</v>
      </c>
      <c r="F21" s="2"/>
      <c r="G21" s="2" t="s">
        <v>868</v>
      </c>
      <c r="H21" s="2"/>
      <c r="I21" s="2"/>
      <c r="J21" s="2"/>
      <c r="K21" s="251" t="str">
        <f t="shared" ref="K21:S21" si="1">IF(DATE($I8, $I9, $I12) &gt;= DATE(K$6, $I11 - 1, $I12),"OUTTURN","FORECAST")</f>
        <v>OUTTURN</v>
      </c>
      <c r="L21" s="251" t="str">
        <f t="shared" si="1"/>
        <v>OUTTURN</v>
      </c>
      <c r="M21" s="251" t="str">
        <f t="shared" si="1"/>
        <v>OUTTURN</v>
      </c>
      <c r="N21" s="251" t="str">
        <f t="shared" si="1"/>
        <v>OUTTURN</v>
      </c>
      <c r="O21" s="251" t="str">
        <f t="shared" si="1"/>
        <v>OUTTURN</v>
      </c>
      <c r="P21" s="251" t="str">
        <f t="shared" si="1"/>
        <v>OUTTURN</v>
      </c>
      <c r="Q21" s="251" t="str">
        <f t="shared" si="1"/>
        <v>OUTTURN</v>
      </c>
      <c r="R21" s="251" t="str">
        <f t="shared" si="1"/>
        <v>OUTTURN</v>
      </c>
      <c r="S21" s="251" t="str">
        <f t="shared" si="1"/>
        <v>OUTTURN</v>
      </c>
      <c r="T21" s="251" t="str">
        <f>IF(DATE($I8, $I9, $I12) &gt;= DATE(T$6, $I11 - 1, $I12),"OUTTURN","FORECAST")</f>
        <v>OUTTURN</v>
      </c>
      <c r="U21" s="251" t="str">
        <f t="shared" ref="U21:AV21" si="2">IF(DATE($I8, $I9, $I12) &gt;= DATE(U$6, $I11 - 1, $I12),"OUTTURN","FORECAST")</f>
        <v>OUTTURN</v>
      </c>
      <c r="V21" s="251" t="str">
        <f t="shared" si="2"/>
        <v>OUTTURN</v>
      </c>
      <c r="W21" s="251" t="str">
        <f t="shared" si="2"/>
        <v>OUTTURN</v>
      </c>
      <c r="X21" s="251" t="str">
        <f t="shared" si="2"/>
        <v>OUTTURN</v>
      </c>
      <c r="Y21" s="251" t="str">
        <f t="shared" si="2"/>
        <v>OUTTURN</v>
      </c>
      <c r="Z21" s="251" t="str">
        <f t="shared" si="2"/>
        <v>OUTTURN</v>
      </c>
      <c r="AA21" s="251" t="str">
        <f t="shared" si="2"/>
        <v>OUTTURN</v>
      </c>
      <c r="AB21" s="251" t="str">
        <f t="shared" si="2"/>
        <v>OUTTURN</v>
      </c>
      <c r="AC21" s="251" t="str">
        <f t="shared" si="2"/>
        <v>OUTTURN</v>
      </c>
      <c r="AD21" s="251" t="str">
        <f t="shared" si="2"/>
        <v>OUTTURN</v>
      </c>
      <c r="AE21" s="251" t="str">
        <f t="shared" si="2"/>
        <v>OUTTURN</v>
      </c>
      <c r="AF21" s="251" t="str">
        <f t="shared" si="2"/>
        <v>OUTTURN</v>
      </c>
      <c r="AG21" s="251" t="str">
        <f t="shared" si="2"/>
        <v>OUTTURN</v>
      </c>
      <c r="AH21" s="251" t="str">
        <f t="shared" si="2"/>
        <v>OUTTURN</v>
      </c>
      <c r="AI21" s="251" t="str">
        <f t="shared" si="2"/>
        <v>OUTTURN</v>
      </c>
      <c r="AJ21" s="251" t="str">
        <f t="shared" si="2"/>
        <v>OUTTURN</v>
      </c>
      <c r="AK21" s="251" t="str">
        <f t="shared" si="2"/>
        <v>OUTTURN</v>
      </c>
      <c r="AL21" s="251" t="str">
        <f t="shared" si="2"/>
        <v>OUTTURN</v>
      </c>
      <c r="AM21" s="251" t="str">
        <f t="shared" si="2"/>
        <v>OUTTURN</v>
      </c>
      <c r="AN21" s="251" t="str">
        <f t="shared" si="2"/>
        <v>OUTTURN</v>
      </c>
      <c r="AO21" s="251" t="str">
        <f t="shared" si="2"/>
        <v>OUTTURN</v>
      </c>
      <c r="AP21" s="251" t="str">
        <f t="shared" si="2"/>
        <v>OUTTURN</v>
      </c>
      <c r="AQ21" s="348" t="str">
        <f t="shared" si="2"/>
        <v>OUTTURN</v>
      </c>
      <c r="AR21" s="251" t="str">
        <f t="shared" si="2"/>
        <v>FORECAST</v>
      </c>
      <c r="AS21" s="251" t="str">
        <f t="shared" si="2"/>
        <v>FORECAST</v>
      </c>
      <c r="AT21" s="251" t="str">
        <f t="shared" si="2"/>
        <v>FORECAST</v>
      </c>
      <c r="AU21" s="251" t="str">
        <f t="shared" si="2"/>
        <v>FORECAST</v>
      </c>
      <c r="AV21" s="251" t="str">
        <f t="shared" si="2"/>
        <v>FORECAST</v>
      </c>
      <c r="AW21" s="2"/>
    </row>
    <row r="22" spans="1:49" ht="15">
      <c r="A22" s="2"/>
      <c r="B22" s="2"/>
      <c r="C22" s="2"/>
      <c r="D22" s="2"/>
      <c r="E22" s="2"/>
      <c r="F22" s="2"/>
      <c r="G22" s="2"/>
      <c r="H22" s="2"/>
      <c r="I22" s="2"/>
      <c r="J22" s="2"/>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348"/>
      <c r="AR22" s="251"/>
      <c r="AS22" s="251"/>
      <c r="AT22" s="251"/>
      <c r="AU22" s="251"/>
      <c r="AV22" s="251"/>
      <c r="AW22" s="2"/>
    </row>
    <row r="23" spans="1:49" ht="15">
      <c r="A23" s="2"/>
      <c r="B23" s="2"/>
      <c r="C23" s="2"/>
      <c r="D23" s="2"/>
      <c r="E23" s="2" t="s">
        <v>1266</v>
      </c>
      <c r="F23" s="2"/>
      <c r="G23" s="2" t="s">
        <v>540</v>
      </c>
      <c r="H23" s="2" t="s">
        <v>1267</v>
      </c>
      <c r="I23" s="2"/>
      <c r="J23" s="2"/>
      <c r="K23" s="252" t="str">
        <f>IFERROR(AVERAGEIFS('Monthly Inflation'!$M:$M,'Monthly Inflation'!$E:$E,"&gt;="&amp;DATE(K$6 - 1, $I11, $I12),'Monthly Inflation'!$E:$E,"&lt;="&amp;DATE(K$6, $I11 - 1, $I12)),"")</f>
        <v/>
      </c>
      <c r="L23" s="252" t="str">
        <f>IFERROR(AVERAGEIFS('Monthly Inflation'!$M:$M,'Monthly Inflation'!$E:$E,"&gt;="&amp;DATE(L$6 - 1, $I11, $I12),'Monthly Inflation'!$E:$E,"&lt;="&amp;DATE(L$6, $I11 - 1, $I12)),"")</f>
        <v/>
      </c>
      <c r="M23" s="252" t="str">
        <f>IFERROR(AVERAGEIFS('Monthly Inflation'!$M:$M,'Monthly Inflation'!$E:$E,"&gt;="&amp;DATE(M$6 - 1, $I11, $I12),'Monthly Inflation'!$E:$E,"&lt;="&amp;DATE(M$6, $I11 - 1, $I12)),"")</f>
        <v/>
      </c>
      <c r="N23" s="252" t="str">
        <f>IFERROR(AVERAGEIFS('Monthly Inflation'!$M:$M,'Monthly Inflation'!$E:$E,"&gt;="&amp;DATE(N$6 - 1, $I11, $I12),'Monthly Inflation'!$E:$E,"&lt;="&amp;DATE(N$6, $I11 - 1, $I12)),"")</f>
        <v/>
      </c>
      <c r="O23" s="252" t="str">
        <f>IFERROR(AVERAGEIFS('Monthly Inflation'!$M:$M,'Monthly Inflation'!$E:$E,"&gt;="&amp;DATE(O$6 - 1, $I11, $I12),'Monthly Inflation'!$E:$E,"&lt;="&amp;DATE(O$6, $I11 - 1, $I12)),"")</f>
        <v/>
      </c>
      <c r="P23" s="252" t="str">
        <f>IFERROR(AVERAGEIFS('Monthly Inflation'!$M:$M,'Monthly Inflation'!$E:$E,"&gt;="&amp;DATE(P$6 - 1, $I11, $I12),'Monthly Inflation'!$E:$E,"&lt;="&amp;DATE(P$6, $I11 - 1, $I12)),"")</f>
        <v/>
      </c>
      <c r="Q23" s="252" t="str">
        <f>IFERROR(AVERAGEIFS('Monthly Inflation'!$M:$M,'Monthly Inflation'!$E:$E,"&gt;="&amp;DATE(Q$6 - 1, $I11, $I12),'Monthly Inflation'!$E:$E,"&lt;="&amp;DATE(Q$6, $I11 - 1, $I12)),"")</f>
        <v/>
      </c>
      <c r="R23" s="252" t="str">
        <f>IFERROR(AVERAGEIFS('Monthly Inflation'!$M:$M,'Monthly Inflation'!$E:$E,"&gt;="&amp;DATE(R$6 - 1, $I11, $I12),'Monthly Inflation'!$E:$E,"&lt;="&amp;DATE(R$6, $I11 - 1, $I12)),"")</f>
        <v/>
      </c>
      <c r="S23" s="252" t="str">
        <f>IFERROR(AVERAGEIFS('Monthly Inflation'!$M:$M,'Monthly Inflation'!$E:$E,"&gt;="&amp;DATE(S$6 - 1, $I11, $I12),'Monthly Inflation'!$E:$E,"&lt;="&amp;DATE(S$6, $I11 - 1, $I12)),"")</f>
        <v/>
      </c>
      <c r="T23" s="252">
        <f>IFERROR(AVERAGEIFS('Monthly Inflation'!$M:$M,'Monthly Inflation'!$E:$E,"&gt;="&amp;DATE(T$6 - 1, $I11, $I12),'Monthly Inflation'!$E:$E,"&lt;="&amp;DATE(T$6, $I11 - 1, $I12)),"")</f>
        <v>166.35</v>
      </c>
      <c r="U23" s="252">
        <f>IFERROR(AVERAGEIFS('Monthly Inflation'!$M:$M,'Monthly Inflation'!$E:$E,"&gt;="&amp;DATE(U$6 - 1, $I11, $I12),'Monthly Inflation'!$E:$E,"&lt;="&amp;DATE(U$6, $I11 - 1, $I12)),"")</f>
        <v>171.31666666666663</v>
      </c>
      <c r="V23" s="252">
        <f>IFERROR(AVERAGEIFS('Monthly Inflation'!$M:$M,'Monthly Inflation'!$E:$E,"&gt;="&amp;DATE(V$6 - 1, $I11, $I12),'Monthly Inflation'!$E:$E,"&lt;="&amp;DATE(V$6, $I11 - 1, $I12)),"")</f>
        <v>173.875</v>
      </c>
      <c r="W23" s="252">
        <f>IFERROR(AVERAGEIFS('Monthly Inflation'!$M:$M,'Monthly Inflation'!$E:$E,"&gt;="&amp;DATE(W$6 - 1, $I11, $I12),'Monthly Inflation'!$E:$E,"&lt;="&amp;DATE(W$6, $I11 - 1, $I12)),"")</f>
        <v>177.51666666666665</v>
      </c>
      <c r="X23" s="252">
        <f>IFERROR(AVERAGEIFS('Monthly Inflation'!$M:$M,'Monthly Inflation'!$E:$E,"&gt;="&amp;DATE(X$6 - 1, $I11, $I12),'Monthly Inflation'!$E:$E,"&lt;="&amp;DATE(X$6, $I11 - 1, $I12)),"")</f>
        <v>182.47499999999999</v>
      </c>
      <c r="Y23" s="252">
        <f>IFERROR(AVERAGEIFS('Monthly Inflation'!$M:$M,'Monthly Inflation'!$E:$E,"&gt;="&amp;DATE(Y$6 - 1, $I11, $I12),'Monthly Inflation'!$E:$E,"&lt;="&amp;DATE(Y$6, $I11 - 1, $I12)),"")</f>
        <v>188.15</v>
      </c>
      <c r="Z23" s="252">
        <f>IFERROR(AVERAGEIFS('Monthly Inflation'!$M:$M,'Monthly Inflation'!$E:$E,"&gt;="&amp;DATE(Z$6 - 1, $I11, $I12),'Monthly Inflation'!$E:$E,"&lt;="&amp;DATE(Z$6, $I11 - 1, $I12)),"")</f>
        <v>193.10833333333332</v>
      </c>
      <c r="AA23" s="252">
        <f>IFERROR(AVERAGEIFS('Monthly Inflation'!$M:$M,'Monthly Inflation'!$E:$E,"&gt;="&amp;DATE(AA$6 - 1, $I11, $I12),'Monthly Inflation'!$E:$E,"&lt;="&amp;DATE(AA$6, $I11 - 1, $I12)),"")</f>
        <v>200.31666666666669</v>
      </c>
      <c r="AB23" s="252">
        <f>IFERROR(AVERAGEIFS('Monthly Inflation'!$M:$M,'Monthly Inflation'!$E:$E,"&gt;="&amp;DATE(AB$6 - 1, $I11, $I12),'Monthly Inflation'!$E:$E,"&lt;="&amp;DATE(AB$6, $I11 - 1, $I12)),"")</f>
        <v>208.5916666666667</v>
      </c>
      <c r="AC23" s="252">
        <f>IFERROR(AVERAGEIFS('Monthly Inflation'!$M:$M,'Monthly Inflation'!$E:$E,"&gt;="&amp;DATE(AC$6 - 1, $I11, $I12),'Monthly Inflation'!$E:$E,"&lt;="&amp;DATE(AC$6, $I11 - 1, $I12)),"")</f>
        <v>214.78333333333339</v>
      </c>
      <c r="AD23" s="252">
        <f>IFERROR(AVERAGEIFS('Monthly Inflation'!$M:$M,'Monthly Inflation'!$E:$E,"&gt;="&amp;DATE(AD$6 - 1, $I11, $I12),'Monthly Inflation'!$E:$E,"&lt;="&amp;DATE(AD$6, $I11 - 1, $I12)),"")</f>
        <v>215.76666666666662</v>
      </c>
      <c r="AE23" s="252">
        <f>IFERROR(AVERAGEIFS('Monthly Inflation'!$M:$M,'Monthly Inflation'!$E:$E,"&gt;="&amp;DATE(AE$6 - 1, $I11, $I12),'Monthly Inflation'!$E:$E,"&lt;="&amp;DATE(AE$6, $I11 - 1, $I12)),"")</f>
        <v>226.47499999999999</v>
      </c>
      <c r="AF23" s="252">
        <f>IFERROR(AVERAGEIFS('Monthly Inflation'!$M:$M,'Monthly Inflation'!$E:$E,"&gt;="&amp;DATE(AF$6 - 1, $I11, $I12),'Monthly Inflation'!$E:$E,"&lt;="&amp;DATE(AF$6, $I11 - 1, $I12)),"")</f>
        <v>237.3416666666667</v>
      </c>
      <c r="AG23" s="252">
        <f>IFERROR(AVERAGEIFS('Monthly Inflation'!$M:$M,'Monthly Inflation'!$E:$E,"&gt;="&amp;DATE(AG$6 - 1, $I11, $I12),'Monthly Inflation'!$E:$E,"&lt;="&amp;DATE(AG$6, $I11 - 1, $I12)),"")</f>
        <v>244.67499999999998</v>
      </c>
      <c r="AH23" s="252">
        <f>IFERROR(AVERAGEIFS('Monthly Inflation'!$M:$M,'Monthly Inflation'!$E:$E,"&gt;="&amp;DATE(AH$6 - 1, $I11, $I12),'Monthly Inflation'!$E:$E,"&lt;="&amp;DATE(AH$6, $I11 - 1, $I12)),"")</f>
        <v>251.73333333333335</v>
      </c>
      <c r="AI23" s="252">
        <f>IFERROR(AVERAGEIFS('Monthly Inflation'!$M:$M,'Monthly Inflation'!$E:$E,"&gt;="&amp;DATE(AI$6 - 1, $I11, $I12),'Monthly Inflation'!$E:$E,"&lt;="&amp;DATE(AI$6, $I11 - 1, $I12)),"")</f>
        <v>256.66666666666669</v>
      </c>
      <c r="AJ23" s="252">
        <f>IFERROR(AVERAGEIFS('Monthly Inflation'!$M:$M,'Monthly Inflation'!$E:$E,"&gt;="&amp;DATE(AJ$6 - 1, $I11, $I12),'Monthly Inflation'!$E:$E,"&lt;="&amp;DATE(AJ$6, $I11 - 1, $I12)),"")</f>
        <v>259.43333333333334</v>
      </c>
      <c r="AK23" s="252">
        <f>IFERROR(AVERAGEIFS('Monthly Inflation'!$M:$M,'Monthly Inflation'!$E:$E,"&gt;="&amp;DATE(AK$6 - 1, $I11, $I12),'Monthly Inflation'!$E:$E,"&lt;="&amp;DATE(AK$6, $I11 - 1, $I12)),"")</f>
        <v>264.99166666666673</v>
      </c>
      <c r="AL23" s="252">
        <f>IFERROR(AVERAGEIFS('Monthly Inflation'!$M:$M,'Monthly Inflation'!$E:$E,"&gt;="&amp;DATE(AL$6 - 1, $I11, $I12),'Monthly Inflation'!$E:$E,"&lt;="&amp;DATE(AL$6, $I11 - 1, $I12)),"")</f>
        <v>274.90833333333336</v>
      </c>
      <c r="AM23" s="252">
        <f>IFERROR(AVERAGEIFS('Monthly Inflation'!$M:$M,'Monthly Inflation'!$E:$E,"&gt;="&amp;DATE(AM$6 - 1, $I11, $I12),'Monthly Inflation'!$E:$E,"&lt;="&amp;DATE(AM$6, $I11 - 1, $I12)),"")</f>
        <v>283.30833333333334</v>
      </c>
      <c r="AN23" s="252">
        <f>IFERROR(AVERAGEIFS('Monthly Inflation'!$M:$M,'Monthly Inflation'!$E:$E,"&gt;="&amp;DATE(AN$6 - 1, $I11, $I12),'Monthly Inflation'!$E:$E,"&lt;="&amp;DATE(AN$6, $I11 - 1, $I12)),"")</f>
        <v>290.64166666666665</v>
      </c>
      <c r="AO23" s="252">
        <f>IFERROR(AVERAGEIFS('Monthly Inflation'!$M:$M,'Monthly Inflation'!$E:$E,"&gt;="&amp;DATE(AO$6 - 1, $I11, $I12),'Monthly Inflation'!$E:$E,"&lt;="&amp;DATE(AO$6, $I11 - 1, $I12)),"")</f>
        <v>294.16666666666669</v>
      </c>
      <c r="AP23" s="252">
        <f>IFERROR(AVERAGEIFS('Monthly Inflation'!$M:$M,'Monthly Inflation'!$E:$E,"&gt;="&amp;DATE(AP$6 - 1, $I11, $I12),'Monthly Inflation'!$E:$E,"&lt;="&amp;DATE(AP$6, $I11 - 1, $I12)),"")</f>
        <v>311.1583333333333</v>
      </c>
      <c r="AQ23" s="504">
        <f>IFERROR(AVERAGEIFS('Monthly Inflation'!$M:$M,'Monthly Inflation'!$E:$E,"&gt;="&amp;DATE(AQ$6 - 1, $I11, $I12),'Monthly Inflation'!$E:$E,"&lt;="&amp;DATE(AQ$6, $I11 - 1, $I12)),"")</f>
        <v>351.2166666666667</v>
      </c>
      <c r="AR23" s="252">
        <f>IFERROR(AVERAGEIFS('Monthly Inflation'!$M:$M,'Monthly Inflation'!$E:$E,"&gt;="&amp;DATE(AR$6 - 1, $I11, $I12),'Monthly Inflation'!$E:$E,"&lt;="&amp;DATE(AR$6, $I11 - 1, $I12)),"")</f>
        <v>381.95897726676139</v>
      </c>
      <c r="AS23" s="252">
        <f>IFERROR(AVERAGEIFS('Monthly Inflation'!$M:$M,'Monthly Inflation'!$E:$E,"&gt;="&amp;DATE(AS$6 - 1, $I11, $I12),'Monthly Inflation'!$E:$E,"&lt;="&amp;DATE(AS$6, $I11 - 1, $I12)),"")</f>
        <v>398.45378776422496</v>
      </c>
      <c r="AT23" s="252">
        <f>IFERROR(AVERAGEIFS('Monthly Inflation'!$M:$M,'Monthly Inflation'!$E:$E,"&gt;="&amp;DATE(AT$6 - 1, $I11, $I12),'Monthly Inflation'!$E:$E,"&lt;="&amp;DATE(AT$6, $I11 - 1, $I12)),"")</f>
        <v>408.90659996278873</v>
      </c>
      <c r="AU23" s="252">
        <f>IFERROR(AVERAGEIFS('Monthly Inflation'!$M:$M,'Monthly Inflation'!$E:$E,"&gt;="&amp;DATE(AU$6 - 1, $I11, $I12),'Monthly Inflation'!$E:$E,"&lt;="&amp;DATE(AU$6, $I11 - 1, $I12)),"")</f>
        <v>419.5608531153016</v>
      </c>
      <c r="AV23" s="252">
        <f>IFERROR(AVERAGEIFS('Monthly Inflation'!$M:$M,'Monthly Inflation'!$E:$E,"&gt;="&amp;DATE(AV$6 - 1, $I11, $I12),'Monthly Inflation'!$E:$E,"&lt;="&amp;DATE(AV$6, $I11 - 1, $I12)),"")</f>
        <v>431.36994090971933</v>
      </c>
      <c r="AW23" s="2"/>
    </row>
    <row r="24" spans="1:49" ht="15">
      <c r="A24" s="2"/>
      <c r="B24" s="2"/>
      <c r="C24" s="2"/>
      <c r="D24" s="2"/>
      <c r="E24" s="2" t="s">
        <v>1268</v>
      </c>
      <c r="F24" s="2"/>
      <c r="G24" s="2" t="s">
        <v>604</v>
      </c>
      <c r="H24" s="2"/>
      <c r="I24" s="2"/>
      <c r="J24" s="2"/>
      <c r="K24" s="254" t="str">
        <f>IFERROR(K23/J23 - 1,"")</f>
        <v/>
      </c>
      <c r="L24" s="254" t="str">
        <f t="shared" ref="L24:AV24" si="3">IFERROR(L23/K23 - 1,"")</f>
        <v/>
      </c>
      <c r="M24" s="254" t="str">
        <f t="shared" si="3"/>
        <v/>
      </c>
      <c r="N24" s="254" t="str">
        <f t="shared" si="3"/>
        <v/>
      </c>
      <c r="O24" s="254" t="str">
        <f t="shared" si="3"/>
        <v/>
      </c>
      <c r="P24" s="254" t="str">
        <f t="shared" si="3"/>
        <v/>
      </c>
      <c r="Q24" s="254" t="str">
        <f t="shared" si="3"/>
        <v/>
      </c>
      <c r="R24" s="254" t="str">
        <f t="shared" si="3"/>
        <v/>
      </c>
      <c r="S24" s="254" t="str">
        <f t="shared" si="3"/>
        <v/>
      </c>
      <c r="T24" s="254"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5">
        <f t="shared" si="3"/>
        <v>0.12873938777149907</v>
      </c>
      <c r="AR24" s="322">
        <f t="shared" si="3"/>
        <v>8.7530899065423995E-2</v>
      </c>
      <c r="AS24" s="322">
        <f t="shared" si="3"/>
        <v>4.3184769776843268E-2</v>
      </c>
      <c r="AT24" s="322">
        <f t="shared" si="3"/>
        <v>2.6233436648239294E-2</v>
      </c>
      <c r="AU24" s="322">
        <f t="shared" si="3"/>
        <v>2.6055468787939295E-2</v>
      </c>
      <c r="AV24" s="322">
        <f t="shared" si="3"/>
        <v>2.814630513484162E-2</v>
      </c>
      <c r="AW24" s="2"/>
    </row>
    <row r="25" spans="1:49" ht="15">
      <c r="A25" s="2"/>
      <c r="B25" s="2"/>
      <c r="C25" s="2"/>
      <c r="D25" s="2"/>
      <c r="E25" s="2"/>
      <c r="F25" s="2"/>
      <c r="G25" s="2"/>
      <c r="H25" s="2"/>
      <c r="I25" s="2"/>
      <c r="J25" s="2"/>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359"/>
      <c r="AR25" s="206"/>
      <c r="AS25" s="206"/>
      <c r="AT25" s="206"/>
      <c r="AU25" s="206"/>
      <c r="AV25" s="289"/>
      <c r="AW25" s="2"/>
    </row>
    <row r="26" spans="1:49" ht="15">
      <c r="A26" s="2"/>
      <c r="B26" s="2"/>
      <c r="C26" s="2"/>
      <c r="D26" s="2"/>
      <c r="E26" s="2" t="s">
        <v>1269</v>
      </c>
      <c r="F26" s="2"/>
      <c r="G26" s="2" t="s">
        <v>540</v>
      </c>
      <c r="H26" s="2" t="s">
        <v>1270</v>
      </c>
      <c r="I26" s="2"/>
      <c r="J26" s="2"/>
      <c r="K26" s="252" t="str">
        <f>IFERROR(AVERAGEIFS('Monthly Inflation'!$L:$L,'Monthly Inflation'!$E:$E,"&gt;="&amp;DATE(K$6-1,$I11, $I12),'Monthly Inflation'!$E:$E,"&lt;="&amp;DATE(K$6,$I11-1,$I12)),"")</f>
        <v/>
      </c>
      <c r="L26" s="252" t="str">
        <f>IFERROR(AVERAGEIFS('Monthly Inflation'!$L:$L,'Monthly Inflation'!$E:$E,"&gt;="&amp;DATE(L$6-1,$I11, $I12),'Monthly Inflation'!$E:$E,"&lt;="&amp;DATE(L$6,$I11-1,$I12)),"")</f>
        <v/>
      </c>
      <c r="M26" s="252" t="str">
        <f>IFERROR(AVERAGEIFS('Monthly Inflation'!$L:$L,'Monthly Inflation'!$E:$E,"&gt;="&amp;DATE(M$6-1,$I11, $I12),'Monthly Inflation'!$E:$E,"&lt;="&amp;DATE(M$6,$I11-1,$I12)),"")</f>
        <v/>
      </c>
      <c r="N26" s="252" t="str">
        <f>IFERROR(AVERAGEIFS('Monthly Inflation'!$L:$L,'Monthly Inflation'!$E:$E,"&gt;="&amp;DATE(N$6-1,$I11, $I12),'Monthly Inflation'!$E:$E,"&lt;="&amp;DATE(N$6,$I11-1,$I12)),"")</f>
        <v/>
      </c>
      <c r="O26" s="252" t="str">
        <f>IFERROR(AVERAGEIFS('Monthly Inflation'!$L:$L,'Monthly Inflation'!$E:$E,"&gt;="&amp;DATE(O$6-1,$I11, $I12),'Monthly Inflation'!$E:$E,"&lt;="&amp;DATE(O$6,$I11-1,$I12)),"")</f>
        <v/>
      </c>
      <c r="P26" s="252" t="str">
        <f>IFERROR(AVERAGEIFS('Monthly Inflation'!$L:$L,'Monthly Inflation'!$E:$E,"&gt;="&amp;DATE(P$6-1,$I11, $I12),'Monthly Inflation'!$E:$E,"&lt;="&amp;DATE(P$6,$I11-1,$I12)),"")</f>
        <v/>
      </c>
      <c r="Q26" s="252" t="str">
        <f>IFERROR(AVERAGEIFS('Monthly Inflation'!$L:$L,'Monthly Inflation'!$E:$E,"&gt;="&amp;DATE(Q$6-1,$I11, $I12),'Monthly Inflation'!$E:$E,"&lt;="&amp;DATE(Q$6,$I11-1,$I12)),"")</f>
        <v/>
      </c>
      <c r="R26" s="252" t="str">
        <f>IFERROR(AVERAGEIFS('Monthly Inflation'!$L:$L,'Monthly Inflation'!$E:$E,"&gt;="&amp;DATE(R$6-1,$I11, $I12),'Monthly Inflation'!$E:$E,"&lt;="&amp;DATE(R$6,$I11-1,$I12)),"")</f>
        <v/>
      </c>
      <c r="S26" s="252" t="str">
        <f>IFERROR(AVERAGEIFS('Monthly Inflation'!$L:$L,'Monthly Inflation'!$E:$E,"&gt;="&amp;DATE(S$6-1,$I11, $I12),'Monthly Inflation'!$E:$E,"&lt;="&amp;DATE(S$6,$I11-1,$I12)),"")</f>
        <v/>
      </c>
      <c r="T26" s="252">
        <f>IFERROR(AVERAGEIFS('Monthly Inflation'!$L:$L,'Monthly Inflation'!$E:$E,"&gt;="&amp;DATE(T$6-1,$I11, $I12),'Monthly Inflation'!$E:$E,"&lt;="&amp;DATE(T$6,$I11-1,$I12)),"")</f>
        <v>72.75833333333334</v>
      </c>
      <c r="U26" s="252">
        <f>IFERROR(AVERAGEIFS('Monthly Inflation'!$L:$L,'Monthly Inflation'!$E:$E,"&gt;="&amp;DATE(U$6-1,$I11, $I12),'Monthly Inflation'!$E:$E,"&lt;="&amp;DATE(U$6,$I11-1,$I12)),"")</f>
        <v>73.641666666666666</v>
      </c>
      <c r="V26" s="252">
        <f>IFERROR(AVERAGEIFS('Monthly Inflation'!$L:$L,'Monthly Inflation'!$E:$E,"&gt;="&amp;DATE(V$6-1,$I11, $I12),'Monthly Inflation'!$E:$E,"&lt;="&amp;DATE(V$6,$I11-1,$I12)),"")</f>
        <v>74.86666666666666</v>
      </c>
      <c r="W26" s="252">
        <f>IFERROR(AVERAGEIFS('Monthly Inflation'!$L:$L,'Monthly Inflation'!$E:$E,"&gt;="&amp;DATE(W$6-1,$I11, $I12),'Monthly Inflation'!$E:$E,"&lt;="&amp;DATE(W$6,$I11-1,$I12)),"")</f>
        <v>75.958333333333329</v>
      </c>
      <c r="X26" s="252">
        <f>IFERROR(AVERAGEIFS('Monthly Inflation'!$L:$L,'Monthly Inflation'!$E:$E,"&gt;="&amp;DATE(X$6-1,$I11, $I12),'Monthly Inflation'!$E:$E,"&lt;="&amp;DATE(X$6,$I11-1,$I12)),"")</f>
        <v>76.974999999999994</v>
      </c>
      <c r="Y26" s="252">
        <f>IFERROR(AVERAGEIFS('Monthly Inflation'!$L:$L,'Monthly Inflation'!$E:$E,"&gt;="&amp;DATE(Y$6-1,$I11, $I12),'Monthly Inflation'!$E:$E,"&lt;="&amp;DATE(Y$6,$I11-1,$I12)),"")</f>
        <v>78.124999999999986</v>
      </c>
      <c r="Z26" s="252">
        <f>IFERROR(AVERAGEIFS('Monthly Inflation'!$L:$L,'Monthly Inflation'!$E:$E,"&gt;="&amp;DATE(Z$6-1,$I11, $I12),'Monthly Inflation'!$E:$E,"&lt;="&amp;DATE(Z$6,$I11-1,$I12)),"")</f>
        <v>79.825000000000003</v>
      </c>
      <c r="AA26" s="252">
        <f>IFERROR(AVERAGEIFS('Monthly Inflation'!$L:$L,'Monthly Inflation'!$E:$E,"&gt;="&amp;DATE(AA$6-1,$I11, $I12),'Monthly Inflation'!$E:$E,"&lt;="&amp;DATE(AA$6,$I11-1,$I12)),"")</f>
        <v>81.916666666666671</v>
      </c>
      <c r="AB26" s="252">
        <f>IFERROR(AVERAGEIFS('Monthly Inflation'!$L:$L,'Monthly Inflation'!$E:$E,"&gt;="&amp;DATE(AB$6-1,$I11, $I12),'Monthly Inflation'!$E:$E,"&lt;="&amp;DATE(AB$6,$I11-1,$I12)),"")</f>
        <v>83.825000000000003</v>
      </c>
      <c r="AC26" s="252">
        <f>IFERROR(AVERAGEIFS('Monthly Inflation'!$L:$L,'Monthly Inflation'!$E:$E,"&gt;="&amp;DATE(AC$6-1,$I11, $I12),'Monthly Inflation'!$E:$E,"&lt;="&amp;DATE(AC$6,$I11-1,$I12)),"")</f>
        <v>86.858333333333334</v>
      </c>
      <c r="AD26" s="252">
        <f>IFERROR(AVERAGEIFS('Monthly Inflation'!$L:$L,'Monthly Inflation'!$E:$E,"&gt;="&amp;DATE(AD$6-1,$I11, $I12),'Monthly Inflation'!$E:$E,"&lt;="&amp;DATE(AD$6,$I11-1,$I12)),"")</f>
        <v>88.433333333333337</v>
      </c>
      <c r="AE26" s="252">
        <f>IFERROR(AVERAGEIFS('Monthly Inflation'!$L:$L,'Monthly Inflation'!$E:$E,"&gt;="&amp;DATE(AE$6-1,$I11, $I12),'Monthly Inflation'!$E:$E,"&lt;="&amp;DATE(AE$6,$I11-1,$I12)),"")</f>
        <v>90.908333333333317</v>
      </c>
      <c r="AF26" s="252">
        <f>IFERROR(AVERAGEIFS('Monthly Inflation'!$L:$L,'Monthly Inflation'!$E:$E,"&gt;="&amp;DATE(AF$6-1,$I11, $I12),'Monthly Inflation'!$E:$E,"&lt;="&amp;DATE(AF$6,$I11-1,$I12)),"")</f>
        <v>94.308333333333351</v>
      </c>
      <c r="AG26" s="252">
        <f>IFERROR(AVERAGEIFS('Monthly Inflation'!$L:$L,'Monthly Inflation'!$E:$E,"&gt;="&amp;DATE(AG$6-1,$I11, $I12),'Monthly Inflation'!$E:$E,"&lt;="&amp;DATE(AG$6,$I11-1,$I12)),"")</f>
        <v>96.583333333333314</v>
      </c>
      <c r="AH26" s="252">
        <f>IFERROR(AVERAGEIFS('Monthly Inflation'!$L:$L,'Monthly Inflation'!$E:$E,"&gt;="&amp;DATE(AH$6-1,$I11, $I12),'Monthly Inflation'!$E:$E,"&lt;="&amp;DATE(AH$6,$I11-1,$I12)),"")</f>
        <v>98.600000000000009</v>
      </c>
      <c r="AI26" s="252">
        <f>IFERROR(AVERAGEIFS('Monthly Inflation'!$L:$L,'Monthly Inflation'!$E:$E,"&gt;="&amp;DATE(AI$6-1,$I11, $I12),'Monthly Inflation'!$E:$E,"&lt;="&amp;DATE(AI$6,$I11-1,$I12)),"")</f>
        <v>99.72499999999998</v>
      </c>
      <c r="AJ26" s="252">
        <f>IFERROR(AVERAGEIFS('Monthly Inflation'!$L:$L,'Monthly Inflation'!$E:$E,"&gt;="&amp;DATE(AJ$6-1,$I11, $I12),'Monthly Inflation'!$E:$E,"&lt;="&amp;DATE(AJ$6,$I11-1,$I12)),"")</f>
        <v>100.16666666666667</v>
      </c>
      <c r="AK26" s="252">
        <f>IFERROR(AVERAGEIFS('Monthly Inflation'!$L:$L,'Monthly Inflation'!$E:$E,"&gt;="&amp;DATE(AK$6-1,$I11, $I12),'Monthly Inflation'!$E:$E,"&lt;="&amp;DATE(AK$6,$I11-1,$I12)),"")</f>
        <v>101.54166666666667</v>
      </c>
      <c r="AL26" s="252">
        <f>IFERROR(AVERAGEIFS('Monthly Inflation'!$L:$L,'Monthly Inflation'!$E:$E,"&gt;="&amp;DATE(AL$6-1,$I11, $I12),'Monthly Inflation'!$E:$E,"&lt;="&amp;DATE(AL$6,$I11-1,$I12)),"")</f>
        <v>104.21666666666665</v>
      </c>
      <c r="AM26" s="252">
        <f>IFERROR(AVERAGEIFS('Monthly Inflation'!$L:$L,'Monthly Inflation'!$E:$E,"&gt;="&amp;DATE(AM$6-1,$I11, $I12),'Monthly Inflation'!$E:$E,"&lt;="&amp;DATE(AM$6,$I11-1,$I12)),"")</f>
        <v>106.43333333333334</v>
      </c>
      <c r="AN26" s="252">
        <f>IFERROR(AVERAGEIFS('Monthly Inflation'!$L:$L,'Monthly Inflation'!$E:$E,"&gt;="&amp;DATE(AN$6-1,$I11, $I12),'Monthly Inflation'!$E:$E,"&lt;="&amp;DATE(AN$6,$I11-1,$I12)),"")</f>
        <v>108.24166666666663</v>
      </c>
      <c r="AO26" s="252">
        <f>IFERROR(AVERAGEIFS('Monthly Inflation'!$L:$L,'Monthly Inflation'!$E:$E,"&gt;="&amp;DATE(AO$6-1,$I11, $I12),'Monthly Inflation'!$E:$E,"&lt;="&amp;DATE(AO$6,$I11-1,$I12)),"")</f>
        <v>109.10833333333335</v>
      </c>
      <c r="AP26" s="252">
        <f>IFERROR(AVERAGEIFS('Monthly Inflation'!$L:$L,'Monthly Inflation'!$E:$E,"&gt;="&amp;DATE(AP$6-1,$I11, $I12),'Monthly Inflation'!$E:$E,"&lt;="&amp;DATE(AP$6,$I11-1,$I12)),"")</f>
        <v>113.11666666666667</v>
      </c>
      <c r="AQ26" s="504">
        <f>IFERROR(AVERAGEIFS('Monthly Inflation'!$L:$L,'Monthly Inflation'!$E:$E,"&gt;="&amp;DATE(AQ$6-1,$I11, $I12),'Monthly Inflation'!$E:$E,"&lt;="&amp;DATE(AQ$6,$I11-1,$I12)),"")</f>
        <v>123.04166666666664</v>
      </c>
      <c r="AR26" s="252">
        <f>IFERROR(AVERAGEIFS('Monthly Inflation'!$L:$L,'Monthly Inflation'!$E:$E,"&gt;="&amp;DATE(AR$6-1,$I11, $I12),'Monthly Inflation'!$E:$E,"&lt;="&amp;DATE(AR$6,$I11-1,$I12)),"")</f>
        <v>130.73147692954706</v>
      </c>
      <c r="AS26" s="252">
        <f>IFERROR(AVERAGEIFS('Monthly Inflation'!$L:$L,'Monthly Inflation'!$E:$E,"&gt;="&amp;DATE(AS$6-1,$I11, $I12),'Monthly Inflation'!$E:$E,"&lt;="&amp;DATE(AS$6,$I11-1,$I12)),"")</f>
        <v>134.71538276772398</v>
      </c>
      <c r="AT26" s="252">
        <f>IFERROR(AVERAGEIFS('Monthly Inflation'!$L:$L,'Monthly Inflation'!$E:$E,"&gt;="&amp;DATE(AT$6-1,$I11, $I12),'Monthly Inflation'!$E:$E,"&lt;="&amp;DATE(AT$6,$I11-1,$I12)),"")</f>
        <v>137.01925159970372</v>
      </c>
      <c r="AU26" s="252">
        <f>IFERROR(AVERAGEIFS('Monthly Inflation'!$L:$L,'Monthly Inflation'!$E:$E,"&gt;="&amp;DATE(AU$6-1,$I11, $I12),'Monthly Inflation'!$E:$E,"&lt;="&amp;DATE(AU$6,$I11-1,$I12)),"")</f>
        <v>139.13230513541188</v>
      </c>
      <c r="AV26" s="252">
        <f>IFERROR(AVERAGEIFS('Monthly Inflation'!$L:$L,'Monthly Inflation'!$E:$E,"&gt;="&amp;DATE(AV$6-1,$I11, $I12),'Monthly Inflation'!$E:$E,"&lt;="&amp;DATE(AV$6,$I11-1,$I12)),"")</f>
        <v>141.63137891010953</v>
      </c>
      <c r="AW26" s="2"/>
    </row>
    <row r="27" spans="1:49" ht="15">
      <c r="A27" s="2"/>
      <c r="B27" s="2"/>
      <c r="C27" s="2"/>
      <c r="D27" s="2"/>
      <c r="E27" s="2" t="s">
        <v>1271</v>
      </c>
      <c r="F27" s="2"/>
      <c r="G27" s="2" t="s">
        <v>604</v>
      </c>
      <c r="H27" s="2"/>
      <c r="I27" s="2"/>
      <c r="J27" s="2"/>
      <c r="K27" s="254" t="str">
        <f>IFERROR(K26/J26 - 1,"")</f>
        <v/>
      </c>
      <c r="L27" s="254" t="str">
        <f t="shared" ref="L27:AV27" si="4">IFERROR(L26/K26 - 1,"")</f>
        <v/>
      </c>
      <c r="M27" s="254" t="str">
        <f t="shared" si="4"/>
        <v/>
      </c>
      <c r="N27" s="254" t="str">
        <f t="shared" si="4"/>
        <v/>
      </c>
      <c r="O27" s="254" t="str">
        <f t="shared" si="4"/>
        <v/>
      </c>
      <c r="P27" s="254" t="str">
        <f t="shared" si="4"/>
        <v/>
      </c>
      <c r="Q27" s="254" t="str">
        <f t="shared" si="4"/>
        <v/>
      </c>
      <c r="R27" s="254" t="str">
        <f t="shared" si="4"/>
        <v/>
      </c>
      <c r="S27" s="254" t="str">
        <f t="shared" si="4"/>
        <v/>
      </c>
      <c r="T27" s="254"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5">
        <f t="shared" si="4"/>
        <v>8.7741270075143429E-2</v>
      </c>
      <c r="AR27" s="322">
        <f t="shared" si="4"/>
        <v>6.2497611347487325E-2</v>
      </c>
      <c r="AS27" s="322">
        <f t="shared" si="4"/>
        <v>3.04739603020312E-2</v>
      </c>
      <c r="AT27" s="322">
        <f t="shared" si="4"/>
        <v>1.710175025781635E-2</v>
      </c>
      <c r="AU27" s="322">
        <f t="shared" si="4"/>
        <v>1.5421581354723601E-2</v>
      </c>
      <c r="AV27" s="322">
        <f t="shared" si="4"/>
        <v>1.7961851291584674E-2</v>
      </c>
      <c r="AW27" s="2"/>
    </row>
    <row r="28" spans="1:49" ht="15">
      <c r="A28" s="2"/>
      <c r="B28" s="2"/>
      <c r="C28" s="2"/>
      <c r="D28" s="2"/>
      <c r="E28" s="2"/>
      <c r="F28" s="2"/>
      <c r="G28" s="2"/>
      <c r="H28" s="2"/>
      <c r="I28" s="2"/>
      <c r="J28" s="2"/>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359"/>
      <c r="AR28" s="206"/>
      <c r="AS28" s="206"/>
      <c r="AT28" s="206"/>
      <c r="AU28" s="206"/>
      <c r="AV28" s="206"/>
      <c r="AW28" s="2"/>
    </row>
    <row r="29" spans="1:49" ht="15">
      <c r="A29" s="2"/>
      <c r="B29" s="2"/>
      <c r="C29" s="2"/>
      <c r="D29" s="2"/>
      <c r="E29" s="2" t="s">
        <v>1272</v>
      </c>
      <c r="F29" s="2"/>
      <c r="G29" s="2" t="s">
        <v>540</v>
      </c>
      <c r="H29" s="2" t="s">
        <v>1209</v>
      </c>
      <c r="I29" s="2"/>
      <c r="J29" s="2"/>
      <c r="K29" s="252" t="str">
        <f>IFERROR(AVERAGEIFS('Monthly Inflation'!$N:$N,'Monthly Inflation'!$E:$E,"&gt;="&amp;DATE(K$6-1, $I11, $I12),'Monthly Inflation'!$E:$E,"&lt;="&amp;DATE(K$6, $I11 - 1, $I12)),"")</f>
        <v/>
      </c>
      <c r="L29" s="252" t="str">
        <f>IFERROR(AVERAGEIFS('Monthly Inflation'!$N:$N,'Monthly Inflation'!$E:$E,"&gt;="&amp;DATE(L$6-1, $I11, $I12),'Monthly Inflation'!$E:$E,"&lt;="&amp;DATE(L$6, $I11 - 1, $I12)),"")</f>
        <v/>
      </c>
      <c r="M29" s="252" t="str">
        <f>IFERROR(AVERAGEIFS('Monthly Inflation'!$N:$N,'Monthly Inflation'!$E:$E,"&gt;="&amp;DATE(M$6-1, $I11, $I12),'Monthly Inflation'!$E:$E,"&lt;="&amp;DATE(M$6, $I11 - 1, $I12)),"")</f>
        <v/>
      </c>
      <c r="N29" s="252" t="str">
        <f>IFERROR(AVERAGEIFS('Monthly Inflation'!$N:$N,'Monthly Inflation'!$E:$E,"&gt;="&amp;DATE(N$6-1, $I11, $I12),'Monthly Inflation'!$E:$E,"&lt;="&amp;DATE(N$6, $I11 - 1, $I12)),"")</f>
        <v/>
      </c>
      <c r="O29" s="252" t="str">
        <f>IFERROR(AVERAGEIFS('Monthly Inflation'!$N:$N,'Monthly Inflation'!$E:$E,"&gt;="&amp;DATE(O$6-1, $I11, $I12),'Monthly Inflation'!$E:$E,"&lt;="&amp;DATE(O$6, $I11 - 1, $I12)),"")</f>
        <v/>
      </c>
      <c r="P29" s="252" t="str">
        <f>IFERROR(AVERAGEIFS('Monthly Inflation'!$N:$N,'Monthly Inflation'!$E:$E,"&gt;="&amp;DATE(P$6-1, $I11, $I12),'Monthly Inflation'!$E:$E,"&lt;="&amp;DATE(P$6, $I11 - 1, $I12)),"")</f>
        <v/>
      </c>
      <c r="Q29" s="252" t="str">
        <f>IFERROR(AVERAGEIFS('Monthly Inflation'!$N:$N,'Monthly Inflation'!$E:$E,"&gt;="&amp;DATE(Q$6-1, $I11, $I12),'Monthly Inflation'!$E:$E,"&lt;="&amp;DATE(Q$6, $I11 - 1, $I12)),"")</f>
        <v/>
      </c>
      <c r="R29" s="252" t="str">
        <f>IFERROR(AVERAGEIFS('Monthly Inflation'!$N:$N,'Monthly Inflation'!$E:$E,"&gt;="&amp;DATE(R$6-1, $I11, $I12),'Monthly Inflation'!$E:$E,"&lt;="&amp;DATE(R$6, $I11 - 1, $I12)),"")</f>
        <v/>
      </c>
      <c r="S29" s="252" t="str">
        <f>IFERROR(AVERAGEIFS('Monthly Inflation'!$N:$N,'Monthly Inflation'!$E:$E,"&gt;="&amp;DATE(S$6-1, $I11, $I12),'Monthly Inflation'!$E:$E,"&lt;="&amp;DATE(S$6, $I11 - 1, $I12)),"")</f>
        <v/>
      </c>
      <c r="T29" s="252">
        <f>IFERROR(AVERAGEIFS('Monthly Inflation'!$N:$N,'Monthly Inflation'!$E:$E,"&gt;="&amp;DATE(T$6-1, $I11, $I12),'Monthly Inflation'!$E:$E,"&lt;="&amp;DATE(T$6, $I11 - 1, $I12)),"")</f>
        <v>166.35</v>
      </c>
      <c r="U29" s="252">
        <f>IFERROR(AVERAGEIFS('Monthly Inflation'!$N:$N,'Monthly Inflation'!$E:$E,"&gt;="&amp;DATE(U$6-1, $I11, $I12),'Monthly Inflation'!$E:$E,"&lt;="&amp;DATE(U$6, $I11 - 1, $I12)),"")</f>
        <v>171.31666666666663</v>
      </c>
      <c r="V29" s="252">
        <f>IFERROR(AVERAGEIFS('Monthly Inflation'!$N:$N,'Monthly Inflation'!$E:$E,"&gt;="&amp;DATE(V$6-1, $I11, $I12),'Monthly Inflation'!$E:$E,"&lt;="&amp;DATE(V$6, $I11 - 1, $I12)),"")</f>
        <v>173.875</v>
      </c>
      <c r="W29" s="252">
        <f>IFERROR(AVERAGEIFS('Monthly Inflation'!$N:$N,'Monthly Inflation'!$E:$E,"&gt;="&amp;DATE(W$6-1, $I11, $I12),'Monthly Inflation'!$E:$E,"&lt;="&amp;DATE(W$6, $I11 - 1, $I12)),"")</f>
        <v>177.51666666666665</v>
      </c>
      <c r="X29" s="252">
        <f>IFERROR(AVERAGEIFS('Monthly Inflation'!$N:$N,'Monthly Inflation'!$E:$E,"&gt;="&amp;DATE(X$6-1, $I11, $I12),'Monthly Inflation'!$E:$E,"&lt;="&amp;DATE(X$6, $I11 - 1, $I12)),"")</f>
        <v>182.47499999999999</v>
      </c>
      <c r="Y29" s="252">
        <f>IFERROR(AVERAGEIFS('Monthly Inflation'!$N:$N,'Monthly Inflation'!$E:$E,"&gt;="&amp;DATE(Y$6-1, $I11, $I12),'Monthly Inflation'!$E:$E,"&lt;="&amp;DATE(Y$6, $I11 - 1, $I12)),"")</f>
        <v>188.15</v>
      </c>
      <c r="Z29" s="252">
        <f>IFERROR(AVERAGEIFS('Monthly Inflation'!$N:$N,'Monthly Inflation'!$E:$E,"&gt;="&amp;DATE(Z$6-1, $I11, $I12),'Monthly Inflation'!$E:$E,"&lt;="&amp;DATE(Z$6, $I11 - 1, $I12)),"")</f>
        <v>193.10833333333332</v>
      </c>
      <c r="AA29" s="252">
        <f>IFERROR(AVERAGEIFS('Monthly Inflation'!$N:$N,'Monthly Inflation'!$E:$E,"&gt;="&amp;DATE(AA$6-1, $I11, $I12),'Monthly Inflation'!$E:$E,"&lt;="&amp;DATE(AA$6, $I11 - 1, $I12)),"")</f>
        <v>200.31666666666669</v>
      </c>
      <c r="AB29" s="252">
        <f>IFERROR(AVERAGEIFS('Monthly Inflation'!$N:$N,'Monthly Inflation'!$E:$E,"&gt;="&amp;DATE(AB$6-1, $I11, $I12),'Monthly Inflation'!$E:$E,"&lt;="&amp;DATE(AB$6, $I11 - 1, $I12)),"")</f>
        <v>208.5916666666667</v>
      </c>
      <c r="AC29" s="252">
        <f>IFERROR(AVERAGEIFS('Monthly Inflation'!$N:$N,'Monthly Inflation'!$E:$E,"&gt;="&amp;DATE(AC$6-1, $I11, $I12),'Monthly Inflation'!$E:$E,"&lt;="&amp;DATE(AC$6, $I11 - 1, $I12)),"")</f>
        <v>214.78333333333339</v>
      </c>
      <c r="AD29" s="252">
        <f>IFERROR(AVERAGEIFS('Monthly Inflation'!$N:$N,'Monthly Inflation'!$E:$E,"&gt;="&amp;DATE(AD$6-1, $I11, $I12),'Monthly Inflation'!$E:$E,"&lt;="&amp;DATE(AD$6, $I11 - 1, $I12)),"")</f>
        <v>215.76666666666662</v>
      </c>
      <c r="AE29" s="252">
        <f>IFERROR(AVERAGEIFS('Monthly Inflation'!$N:$N,'Monthly Inflation'!$E:$E,"&gt;="&amp;DATE(AE$6-1, $I11, $I12),'Monthly Inflation'!$E:$E,"&lt;="&amp;DATE(AE$6, $I11 - 1, $I12)),"")</f>
        <v>226.47499999999999</v>
      </c>
      <c r="AF29" s="252">
        <f>IFERROR(AVERAGEIFS('Monthly Inflation'!$N:$N,'Monthly Inflation'!$E:$E,"&gt;="&amp;DATE(AF$6-1, $I11, $I12),'Monthly Inflation'!$E:$E,"&lt;="&amp;DATE(AF$6, $I11 - 1, $I12)),"")</f>
        <v>237.3416666666667</v>
      </c>
      <c r="AG29" s="252">
        <f>IFERROR(AVERAGEIFS('Monthly Inflation'!$N:$N,'Monthly Inflation'!$E:$E,"&gt;="&amp;DATE(AG$6-1, $I11, $I12),'Monthly Inflation'!$E:$E,"&lt;="&amp;DATE(AG$6, $I11 - 1, $I12)),"")</f>
        <v>244.67499999999998</v>
      </c>
      <c r="AH29" s="252">
        <f>IFERROR(AVERAGEIFS('Monthly Inflation'!$N:$N,'Monthly Inflation'!$E:$E,"&gt;="&amp;DATE(AH$6-1, $I11, $I12),'Monthly Inflation'!$E:$E,"&lt;="&amp;DATE(AH$6, $I11 - 1, $I12)),"")</f>
        <v>251.73333333333335</v>
      </c>
      <c r="AI29" s="252">
        <f>IFERROR(AVERAGEIFS('Monthly Inflation'!$N:$N,'Monthly Inflation'!$E:$E,"&gt;="&amp;DATE(AI$6-1, $I11, $I12),'Monthly Inflation'!$E:$E,"&lt;="&amp;DATE(AI$6, $I11 - 1, $I12)),"")</f>
        <v>256.66666666666669</v>
      </c>
      <c r="AJ29" s="252">
        <f>IFERROR(AVERAGEIFS('Monthly Inflation'!$N:$N,'Monthly Inflation'!$E:$E,"&gt;="&amp;DATE(AJ$6-1, $I11, $I12),'Monthly Inflation'!$E:$E,"&lt;="&amp;DATE(AJ$6, $I11 - 1, $I12)),"")</f>
        <v>259.43333333333334</v>
      </c>
      <c r="AK29" s="252">
        <f>IFERROR(AVERAGEIFS('Monthly Inflation'!$N:$N,'Monthly Inflation'!$E:$E,"&gt;="&amp;DATE(AK$6-1, $I11, $I12),'Monthly Inflation'!$E:$E,"&lt;="&amp;DATE(AK$6, $I11 - 1, $I12)),"")</f>
        <v>264.99166666666673</v>
      </c>
      <c r="AL29" s="252">
        <f>IFERROR(AVERAGEIFS('Monthly Inflation'!$N:$N,'Monthly Inflation'!$E:$E,"&gt;="&amp;DATE(AL$6-1, $I11, $I12),'Monthly Inflation'!$E:$E,"&lt;="&amp;DATE(AL$6, $I11 - 1, $I12)),"")</f>
        <v>274.90833333333336</v>
      </c>
      <c r="AM29" s="252">
        <f>IFERROR(AVERAGEIFS('Monthly Inflation'!$N:$N,'Monthly Inflation'!$E:$E,"&gt;="&amp;DATE(AM$6-1, $I11, $I12),'Monthly Inflation'!$E:$E,"&lt;="&amp;DATE(AM$6, $I11 - 1, $I12)),"")</f>
        <v>283.30833333333334</v>
      </c>
      <c r="AN29" s="252">
        <f>IFERROR(AVERAGEIFS('Monthly Inflation'!$N:$N,'Monthly Inflation'!$E:$E,"&gt;="&amp;DATE(AN$6-1, $I11, $I12),'Monthly Inflation'!$E:$E,"&lt;="&amp;DATE(AN$6, $I11 - 1, $I12)),"")</f>
        <v>290.64166666666665</v>
      </c>
      <c r="AO29" s="252">
        <f>IFERROR(AVERAGEIFS('Monthly Inflation'!$N:$N,'Monthly Inflation'!$E:$E,"&gt;="&amp;DATE(AO$6-1, $I11, $I12),'Monthly Inflation'!$E:$E,"&lt;="&amp;DATE(AO$6, $I11 - 1, $I12)),"")</f>
        <v>294.16666666666669</v>
      </c>
      <c r="AP29" s="252">
        <f>IFERROR(AVERAGEIFS('Monthly Inflation'!$N:$N,'Monthly Inflation'!$E:$E,"&gt;="&amp;DATE(AP$6-1, $I11, $I12),'Monthly Inflation'!$E:$E,"&lt;="&amp;DATE(AP$6, $I11 - 1, $I12)),"")</f>
        <v>311.1583333333333</v>
      </c>
      <c r="AQ29" s="504">
        <f>IFERROR(AVERAGEIFS('Monthly Inflation'!$N:$N,'Monthly Inflation'!$E:$E,"&gt;="&amp;DATE(AQ$6-1, $I11, $I12),'Monthly Inflation'!$E:$E,"&lt;="&amp;DATE(AQ$6, $I11 - 1, $I12)),"")</f>
        <v>351.2166666666667</v>
      </c>
      <c r="AR29" s="252">
        <f>IFERROR(AVERAGEIFS('Monthly Inflation'!$N:$N,'Monthly Inflation'!$E:$E,"&gt;="&amp;DATE(AR$6-1, $I11, $I12),'Monthly Inflation'!$E:$E,"&lt;="&amp;DATE(AR$6, $I11 - 1, $I12)),"")</f>
        <v>379.22513900367994</v>
      </c>
      <c r="AS29" s="252">
        <f>IFERROR(AVERAGEIFS('Monthly Inflation'!$N:$N,'Monthly Inflation'!$E:$E,"&gt;="&amp;DATE(AS$6-1, $I11, $I12),'Monthly Inflation'!$E:$E,"&lt;="&amp;DATE(AS$6, $I11 - 1, $I12)),"")</f>
        <v>390.78163083521014</v>
      </c>
      <c r="AT29" s="252">
        <f>IFERROR(AVERAGEIFS('Monthly Inflation'!$N:$N,'Monthly Inflation'!$E:$E,"&gt;="&amp;DATE(AT$6-1, $I11, $I12),'Monthly Inflation'!$E:$E,"&lt;="&amp;DATE(AT$6, $I11 - 1, $I12)),"")</f>
        <v>397.46468069109602</v>
      </c>
      <c r="AU29" s="252">
        <f>IFERROR(AVERAGEIFS('Monthly Inflation'!$N:$N,'Monthly Inflation'!$E:$E,"&gt;="&amp;DATE(AU$6-1, $I11, $I12),'Monthly Inflation'!$E:$E,"&lt;="&amp;DATE(AU$6, $I11 - 1, $I12)),"")</f>
        <v>403.59421460000311</v>
      </c>
      <c r="AV29" s="252">
        <f>IFERROR(AVERAGEIFS('Monthly Inflation'!$N:$N,'Monthly Inflation'!$E:$E,"&gt;="&amp;DATE(AV$6-1, $I11, $I12),'Monthly Inflation'!$E:$E,"&lt;="&amp;DATE(AV$6, $I11 - 1, $I12)),"")</f>
        <v>410.84351386479216</v>
      </c>
      <c r="AW29" s="2"/>
    </row>
    <row r="30" spans="1:49" ht="15">
      <c r="A30" s="2"/>
      <c r="B30" s="2"/>
      <c r="C30" s="2"/>
      <c r="D30" s="2"/>
      <c r="E30" s="2" t="s">
        <v>1273</v>
      </c>
      <c r="F30" s="2"/>
      <c r="G30" s="2" t="s">
        <v>604</v>
      </c>
      <c r="H30" s="2"/>
      <c r="I30" s="2"/>
      <c r="J30" s="2"/>
      <c r="K30" s="254" t="str">
        <f>IFERROR(K29/J29 - 1,"")</f>
        <v/>
      </c>
      <c r="L30" s="254" t="str">
        <f t="shared" ref="L30:AV30" si="5">IFERROR(L29/K29 - 1,"")</f>
        <v/>
      </c>
      <c r="M30" s="254" t="str">
        <f t="shared" si="5"/>
        <v/>
      </c>
      <c r="N30" s="254" t="str">
        <f t="shared" si="5"/>
        <v/>
      </c>
      <c r="O30" s="254" t="str">
        <f t="shared" si="5"/>
        <v/>
      </c>
      <c r="P30" s="254" t="str">
        <f t="shared" si="5"/>
        <v/>
      </c>
      <c r="Q30" s="254" t="str">
        <f t="shared" si="5"/>
        <v/>
      </c>
      <c r="R30" s="254" t="str">
        <f t="shared" si="5"/>
        <v/>
      </c>
      <c r="S30" s="254" t="str">
        <f t="shared" si="5"/>
        <v/>
      </c>
      <c r="T30" s="254"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5">
        <f t="shared" si="5"/>
        <v>0.12873938777149907</v>
      </c>
      <c r="AR30" s="322">
        <f t="shared" si="5"/>
        <v>7.9746990946746754E-2</v>
      </c>
      <c r="AS30" s="322">
        <f t="shared" si="5"/>
        <v>3.0473960302030534E-2</v>
      </c>
      <c r="AT30" s="322">
        <f t="shared" si="5"/>
        <v>1.7101750257816128E-2</v>
      </c>
      <c r="AU30" s="322">
        <f t="shared" si="5"/>
        <v>1.5421581354723823E-2</v>
      </c>
      <c r="AV30" s="322">
        <f t="shared" si="5"/>
        <v>1.7961851291584452E-2</v>
      </c>
      <c r="AW30" s="2"/>
    </row>
    <row r="31" spans="1:49" ht="15">
      <c r="A31" s="2"/>
      <c r="B31" s="2"/>
      <c r="C31" s="2"/>
      <c r="D31" s="2"/>
      <c r="E31" s="2"/>
      <c r="F31" s="2"/>
      <c r="G31" s="2"/>
      <c r="H31" s="2"/>
      <c r="I31" s="2"/>
      <c r="J31" s="2"/>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359"/>
      <c r="AR31" s="206"/>
      <c r="AS31" s="206"/>
      <c r="AT31" s="206"/>
      <c r="AU31" s="206"/>
      <c r="AV31" s="206"/>
      <c r="AW31" s="2"/>
    </row>
    <row r="32" spans="1:49" ht="15">
      <c r="A32" s="2"/>
      <c r="B32" s="2"/>
      <c r="C32" s="2"/>
      <c r="D32" s="2"/>
      <c r="E32" s="2" t="s">
        <v>99</v>
      </c>
      <c r="F32" s="2"/>
      <c r="G32" s="2" t="s">
        <v>100</v>
      </c>
      <c r="H32" s="2"/>
      <c r="I32" s="2"/>
      <c r="J32" s="2"/>
      <c r="K32" s="253" t="str">
        <f>IFERROR(K29/INDEX($T$29:$AV$29,MATCH($I$14,$T$4:$AV$4,0)),"")</f>
        <v/>
      </c>
      <c r="L32" s="253" t="str">
        <f t="shared" ref="L32:AV32" si="6">IFERROR(L29/INDEX($T$29:$AV$29,MATCH($I$14,$T$4:$AV$4,0)),"")</f>
        <v/>
      </c>
      <c r="M32" s="253" t="str">
        <f t="shared" si="6"/>
        <v/>
      </c>
      <c r="N32" s="253" t="str">
        <f t="shared" si="6"/>
        <v/>
      </c>
      <c r="O32" s="253" t="str">
        <f t="shared" si="6"/>
        <v/>
      </c>
      <c r="P32" s="253" t="str">
        <f t="shared" si="6"/>
        <v/>
      </c>
      <c r="Q32" s="253" t="str">
        <f t="shared" si="6"/>
        <v/>
      </c>
      <c r="R32" s="253" t="str">
        <f t="shared" si="6"/>
        <v/>
      </c>
      <c r="S32" s="253" t="str">
        <f t="shared" si="6"/>
        <v/>
      </c>
      <c r="T32" s="253">
        <f t="shared" si="6"/>
        <v>0.56549575070821523</v>
      </c>
      <c r="U32" s="253">
        <f t="shared" si="6"/>
        <v>0.58237960339943329</v>
      </c>
      <c r="V32" s="253">
        <f t="shared" si="6"/>
        <v>0.59107648725212458</v>
      </c>
      <c r="W32" s="253">
        <f t="shared" si="6"/>
        <v>0.60345609065155803</v>
      </c>
      <c r="X32" s="253">
        <f t="shared" si="6"/>
        <v>0.62031161473087815</v>
      </c>
      <c r="Y32" s="253">
        <f t="shared" si="6"/>
        <v>0.6396033994334277</v>
      </c>
      <c r="Z32" s="253">
        <f t="shared" si="6"/>
        <v>0.65645892351274782</v>
      </c>
      <c r="AA32" s="253">
        <f t="shared" si="6"/>
        <v>0.68096317280453267</v>
      </c>
      <c r="AB32" s="253">
        <f t="shared" si="6"/>
        <v>0.70909348441926356</v>
      </c>
      <c r="AC32" s="253">
        <f t="shared" si="6"/>
        <v>0.73014164305949025</v>
      </c>
      <c r="AD32" s="253">
        <f t="shared" si="6"/>
        <v>0.73348441926345587</v>
      </c>
      <c r="AE32" s="253">
        <f t="shared" si="6"/>
        <v>0.76988668555240791</v>
      </c>
      <c r="AF32" s="253">
        <f t="shared" si="6"/>
        <v>0.8068271954674221</v>
      </c>
      <c r="AG32" s="253">
        <f t="shared" si="6"/>
        <v>0.83175637393767698</v>
      </c>
      <c r="AH32" s="253">
        <f t="shared" si="6"/>
        <v>0.85575070821529742</v>
      </c>
      <c r="AI32" s="253">
        <f t="shared" si="6"/>
        <v>0.87252124645892348</v>
      </c>
      <c r="AJ32" s="253">
        <f t="shared" si="6"/>
        <v>0.88192634560906513</v>
      </c>
      <c r="AK32" s="253">
        <f t="shared" si="6"/>
        <v>0.9008215297450427</v>
      </c>
      <c r="AL32" s="253">
        <f t="shared" si="6"/>
        <v>0.93453257790368272</v>
      </c>
      <c r="AM32" s="253">
        <f t="shared" si="6"/>
        <v>0.96308781869688376</v>
      </c>
      <c r="AN32" s="253">
        <f t="shared" si="6"/>
        <v>0.98801699716713864</v>
      </c>
      <c r="AO32" s="253">
        <f t="shared" si="6"/>
        <v>1</v>
      </c>
      <c r="AP32" s="253">
        <f t="shared" si="6"/>
        <v>1.0577620396600564</v>
      </c>
      <c r="AQ32" s="506">
        <f t="shared" si="6"/>
        <v>1.1939376770538244</v>
      </c>
      <c r="AR32" s="253">
        <f t="shared" si="6"/>
        <v>1.2891506141768156</v>
      </c>
      <c r="AS32" s="253">
        <f t="shared" si="6"/>
        <v>1.3284361388165782</v>
      </c>
      <c r="AT32" s="253">
        <f t="shared" si="6"/>
        <v>1.3511547218960771</v>
      </c>
      <c r="AU32" s="253">
        <f t="shared" si="6"/>
        <v>1.3719916643626167</v>
      </c>
      <c r="AV32" s="253">
        <f t="shared" si="6"/>
        <v>1.3966351746111914</v>
      </c>
      <c r="AW32" s="2"/>
    </row>
    <row r="33" spans="1:49" ht="15">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5">
      <c r="A34" s="2"/>
      <c r="B34" s="2"/>
      <c r="C34" s="2"/>
      <c r="D34" s="2"/>
      <c r="E34" s="7" t="s">
        <v>1274</v>
      </c>
      <c r="F34" s="2"/>
      <c r="G34" s="2" t="s">
        <v>604</v>
      </c>
      <c r="H34" s="2" t="s">
        <v>1275</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7"/>
      <c r="AR34" s="305">
        <v>0.03</v>
      </c>
      <c r="AS34" s="305">
        <v>0.03</v>
      </c>
      <c r="AT34" s="305">
        <v>0.03</v>
      </c>
      <c r="AU34" s="305">
        <v>0.03</v>
      </c>
      <c r="AV34" s="305">
        <v>0.03</v>
      </c>
      <c r="AW34" s="2"/>
    </row>
    <row r="35" spans="1:49" ht="15">
      <c r="A35" s="2"/>
      <c r="B35" s="2"/>
      <c r="C35" s="2"/>
      <c r="D35" s="2"/>
      <c r="E35" s="7" t="s">
        <v>1276</v>
      </c>
      <c r="F35" s="2"/>
      <c r="G35" s="2" t="s">
        <v>604</v>
      </c>
      <c r="H35" s="2" t="s">
        <v>1277</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7"/>
      <c r="AR35" s="305">
        <v>0.02</v>
      </c>
      <c r="AS35" s="305">
        <v>0.02</v>
      </c>
      <c r="AT35" s="305">
        <v>0.02</v>
      </c>
      <c r="AU35" s="305">
        <v>0.02</v>
      </c>
      <c r="AV35" s="305">
        <v>0.02</v>
      </c>
      <c r="AW35" s="2"/>
    </row>
    <row r="36" spans="1:49" ht="15">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5">
      <c r="A37" s="2"/>
      <c r="B37" s="2"/>
      <c r="C37" s="20" t="s">
        <v>1278</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4"/>
      <c r="AG37" s="20"/>
      <c r="AH37" s="391"/>
      <c r="AI37" s="20"/>
      <c r="AJ37" s="20"/>
      <c r="AK37" s="20"/>
      <c r="AL37" s="20"/>
      <c r="AM37" s="20"/>
      <c r="AN37" s="20"/>
      <c r="AO37" s="20"/>
      <c r="AP37" s="20"/>
      <c r="AQ37" s="39"/>
      <c r="AR37" s="20"/>
      <c r="AS37" s="20"/>
      <c r="AT37" s="20"/>
      <c r="AU37" s="20"/>
      <c r="AV37" s="20"/>
      <c r="AW37" s="2"/>
    </row>
    <row r="38" spans="1:49" ht="15">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5">
      <c r="A39" s="2"/>
      <c r="B39" s="2"/>
      <c r="C39" s="2"/>
      <c r="D39" s="2"/>
      <c r="E39" s="7" t="s">
        <v>1279</v>
      </c>
      <c r="F39" s="2"/>
      <c r="G39" s="2" t="s">
        <v>868</v>
      </c>
      <c r="H39" s="2"/>
      <c r="I39" s="2"/>
      <c r="J39" s="2"/>
      <c r="K39" s="251" t="str">
        <f t="shared" ref="K39:S39" si="7">IF(DATE($I8, $I9, $I12) &gt;= DATE(K$6 - 1, $I11, $I12),"OUTTURN","FORECAST")</f>
        <v>OUTTURN</v>
      </c>
      <c r="L39" s="251" t="str">
        <f t="shared" si="7"/>
        <v>OUTTURN</v>
      </c>
      <c r="M39" s="251" t="str">
        <f t="shared" si="7"/>
        <v>OUTTURN</v>
      </c>
      <c r="N39" s="251" t="str">
        <f t="shared" si="7"/>
        <v>OUTTURN</v>
      </c>
      <c r="O39" s="251" t="str">
        <f t="shared" si="7"/>
        <v>OUTTURN</v>
      </c>
      <c r="P39" s="251" t="str">
        <f t="shared" si="7"/>
        <v>OUTTURN</v>
      </c>
      <c r="Q39" s="251" t="str">
        <f t="shared" si="7"/>
        <v>OUTTURN</v>
      </c>
      <c r="R39" s="251" t="str">
        <f t="shared" si="7"/>
        <v>OUTTURN</v>
      </c>
      <c r="S39" s="251" t="str">
        <f t="shared" si="7"/>
        <v>OUTTURN</v>
      </c>
      <c r="T39" s="251" t="str">
        <f>IF(DATE($I8, $I9, $I12) &gt;= DATE(T$6 - 1, $I11, $I12),"OUTTURN","FORECAST")</f>
        <v>OUTTURN</v>
      </c>
      <c r="U39" s="251" t="str">
        <f t="shared" ref="U39:AV39" si="8">IF(DATE($I8, $I9, $I12) &gt;= DATE(U$6 - 1, $I11, $I12),"OUTTURN","FORECAST")</f>
        <v>OUTTURN</v>
      </c>
      <c r="V39" s="251" t="str">
        <f t="shared" si="8"/>
        <v>OUTTURN</v>
      </c>
      <c r="W39" s="251" t="str">
        <f t="shared" si="8"/>
        <v>OUTTURN</v>
      </c>
      <c r="X39" s="251" t="str">
        <f t="shared" si="8"/>
        <v>OUTTURN</v>
      </c>
      <c r="Y39" s="251" t="str">
        <f t="shared" si="8"/>
        <v>OUTTURN</v>
      </c>
      <c r="Z39" s="251" t="str">
        <f t="shared" si="8"/>
        <v>OUTTURN</v>
      </c>
      <c r="AA39" s="251" t="str">
        <f t="shared" si="8"/>
        <v>OUTTURN</v>
      </c>
      <c r="AB39" s="251" t="str">
        <f t="shared" si="8"/>
        <v>OUTTURN</v>
      </c>
      <c r="AC39" s="251" t="str">
        <f t="shared" si="8"/>
        <v>OUTTURN</v>
      </c>
      <c r="AD39" s="251" t="str">
        <f t="shared" si="8"/>
        <v>OUTTURN</v>
      </c>
      <c r="AE39" s="251" t="str">
        <f t="shared" si="8"/>
        <v>OUTTURN</v>
      </c>
      <c r="AF39" s="251" t="str">
        <f t="shared" si="8"/>
        <v>OUTTURN</v>
      </c>
      <c r="AG39" s="251" t="str">
        <f t="shared" si="8"/>
        <v>OUTTURN</v>
      </c>
      <c r="AH39" s="251" t="str">
        <f t="shared" si="8"/>
        <v>OUTTURN</v>
      </c>
      <c r="AI39" s="251" t="str">
        <f t="shared" si="8"/>
        <v>OUTTURN</v>
      </c>
      <c r="AJ39" s="251" t="str">
        <f t="shared" si="8"/>
        <v>OUTTURN</v>
      </c>
      <c r="AK39" s="251" t="str">
        <f t="shared" si="8"/>
        <v>OUTTURN</v>
      </c>
      <c r="AL39" s="251" t="str">
        <f t="shared" si="8"/>
        <v>OUTTURN</v>
      </c>
      <c r="AM39" s="251" t="str">
        <f t="shared" si="8"/>
        <v>OUTTURN</v>
      </c>
      <c r="AN39" s="251" t="str">
        <f t="shared" si="8"/>
        <v>OUTTURN</v>
      </c>
      <c r="AO39" s="251" t="str">
        <f t="shared" si="8"/>
        <v>OUTTURN</v>
      </c>
      <c r="AP39" s="251" t="str">
        <f t="shared" si="8"/>
        <v>OUTTURN</v>
      </c>
      <c r="AQ39" s="348" t="str">
        <f t="shared" si="8"/>
        <v>OUTTURN</v>
      </c>
      <c r="AR39" s="251" t="str">
        <f t="shared" si="8"/>
        <v>OUTTURN</v>
      </c>
      <c r="AS39" s="251" t="str">
        <f t="shared" si="8"/>
        <v>FORECAST</v>
      </c>
      <c r="AT39" s="251" t="str">
        <f t="shared" si="8"/>
        <v>FORECAST</v>
      </c>
      <c r="AU39" s="251" t="str">
        <f t="shared" si="8"/>
        <v>FORECAST</v>
      </c>
      <c r="AV39" s="251" t="str">
        <f t="shared" si="8"/>
        <v>FORECAST</v>
      </c>
      <c r="AW39" s="2"/>
    </row>
    <row r="40" spans="1:49" ht="15">
      <c r="A40" s="2"/>
      <c r="B40" s="2"/>
      <c r="C40" s="2"/>
      <c r="D40" s="2"/>
      <c r="E40" s="7" t="s">
        <v>1280</v>
      </c>
      <c r="F40" s="2"/>
      <c r="G40" s="2" t="s">
        <v>540</v>
      </c>
      <c r="H40" s="2"/>
      <c r="I40" s="2"/>
      <c r="J40" s="2"/>
      <c r="K40" s="206" t="str">
        <f>IFERROR(AVERAGEIFS('Monthly Inflation'!$N:$N,'Monthly Inflation'!$E:$E,"&gt;="&amp;DATE(K$6 - 1, $I11 - 1, $I12),'Monthly Inflation'!$E:$E,"&lt;="&amp;DATE(K$6 - 1, $I11, $I12)),"")</f>
        <v/>
      </c>
      <c r="L40" s="206" t="str">
        <f>IFERROR(AVERAGEIFS('Monthly Inflation'!$N:$N,'Monthly Inflation'!$E:$E,"&gt;="&amp;DATE(L$6 - 1, $I11 - 1, $I12),'Monthly Inflation'!$E:$E,"&lt;="&amp;DATE(L$6 - 1, $I11, $I12)),"")</f>
        <v/>
      </c>
      <c r="M40" s="206" t="str">
        <f>IFERROR(AVERAGEIFS('Monthly Inflation'!$N:$N,'Monthly Inflation'!$E:$E,"&gt;="&amp;DATE(M$6 - 1, $I11 - 1, $I12),'Monthly Inflation'!$E:$E,"&lt;="&amp;DATE(M$6 - 1, $I11, $I12)),"")</f>
        <v/>
      </c>
      <c r="N40" s="206" t="str">
        <f>IFERROR(AVERAGEIFS('Monthly Inflation'!$N:$N,'Monthly Inflation'!$E:$E,"&gt;="&amp;DATE(N$6 - 1, $I11 - 1, $I12),'Monthly Inflation'!$E:$E,"&lt;="&amp;DATE(N$6 - 1, $I11, $I12)),"")</f>
        <v/>
      </c>
      <c r="O40" s="206" t="str">
        <f>IFERROR(AVERAGEIFS('Monthly Inflation'!$N:$N,'Monthly Inflation'!$E:$E,"&gt;="&amp;DATE(O$6 - 1, $I11 - 1, $I12),'Monthly Inflation'!$E:$E,"&lt;="&amp;DATE(O$6 - 1, $I11, $I12)),"")</f>
        <v/>
      </c>
      <c r="P40" s="206" t="str">
        <f>IFERROR(AVERAGEIFS('Monthly Inflation'!$N:$N,'Monthly Inflation'!$E:$E,"&gt;="&amp;DATE(P$6 - 1, $I11 - 1, $I12),'Monthly Inflation'!$E:$E,"&lt;="&amp;DATE(P$6 - 1, $I11, $I12)),"")</f>
        <v/>
      </c>
      <c r="Q40" s="206" t="str">
        <f>IFERROR(AVERAGEIFS('Monthly Inflation'!$N:$N,'Monthly Inflation'!$E:$E,"&gt;="&amp;DATE(Q$6 - 1, $I11 - 1, $I12),'Monthly Inflation'!$E:$E,"&lt;="&amp;DATE(Q$6 - 1, $I11, $I12)),"")</f>
        <v/>
      </c>
      <c r="R40" s="206" t="str">
        <f>IFERROR(AVERAGEIFS('Monthly Inflation'!$N:$N,'Monthly Inflation'!$E:$E,"&gt;="&amp;DATE(R$6 - 1, $I11 - 1, $I12),'Monthly Inflation'!$E:$E,"&lt;="&amp;DATE(R$6 - 1, $I11, $I12)),"")</f>
        <v/>
      </c>
      <c r="S40" s="206" t="str">
        <f>IFERROR(AVERAGEIFS('Monthly Inflation'!$N:$N,'Monthly Inflation'!$E:$E,"&gt;="&amp;DATE(S$6 - 1, $I11 - 1, $I12),'Monthly Inflation'!$E:$E,"&lt;="&amp;DATE(S$6 - 1, $I11, $I12)),"")</f>
        <v/>
      </c>
      <c r="T40" s="206">
        <f>IFERROR(AVERAGEIFS('Monthly Inflation'!$N:$N,'Monthly Inflation'!$E:$E,"&gt;="&amp;DATE(T$6 - 1, $I11 - 1, $I12),'Monthly Inflation'!$E:$E,"&lt;="&amp;DATE(T$6 - 1, $I11, $I12)),"")</f>
        <v>165.2</v>
      </c>
      <c r="U40" s="206">
        <f>IFERROR(AVERAGEIFS('Monthly Inflation'!$N:$N,'Monthly Inflation'!$E:$E,"&gt;="&amp;DATE(U$6 - 1, $I11 - 1, $I12),'Monthly Inflation'!$E:$E,"&lt;="&amp;DATE(U$6 - 1, $I11, $I12)),"")</f>
        <v>169.25</v>
      </c>
      <c r="V40" s="206">
        <f>IFERROR(AVERAGEIFS('Monthly Inflation'!$N:$N,'Monthly Inflation'!$E:$E,"&gt;="&amp;DATE(V$6 - 1, $I11 - 1, $I12),'Monthly Inflation'!$E:$E,"&lt;="&amp;DATE(V$6 - 1, $I11, $I12)),"")</f>
        <v>172.64999999999998</v>
      </c>
      <c r="W40" s="206">
        <f>IFERROR(AVERAGEIFS('Monthly Inflation'!$N:$N,'Monthly Inflation'!$E:$E,"&gt;="&amp;DATE(W$6 - 1, $I11 - 1, $I12),'Monthly Inflation'!$E:$E,"&lt;="&amp;DATE(W$6 - 1, $I11, $I12)),"")</f>
        <v>175.1</v>
      </c>
      <c r="X40" s="206">
        <f>IFERROR(AVERAGEIFS('Monthly Inflation'!$N:$N,'Monthly Inflation'!$E:$E,"&gt;="&amp;DATE(X$6 - 1, $I11 - 1, $I12),'Monthly Inflation'!$E:$E,"&lt;="&amp;DATE(X$6 - 1, $I11, $I12)),"")</f>
        <v>180.55</v>
      </c>
      <c r="Y40" s="206">
        <f>IFERROR(AVERAGEIFS('Monthly Inflation'!$N:$N,'Monthly Inflation'!$E:$E,"&gt;="&amp;DATE(Y$6 - 1, $I11 - 1, $I12),'Monthly Inflation'!$E:$E,"&lt;="&amp;DATE(Y$6 - 1, $I11, $I12)),"")</f>
        <v>185.14999999999998</v>
      </c>
      <c r="Z40" s="206">
        <f>IFERROR(AVERAGEIFS('Monthly Inflation'!$N:$N,'Monthly Inflation'!$E:$E,"&gt;="&amp;DATE(Z$6 - 1, $I11 - 1, $I12),'Monthly Inflation'!$E:$E,"&lt;="&amp;DATE(Z$6 - 1, $I11, $I12)),"")</f>
        <v>191.05</v>
      </c>
      <c r="AA40" s="206">
        <f>IFERROR(AVERAGEIFS('Monthly Inflation'!$N:$N,'Monthly Inflation'!$E:$E,"&gt;="&amp;DATE(AA$6 - 1, $I11 - 1, $I12),'Monthly Inflation'!$E:$E,"&lt;="&amp;DATE(AA$6 - 1, $I11, $I12)),"")</f>
        <v>195.75</v>
      </c>
      <c r="AB40" s="206">
        <f>IFERROR(AVERAGEIFS('Monthly Inflation'!$N:$N,'Monthly Inflation'!$E:$E,"&gt;="&amp;DATE(AB$6 - 1, $I11 - 1, $I12),'Monthly Inflation'!$E:$E,"&lt;="&amp;DATE(AB$6 - 1, $I11, $I12)),"")</f>
        <v>204.9</v>
      </c>
      <c r="AC40" s="206">
        <f>IFERROR(AVERAGEIFS('Monthly Inflation'!$N:$N,'Monthly Inflation'!$E:$E,"&gt;="&amp;DATE(AC$6 - 1, $I11 - 1, $I12),'Monthly Inflation'!$E:$E,"&lt;="&amp;DATE(AC$6 - 1, $I11, $I12)),"")</f>
        <v>213.05</v>
      </c>
      <c r="AD40" s="206">
        <f>IFERROR(AVERAGEIFS('Monthly Inflation'!$N:$N,'Monthly Inflation'!$E:$E,"&gt;="&amp;DATE(AD$6 - 1, $I11 - 1, $I12),'Monthly Inflation'!$E:$E,"&lt;="&amp;DATE(AD$6 - 1, $I11, $I12)),"")</f>
        <v>211.4</v>
      </c>
      <c r="AE40" s="206">
        <f>IFERROR(AVERAGEIFS('Monthly Inflation'!$N:$N,'Monthly Inflation'!$E:$E,"&gt;="&amp;DATE(AE$6 - 1, $I11 - 1, $I12),'Monthly Inflation'!$E:$E,"&lt;="&amp;DATE(AE$6 - 1, $I11, $I12)),"")</f>
        <v>221.75</v>
      </c>
      <c r="AF40" s="206">
        <f>IFERROR(AVERAGEIFS('Monthly Inflation'!$N:$N,'Monthly Inflation'!$E:$E,"&gt;="&amp;DATE(AF$6 - 1, $I11 - 1, $I12),'Monthly Inflation'!$E:$E,"&lt;="&amp;DATE(AF$6 - 1, $I11, $I12)),"")</f>
        <v>233.45</v>
      </c>
      <c r="AG40" s="206">
        <f>IFERROR(AVERAGEIFS('Monthly Inflation'!$N:$N,'Monthly Inflation'!$E:$E,"&gt;="&amp;DATE(AG$6 - 1, $I11 - 1, $I12),'Monthly Inflation'!$E:$E,"&lt;="&amp;DATE(AG$6 - 1, $I11, $I12)),"")</f>
        <v>241.65</v>
      </c>
      <c r="AH40" s="206">
        <f>IFERROR(AVERAGEIFS('Monthly Inflation'!$N:$N,'Monthly Inflation'!$E:$E,"&gt;="&amp;DATE(AH$6 - 1, $I11 - 1, $I12),'Monthly Inflation'!$E:$E,"&lt;="&amp;DATE(AH$6 - 1, $I11, $I12)),"")</f>
        <v>249.1</v>
      </c>
      <c r="AI40" s="206">
        <f>IFERROR(AVERAGEIFS('Monthly Inflation'!$N:$N,'Monthly Inflation'!$E:$E,"&gt;="&amp;DATE(AI$6 - 1, $I11 - 1, $I12),'Monthly Inflation'!$E:$E,"&lt;="&amp;DATE(AI$6 - 1, $I11, $I12)),"")</f>
        <v>255.25</v>
      </c>
      <c r="AJ40" s="206">
        <f>IFERROR(AVERAGEIFS('Monthly Inflation'!$N:$N,'Monthly Inflation'!$E:$E,"&gt;="&amp;DATE(AJ$6 - 1, $I11 - 1, $I12),'Monthly Inflation'!$E:$E,"&lt;="&amp;DATE(AJ$6 - 1, $I11, $I12)),"")</f>
        <v>257.55</v>
      </c>
      <c r="AK40" s="206">
        <f>IFERROR(AVERAGEIFS('Monthly Inflation'!$N:$N,'Monthly Inflation'!$E:$E,"&gt;="&amp;DATE(AK$6 - 1, $I11 - 1, $I12),'Monthly Inflation'!$E:$E,"&lt;="&amp;DATE(AK$6 - 1, $I11, $I12)),"")</f>
        <v>261.25</v>
      </c>
      <c r="AL40" s="206">
        <f>IFERROR(AVERAGEIFS('Monthly Inflation'!$N:$N,'Monthly Inflation'!$E:$E,"&gt;="&amp;DATE(AL$6 - 1, $I11 - 1, $I12),'Monthly Inflation'!$E:$E,"&lt;="&amp;DATE(AL$6 - 1, $I11, $I12)),"")</f>
        <v>269.95000000000005</v>
      </c>
      <c r="AM40" s="206">
        <f>IFERROR(AVERAGEIFS('Monthly Inflation'!$N:$N,'Monthly Inflation'!$E:$E,"&gt;="&amp;DATE(AM$6 - 1, $I11 - 1, $I12),'Monthly Inflation'!$E:$E,"&lt;="&amp;DATE(AM$6 - 1, $I11, $I12)),"")</f>
        <v>279</v>
      </c>
      <c r="AN40" s="206">
        <f>IFERROR(AVERAGEIFS('Monthly Inflation'!$N:$N,'Monthly Inflation'!$E:$E,"&gt;="&amp;DATE(AN$6 - 1, $I11 - 1, $I12),'Monthly Inflation'!$E:$E,"&lt;="&amp;DATE(AN$6 - 1, $I11, $I12)),"")</f>
        <v>286.64999999999998</v>
      </c>
      <c r="AO40" s="206">
        <f>IFERROR(AVERAGEIFS('Monthly Inflation'!$N:$N,'Monthly Inflation'!$E:$E,"&gt;="&amp;DATE(AO$6 - 1, $I11 - 1, $I12),'Monthly Inflation'!$E:$E,"&lt;="&amp;DATE(AO$6 - 1, $I11, $I12)),"")</f>
        <v>292.60000000000002</v>
      </c>
      <c r="AP40" s="206">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6">
        <f>IFERROR(AVERAGEIFS('Monthly Inflation'!$N:$N,'Monthly Inflation'!$E:$E,"&gt;="&amp;DATE(AR$6 - 1, $I11 - 1, $I12),'Monthly Inflation'!$E:$E,"&lt;="&amp;DATE(AR$6 - 1, $I11, $I12)),"")</f>
        <v>369.68596214511041</v>
      </c>
      <c r="AS40" s="206">
        <f>IFERROR(AVERAGEIFS('Monthly Inflation'!$N:$N,'Monthly Inflation'!$E:$E,"&gt;="&amp;DATE(AS$6 - 1, $I11 - 1, $I12),'Monthly Inflation'!$E:$E,"&lt;="&amp;DATE(AS$6 - 1, $I11, $I12)),"")</f>
        <v>386.05521369596647</v>
      </c>
      <c r="AT40" s="206">
        <f>IFERROR(AVERAGEIFS('Monthly Inflation'!$N:$N,'Monthly Inflation'!$E:$E,"&gt;="&amp;DATE(AT$6 - 1, $I11 - 1, $I12),'Monthly Inflation'!$E:$E,"&lt;="&amp;DATE(AT$6 - 1, $I11, $I12)),"")</f>
        <v>394.3772720003775</v>
      </c>
      <c r="AU40" s="206">
        <f>IFERROR(AVERAGEIFS('Monthly Inflation'!$N:$N,'Monthly Inflation'!$E:$E,"&gt;="&amp;DATE(AU$6 - 1, $I11 - 1, $I12),'Monthly Inflation'!$E:$E,"&lt;="&amp;DATE(AU$6 - 1, $I11, $I12)),"")</f>
        <v>400.3528760091906</v>
      </c>
      <c r="AV40" s="206">
        <f>IFERROR(AVERAGEIFS('Monthly Inflation'!$N:$N,'Monthly Inflation'!$E:$E,"&gt;="&amp;DATE(AV$6 - 1, $I11 - 1, $I12),'Monthly Inflation'!$E:$E,"&lt;="&amp;DATE(AV$6 - 1, $I11, $I12)),"")</f>
        <v>407.04134692098194</v>
      </c>
      <c r="AW40" s="2"/>
    </row>
    <row r="41" spans="1:49" ht="15">
      <c r="A41" s="2"/>
      <c r="B41" s="2"/>
      <c r="C41" s="2"/>
      <c r="D41" s="2"/>
      <c r="E41" s="7"/>
      <c r="F41" s="2"/>
      <c r="G41" s="2"/>
      <c r="H41" s="2"/>
      <c r="I41" s="2"/>
      <c r="J41" s="2"/>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350"/>
      <c r="AR41" s="255"/>
      <c r="AS41" s="255"/>
      <c r="AT41" s="255"/>
      <c r="AU41" s="255"/>
      <c r="AV41" s="255"/>
      <c r="AW41" s="2"/>
    </row>
    <row r="42" spans="1:49" ht="15">
      <c r="A42" s="2"/>
      <c r="B42" s="2"/>
      <c r="C42" s="2"/>
      <c r="D42" s="2"/>
      <c r="E42" s="7" t="s">
        <v>1281</v>
      </c>
      <c r="F42" s="2"/>
      <c r="G42" s="2" t="s">
        <v>868</v>
      </c>
      <c r="H42" s="2"/>
      <c r="I42" s="2"/>
      <c r="J42" s="2"/>
      <c r="K42" s="251" t="str">
        <f t="shared" ref="K42:S42" si="9">IF(DATE($I8, $I9, $I12) &gt;= DATE(K$6, $I11, $I12),"OUTTURN","FORECAST")</f>
        <v>OUTTURN</v>
      </c>
      <c r="L42" s="251" t="str">
        <f t="shared" si="9"/>
        <v>OUTTURN</v>
      </c>
      <c r="M42" s="251" t="str">
        <f t="shared" si="9"/>
        <v>OUTTURN</v>
      </c>
      <c r="N42" s="251" t="str">
        <f t="shared" si="9"/>
        <v>OUTTURN</v>
      </c>
      <c r="O42" s="251" t="str">
        <f t="shared" si="9"/>
        <v>OUTTURN</v>
      </c>
      <c r="P42" s="251" t="str">
        <f t="shared" si="9"/>
        <v>OUTTURN</v>
      </c>
      <c r="Q42" s="251" t="str">
        <f t="shared" si="9"/>
        <v>OUTTURN</v>
      </c>
      <c r="R42" s="251" t="str">
        <f t="shared" si="9"/>
        <v>OUTTURN</v>
      </c>
      <c r="S42" s="251" t="str">
        <f t="shared" si="9"/>
        <v>OUTTURN</v>
      </c>
      <c r="T42" s="251" t="str">
        <f>IF(DATE($I8, $I9, $I12) &gt;= DATE(T$6, $I11, $I12),"OUTTURN","FORECAST")</f>
        <v>OUTTURN</v>
      </c>
      <c r="U42" s="251" t="str">
        <f t="shared" ref="U42:AV42" si="10">IF(DATE($I8, $I9, $I12) &gt;= DATE(U$6, $I11, $I12),"OUTTURN","FORECAST")</f>
        <v>OUTTURN</v>
      </c>
      <c r="V42" s="251" t="str">
        <f t="shared" si="10"/>
        <v>OUTTURN</v>
      </c>
      <c r="W42" s="251" t="str">
        <f t="shared" si="10"/>
        <v>OUTTURN</v>
      </c>
      <c r="X42" s="251" t="str">
        <f t="shared" si="10"/>
        <v>OUTTURN</v>
      </c>
      <c r="Y42" s="251" t="str">
        <f t="shared" si="10"/>
        <v>OUTTURN</v>
      </c>
      <c r="Z42" s="251" t="str">
        <f t="shared" si="10"/>
        <v>OUTTURN</v>
      </c>
      <c r="AA42" s="251" t="str">
        <f t="shared" si="10"/>
        <v>OUTTURN</v>
      </c>
      <c r="AB42" s="251" t="str">
        <f t="shared" si="10"/>
        <v>OUTTURN</v>
      </c>
      <c r="AC42" s="251" t="str">
        <f t="shared" si="10"/>
        <v>OUTTURN</v>
      </c>
      <c r="AD42" s="251" t="str">
        <f t="shared" si="10"/>
        <v>OUTTURN</v>
      </c>
      <c r="AE42" s="251" t="str">
        <f t="shared" si="10"/>
        <v>OUTTURN</v>
      </c>
      <c r="AF42" s="251" t="str">
        <f t="shared" si="10"/>
        <v>OUTTURN</v>
      </c>
      <c r="AG42" s="251" t="str">
        <f t="shared" si="10"/>
        <v>OUTTURN</v>
      </c>
      <c r="AH42" s="251" t="str">
        <f t="shared" si="10"/>
        <v>OUTTURN</v>
      </c>
      <c r="AI42" s="251" t="str">
        <f t="shared" si="10"/>
        <v>OUTTURN</v>
      </c>
      <c r="AJ42" s="251" t="str">
        <f t="shared" si="10"/>
        <v>OUTTURN</v>
      </c>
      <c r="AK42" s="251" t="str">
        <f t="shared" si="10"/>
        <v>OUTTURN</v>
      </c>
      <c r="AL42" s="251" t="str">
        <f t="shared" si="10"/>
        <v>OUTTURN</v>
      </c>
      <c r="AM42" s="251" t="str">
        <f t="shared" si="10"/>
        <v>OUTTURN</v>
      </c>
      <c r="AN42" s="251" t="str">
        <f t="shared" si="10"/>
        <v>OUTTURN</v>
      </c>
      <c r="AO42" s="251" t="str">
        <f t="shared" si="10"/>
        <v>OUTTURN</v>
      </c>
      <c r="AP42" s="251" t="str">
        <f t="shared" si="10"/>
        <v>OUTTURN</v>
      </c>
      <c r="AQ42" s="348" t="str">
        <f t="shared" si="10"/>
        <v>OUTTURN</v>
      </c>
      <c r="AR42" s="251" t="str">
        <f t="shared" si="10"/>
        <v>FORECAST</v>
      </c>
      <c r="AS42" s="251" t="str">
        <f t="shared" si="10"/>
        <v>FORECAST</v>
      </c>
      <c r="AT42" s="251" t="str">
        <f t="shared" si="10"/>
        <v>FORECAST</v>
      </c>
      <c r="AU42" s="251" t="str">
        <f t="shared" si="10"/>
        <v>FORECAST</v>
      </c>
      <c r="AV42" s="251" t="str">
        <f t="shared" si="10"/>
        <v>FORECAST</v>
      </c>
      <c r="AW42" s="2"/>
    </row>
    <row r="43" spans="1:49" ht="15">
      <c r="A43" s="2"/>
      <c r="B43" s="2"/>
      <c r="C43" s="2"/>
      <c r="D43" s="2"/>
      <c r="E43" s="7" t="s">
        <v>0</v>
      </c>
      <c r="F43" s="2"/>
      <c r="G43" s="2" t="s">
        <v>540</v>
      </c>
      <c r="H43" s="2"/>
      <c r="I43" s="2"/>
      <c r="J43" s="2"/>
      <c r="K43" s="206" t="str">
        <f>IFERROR(AVERAGEIFS('Monthly Inflation'!$N:$N,'Monthly Inflation'!$E:$E,"&gt;="&amp;DATE(K$6,$I11 - 1, $I12),'Monthly Inflation'!$E:$E,"&lt;="&amp;DATE(K$6, $I11, $I12)),"")</f>
        <v/>
      </c>
      <c r="L43" s="206" t="str">
        <f>IFERROR(AVERAGEIFS('Monthly Inflation'!$N:$N,'Monthly Inflation'!$E:$E,"&gt;="&amp;DATE(L$6,$I11 - 1, $I12),'Monthly Inflation'!$E:$E,"&lt;="&amp;DATE(L$6, $I11, $I12)),"")</f>
        <v/>
      </c>
      <c r="M43" s="206" t="str">
        <f>IFERROR(AVERAGEIFS('Monthly Inflation'!$N:$N,'Monthly Inflation'!$E:$E,"&gt;="&amp;DATE(M$6,$I11 - 1, $I12),'Monthly Inflation'!$E:$E,"&lt;="&amp;DATE(M$6, $I11, $I12)),"")</f>
        <v/>
      </c>
      <c r="N43" s="206" t="str">
        <f>IFERROR(AVERAGEIFS('Monthly Inflation'!$N:$N,'Monthly Inflation'!$E:$E,"&gt;="&amp;DATE(N$6,$I11 - 1, $I12),'Monthly Inflation'!$E:$E,"&lt;="&amp;DATE(N$6, $I11, $I12)),"")</f>
        <v/>
      </c>
      <c r="O43" s="206" t="str">
        <f>IFERROR(AVERAGEIFS('Monthly Inflation'!$N:$N,'Monthly Inflation'!$E:$E,"&gt;="&amp;DATE(O$6,$I11 - 1, $I12),'Monthly Inflation'!$E:$E,"&lt;="&amp;DATE(O$6, $I11, $I12)),"")</f>
        <v/>
      </c>
      <c r="P43" s="206" t="str">
        <f>IFERROR(AVERAGEIFS('Monthly Inflation'!$N:$N,'Monthly Inflation'!$E:$E,"&gt;="&amp;DATE(P$6,$I11 - 1, $I12),'Monthly Inflation'!$E:$E,"&lt;="&amp;DATE(P$6, $I11, $I12)),"")</f>
        <v/>
      </c>
      <c r="Q43" s="206" t="str">
        <f>IFERROR(AVERAGEIFS('Monthly Inflation'!$N:$N,'Monthly Inflation'!$E:$E,"&gt;="&amp;DATE(Q$6,$I11 - 1, $I12),'Monthly Inflation'!$E:$E,"&lt;="&amp;DATE(Q$6, $I11, $I12)),"")</f>
        <v/>
      </c>
      <c r="R43" s="206" t="str">
        <f>IFERROR(AVERAGEIFS('Monthly Inflation'!$N:$N,'Monthly Inflation'!$E:$E,"&gt;="&amp;DATE(R$6,$I11 - 1, $I12),'Monthly Inflation'!$E:$E,"&lt;="&amp;DATE(R$6, $I11, $I12)),"")</f>
        <v/>
      </c>
      <c r="S43" s="206">
        <f>IFERROR(AVERAGEIFS('Monthly Inflation'!$N:$N,'Monthly Inflation'!$E:$E,"&gt;="&amp;DATE(S$6,$I11 - 1, $I12),'Monthly Inflation'!$E:$E,"&lt;="&amp;DATE(S$6, $I11, $I12)),"")</f>
        <v>165.2</v>
      </c>
      <c r="T43" s="206">
        <f>IFERROR(AVERAGEIFS('Monthly Inflation'!$N:$N,'Monthly Inflation'!$E:$E,"&gt;="&amp;DATE(T$6,$I11 - 1, $I12),'Monthly Inflation'!$E:$E,"&lt;="&amp;DATE(T$6, $I11, $I12)),"")</f>
        <v>169.25</v>
      </c>
      <c r="U43" s="206">
        <f>IFERROR(AVERAGEIFS('Monthly Inflation'!$N:$N,'Monthly Inflation'!$E:$E,"&gt;="&amp;DATE(U$6,$I11 - 1, $I12),'Monthly Inflation'!$E:$E,"&lt;="&amp;DATE(U$6, $I11, $I12)),"")</f>
        <v>172.64999999999998</v>
      </c>
      <c r="V43" s="206">
        <f>IFERROR(AVERAGEIFS('Monthly Inflation'!$N:$N,'Monthly Inflation'!$E:$E,"&gt;="&amp;DATE(V$6,$I11 - 1, $I12),'Monthly Inflation'!$E:$E,"&lt;="&amp;DATE(V$6, $I11, $I12)),"")</f>
        <v>175.1</v>
      </c>
      <c r="W43" s="206">
        <f>IFERROR(AVERAGEIFS('Monthly Inflation'!$N:$N,'Monthly Inflation'!$E:$E,"&gt;="&amp;DATE(W$6,$I11 - 1, $I12),'Monthly Inflation'!$E:$E,"&lt;="&amp;DATE(W$6, $I11, $I12)),"")</f>
        <v>180.55</v>
      </c>
      <c r="X43" s="206">
        <f>IFERROR(AVERAGEIFS('Monthly Inflation'!$N:$N,'Monthly Inflation'!$E:$E,"&gt;="&amp;DATE(X$6,$I11 - 1, $I12),'Monthly Inflation'!$E:$E,"&lt;="&amp;DATE(X$6, $I11, $I12)),"")</f>
        <v>185.14999999999998</v>
      </c>
      <c r="Y43" s="206">
        <f>IFERROR(AVERAGEIFS('Monthly Inflation'!$N:$N,'Monthly Inflation'!$E:$E,"&gt;="&amp;DATE(Y$6,$I11 - 1, $I12),'Monthly Inflation'!$E:$E,"&lt;="&amp;DATE(Y$6, $I11, $I12)),"")</f>
        <v>191.05</v>
      </c>
      <c r="Z43" s="206">
        <f>IFERROR(AVERAGEIFS('Monthly Inflation'!$N:$N,'Monthly Inflation'!$E:$E,"&gt;="&amp;DATE(Z$6,$I11 - 1, $I12),'Monthly Inflation'!$E:$E,"&lt;="&amp;DATE(Z$6, $I11, $I12)),"")</f>
        <v>195.75</v>
      </c>
      <c r="AA43" s="206">
        <f>IFERROR(AVERAGEIFS('Monthly Inflation'!$N:$N,'Monthly Inflation'!$E:$E,"&gt;="&amp;DATE(AA$6,$I11 - 1, $I12),'Monthly Inflation'!$E:$E,"&lt;="&amp;DATE(AA$6, $I11, $I12)),"")</f>
        <v>204.9</v>
      </c>
      <c r="AB43" s="206">
        <f>IFERROR(AVERAGEIFS('Monthly Inflation'!$N:$N,'Monthly Inflation'!$E:$E,"&gt;="&amp;DATE(AB$6,$I11 - 1, $I12),'Monthly Inflation'!$E:$E,"&lt;="&amp;DATE(AB$6, $I11, $I12)),"")</f>
        <v>213.05</v>
      </c>
      <c r="AC43" s="206">
        <f>IFERROR(AVERAGEIFS('Monthly Inflation'!$N:$N,'Monthly Inflation'!$E:$E,"&gt;="&amp;DATE(AC$6,$I11 - 1, $I12),'Monthly Inflation'!$E:$E,"&lt;="&amp;DATE(AC$6, $I11, $I12)),"")</f>
        <v>211.4</v>
      </c>
      <c r="AD43" s="206">
        <f>IFERROR(AVERAGEIFS('Monthly Inflation'!$N:$N,'Monthly Inflation'!$E:$E,"&gt;="&amp;DATE(AD$6,$I11 - 1, $I12),'Monthly Inflation'!$E:$E,"&lt;="&amp;DATE(AD$6, $I11, $I12)),"")</f>
        <v>221.75</v>
      </c>
      <c r="AE43" s="206">
        <f>IFERROR(AVERAGEIFS('Monthly Inflation'!$N:$N,'Monthly Inflation'!$E:$E,"&gt;="&amp;DATE(AE$6,$I11 - 1, $I12),'Monthly Inflation'!$E:$E,"&lt;="&amp;DATE(AE$6, $I11, $I12)),"")</f>
        <v>233.45</v>
      </c>
      <c r="AF43" s="206">
        <f>IFERROR(AVERAGEIFS('Monthly Inflation'!$N:$N,'Monthly Inflation'!$E:$E,"&gt;="&amp;DATE(AF$6,$I11 - 1, $I12),'Monthly Inflation'!$E:$E,"&lt;="&amp;DATE(AF$6, $I11, $I12)),"")</f>
        <v>241.65</v>
      </c>
      <c r="AG43" s="206">
        <f>IFERROR(AVERAGEIFS('Monthly Inflation'!$N:$N,'Monthly Inflation'!$E:$E,"&gt;="&amp;DATE(AG$6,$I11 - 1, $I12),'Monthly Inflation'!$E:$E,"&lt;="&amp;DATE(AG$6, $I11, $I12)),"")</f>
        <v>249.1</v>
      </c>
      <c r="AH43" s="206">
        <f>IFERROR(AVERAGEIFS('Monthly Inflation'!$N:$N,'Monthly Inflation'!$E:$E,"&gt;="&amp;DATE(AH$6,$I11 - 1, $I12),'Monthly Inflation'!$E:$E,"&lt;="&amp;DATE(AH$6, $I11, $I12)),"")</f>
        <v>255.25</v>
      </c>
      <c r="AI43" s="206">
        <f>IFERROR(AVERAGEIFS('Monthly Inflation'!$N:$N,'Monthly Inflation'!$E:$E,"&gt;="&amp;DATE(AI$6,$I11 - 1, $I12),'Monthly Inflation'!$E:$E,"&lt;="&amp;DATE(AI$6, $I11, $I12)),"")</f>
        <v>257.55</v>
      </c>
      <c r="AJ43" s="206">
        <f>IFERROR(AVERAGEIFS('Monthly Inflation'!$N:$N,'Monthly Inflation'!$E:$E,"&gt;="&amp;DATE(AJ$6,$I11 - 1, $I12),'Monthly Inflation'!$E:$E,"&lt;="&amp;DATE(AJ$6, $I11, $I12)),"")</f>
        <v>261.25</v>
      </c>
      <c r="AK43" s="206">
        <f>IFERROR(AVERAGEIFS('Monthly Inflation'!$N:$N,'Monthly Inflation'!$E:$E,"&gt;="&amp;DATE(AK$6,$I11 - 1, $I12),'Monthly Inflation'!$E:$E,"&lt;="&amp;DATE(AK$6, $I11, $I12)),"")</f>
        <v>269.95000000000005</v>
      </c>
      <c r="AL43" s="206">
        <f>IFERROR(AVERAGEIFS('Monthly Inflation'!$N:$N,'Monthly Inflation'!$E:$E,"&gt;="&amp;DATE(AL$6,$I11 - 1, $I12),'Monthly Inflation'!$E:$E,"&lt;="&amp;DATE(AL$6, $I11, $I12)),"")</f>
        <v>279</v>
      </c>
      <c r="AM43" s="206">
        <f>IFERROR(AVERAGEIFS('Monthly Inflation'!$N:$N,'Monthly Inflation'!$E:$E,"&gt;="&amp;DATE(AM$6,$I11 - 1, $I12),'Monthly Inflation'!$E:$E,"&lt;="&amp;DATE(AM$6, $I11, $I12)),"")</f>
        <v>286.64999999999998</v>
      </c>
      <c r="AN43" s="206">
        <f>IFERROR(AVERAGEIFS('Monthly Inflation'!$N:$N,'Monthly Inflation'!$E:$E,"&gt;="&amp;DATE(AN$6,$I11 - 1, $I12),'Monthly Inflation'!$E:$E,"&lt;="&amp;DATE(AN$6, $I11, $I12)),"")</f>
        <v>292.60000000000002</v>
      </c>
      <c r="AO43" s="206">
        <f>IFERROR(AVERAGEIFS('Monthly Inflation'!$N:$N,'Monthly Inflation'!$E:$E,"&gt;="&amp;DATE(AO$6,$I11 - 1, $I12),'Monthly Inflation'!$E:$E,"&lt;="&amp;DATE(AO$6, $I11, $I12)),"")</f>
        <v>299</v>
      </c>
      <c r="AP43" s="206">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6">
        <f>IFERROR(AVERAGEIFS('Monthly Inflation'!$N:$N,'Monthly Inflation'!$E:$E,"&gt;="&amp;DATE(AR$6,$I11 - 1, $I12),'Monthly Inflation'!$E:$E,"&lt;="&amp;DATE(AR$6, $I11, $I12)),"")</f>
        <v>386.05521369596647</v>
      </c>
      <c r="AS43" s="206">
        <f>IFERROR(AVERAGEIFS('Monthly Inflation'!$N:$N,'Monthly Inflation'!$E:$E,"&gt;="&amp;DATE(AS$6,$I11 - 1, $I12),'Monthly Inflation'!$E:$E,"&lt;="&amp;DATE(AS$6, $I11, $I12)),"")</f>
        <v>394.3772720003775</v>
      </c>
      <c r="AT43" s="206">
        <f>IFERROR(AVERAGEIFS('Monthly Inflation'!$N:$N,'Monthly Inflation'!$E:$E,"&gt;="&amp;DATE(AT$6,$I11 - 1, $I12),'Monthly Inflation'!$E:$E,"&lt;="&amp;DATE(AT$6, $I11, $I12)),"")</f>
        <v>400.3528760091906</v>
      </c>
      <c r="AU43" s="206">
        <f>IFERROR(AVERAGEIFS('Monthly Inflation'!$N:$N,'Monthly Inflation'!$E:$E,"&gt;="&amp;DATE(AU$6,$I11 - 1, $I12),'Monthly Inflation'!$E:$E,"&lt;="&amp;DATE(AU$6, $I11, $I12)),"")</f>
        <v>407.04134692098194</v>
      </c>
      <c r="AV43" s="206">
        <f>IFERROR(AVERAGEIFS('Monthly Inflation'!$N:$N,'Monthly Inflation'!$E:$E,"&gt;="&amp;DATE(AV$6,$I11 - 1, $I12),'Monthly Inflation'!$E:$E,"&lt;="&amp;DATE(AV$6, $I11, $I12)),"")</f>
        <v>414.48992277418103</v>
      </c>
      <c r="AW43" s="2"/>
    </row>
    <row r="44" spans="1:49" ht="15">
      <c r="A44" s="2"/>
      <c r="B44" s="2"/>
      <c r="C44" s="2"/>
      <c r="D44" s="2"/>
      <c r="E44" s="7"/>
      <c r="F44" s="2"/>
      <c r="G44" s="2"/>
      <c r="H44" s="2"/>
      <c r="I44" s="2"/>
      <c r="J44" s="2"/>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350"/>
      <c r="AR44" s="255"/>
      <c r="AS44" s="255"/>
      <c r="AT44" s="255"/>
      <c r="AU44" s="255"/>
      <c r="AV44" s="255"/>
      <c r="AW44" s="2"/>
    </row>
    <row r="45" spans="1:49" ht="15">
      <c r="A45" s="2"/>
      <c r="B45" s="2"/>
      <c r="C45" s="2"/>
      <c r="D45" s="2"/>
      <c r="E45" s="7" t="s">
        <v>1282</v>
      </c>
      <c r="F45" s="2"/>
      <c r="G45" s="2" t="s">
        <v>100</v>
      </c>
      <c r="H45" s="2"/>
      <c r="I45" s="2"/>
      <c r="J45" s="2"/>
      <c r="K45" s="256" t="str">
        <f>IFERROR(K40/INDEX($T$29:$AV$29,MATCH($I$14,$T$4:$AV$4,0)),"")</f>
        <v/>
      </c>
      <c r="L45" s="256" t="str">
        <f t="shared" ref="L45:AV45" si="11">IFERROR(L40/INDEX($T$29:$AV$29,MATCH($I$14,$T$4:$AV$4,0)),"")</f>
        <v/>
      </c>
      <c r="M45" s="256" t="str">
        <f t="shared" si="11"/>
        <v/>
      </c>
      <c r="N45" s="256" t="str">
        <f t="shared" si="11"/>
        <v/>
      </c>
      <c r="O45" s="256" t="str">
        <f t="shared" si="11"/>
        <v/>
      </c>
      <c r="P45" s="256" t="str">
        <f t="shared" si="11"/>
        <v/>
      </c>
      <c r="Q45" s="256" t="str">
        <f t="shared" si="11"/>
        <v/>
      </c>
      <c r="R45" s="256" t="str">
        <f t="shared" si="11"/>
        <v/>
      </c>
      <c r="S45" s="256" t="str">
        <f t="shared" si="11"/>
        <v/>
      </c>
      <c r="T45" s="256">
        <f t="shared" si="11"/>
        <v>0.56158640226628886</v>
      </c>
      <c r="U45" s="256">
        <f t="shared" si="11"/>
        <v>0.57535410764872519</v>
      </c>
      <c r="V45" s="256">
        <f t="shared" si="11"/>
        <v>0.58691218130311607</v>
      </c>
      <c r="W45" s="256">
        <f t="shared" si="11"/>
        <v>0.5952407932011331</v>
      </c>
      <c r="X45" s="256">
        <f t="shared" si="11"/>
        <v>0.6137677053824363</v>
      </c>
      <c r="Y45" s="256">
        <f t="shared" si="11"/>
        <v>0.62940509915014153</v>
      </c>
      <c r="Z45" s="256">
        <f t="shared" si="11"/>
        <v>0.64946175637393766</v>
      </c>
      <c r="AA45" s="256">
        <f t="shared" si="11"/>
        <v>0.66543909348441921</v>
      </c>
      <c r="AB45" s="256">
        <f t="shared" si="11"/>
        <v>0.6965439093484419</v>
      </c>
      <c r="AC45" s="256">
        <f t="shared" si="11"/>
        <v>0.72424929178470254</v>
      </c>
      <c r="AD45" s="256">
        <f t="shared" si="11"/>
        <v>0.71864022662889515</v>
      </c>
      <c r="AE45" s="256">
        <f t="shared" si="11"/>
        <v>0.7538243626062322</v>
      </c>
      <c r="AF45" s="256">
        <f t="shared" si="11"/>
        <v>0.79359773371104803</v>
      </c>
      <c r="AG45" s="256">
        <f t="shared" si="11"/>
        <v>0.82147308781869688</v>
      </c>
      <c r="AH45" s="256">
        <f t="shared" si="11"/>
        <v>0.84679886685552397</v>
      </c>
      <c r="AI45" s="256">
        <f t="shared" si="11"/>
        <v>0.86770538243626061</v>
      </c>
      <c r="AJ45" s="256">
        <f t="shared" si="11"/>
        <v>0.87552407932011334</v>
      </c>
      <c r="AK45" s="256">
        <f t="shared" si="11"/>
        <v>0.88810198300283283</v>
      </c>
      <c r="AL45" s="256">
        <f t="shared" si="11"/>
        <v>0.91767705382436271</v>
      </c>
      <c r="AM45" s="256">
        <f t="shared" si="11"/>
        <v>0.94844192634560898</v>
      </c>
      <c r="AN45" s="256">
        <f t="shared" si="11"/>
        <v>0.97444759206798848</v>
      </c>
      <c r="AO45" s="256">
        <f t="shared" si="11"/>
        <v>0.99467422096317282</v>
      </c>
      <c r="AP45" s="256">
        <f t="shared" si="11"/>
        <v>1.0164305949008499</v>
      </c>
      <c r="AQ45" s="297">
        <f t="shared" si="11"/>
        <v>1.1185835694050992</v>
      </c>
      <c r="AR45" s="256">
        <f t="shared" si="11"/>
        <v>1.2567228174904603</v>
      </c>
      <c r="AS45" s="256">
        <f t="shared" si="11"/>
        <v>1.3123689983998859</v>
      </c>
      <c r="AT45" s="256">
        <f t="shared" si="11"/>
        <v>1.3406592815876854</v>
      </c>
      <c r="AU45" s="256">
        <f t="shared" si="11"/>
        <v>1.3609729496063137</v>
      </c>
      <c r="AV45" s="256">
        <f t="shared" si="11"/>
        <v>1.383709961204471</v>
      </c>
      <c r="AW45" s="2"/>
    </row>
    <row r="46" spans="1:49" ht="15">
      <c r="A46" s="2"/>
      <c r="B46" s="2"/>
      <c r="C46" s="2"/>
      <c r="D46" s="2"/>
      <c r="E46" s="7" t="s">
        <v>1283</v>
      </c>
      <c r="F46" s="2"/>
      <c r="G46" s="2" t="s">
        <v>100</v>
      </c>
      <c r="H46" s="2"/>
      <c r="I46" s="2"/>
      <c r="J46" s="2"/>
      <c r="K46" s="256" t="str">
        <f>IFERROR(K43/INDEX($T$29:$AV$29,MATCH($I$14,$T$4:$AV$4,0)),"")</f>
        <v/>
      </c>
      <c r="L46" s="256" t="str">
        <f t="shared" ref="L46:AV46" si="12">IFERROR(L43/INDEX($T$29:$AV$29,MATCH($I$14,$T$4:$AV$4,0)),"")</f>
        <v/>
      </c>
      <c r="M46" s="256" t="str">
        <f t="shared" si="12"/>
        <v/>
      </c>
      <c r="N46" s="256" t="str">
        <f t="shared" si="12"/>
        <v/>
      </c>
      <c r="O46" s="256" t="str">
        <f t="shared" si="12"/>
        <v/>
      </c>
      <c r="P46" s="256" t="str">
        <f t="shared" si="12"/>
        <v/>
      </c>
      <c r="Q46" s="256" t="str">
        <f t="shared" si="12"/>
        <v/>
      </c>
      <c r="R46" s="256" t="str">
        <f t="shared" si="12"/>
        <v/>
      </c>
      <c r="S46" s="256">
        <f t="shared" si="12"/>
        <v>0.56158640226628886</v>
      </c>
      <c r="T46" s="256">
        <f t="shared" si="12"/>
        <v>0.57535410764872519</v>
      </c>
      <c r="U46" s="256">
        <f t="shared" si="12"/>
        <v>0.58691218130311607</v>
      </c>
      <c r="V46" s="256">
        <f t="shared" si="12"/>
        <v>0.5952407932011331</v>
      </c>
      <c r="W46" s="256">
        <f t="shared" si="12"/>
        <v>0.6137677053824363</v>
      </c>
      <c r="X46" s="256">
        <f t="shared" si="12"/>
        <v>0.62940509915014153</v>
      </c>
      <c r="Y46" s="256">
        <f t="shared" si="12"/>
        <v>0.64946175637393766</v>
      </c>
      <c r="Z46" s="256">
        <f t="shared" si="12"/>
        <v>0.66543909348441921</v>
      </c>
      <c r="AA46" s="256">
        <f t="shared" si="12"/>
        <v>0.6965439093484419</v>
      </c>
      <c r="AB46" s="256">
        <f t="shared" si="12"/>
        <v>0.72424929178470254</v>
      </c>
      <c r="AC46" s="256">
        <f t="shared" si="12"/>
        <v>0.71864022662889515</v>
      </c>
      <c r="AD46" s="256">
        <f t="shared" si="12"/>
        <v>0.7538243626062322</v>
      </c>
      <c r="AE46" s="256">
        <f t="shared" si="12"/>
        <v>0.79359773371104803</v>
      </c>
      <c r="AF46" s="256">
        <f t="shared" si="12"/>
        <v>0.82147308781869688</v>
      </c>
      <c r="AG46" s="256">
        <f t="shared" si="12"/>
        <v>0.84679886685552397</v>
      </c>
      <c r="AH46" s="256">
        <f t="shared" si="12"/>
        <v>0.86770538243626061</v>
      </c>
      <c r="AI46" s="256">
        <f t="shared" si="12"/>
        <v>0.87552407932011334</v>
      </c>
      <c r="AJ46" s="256">
        <f t="shared" si="12"/>
        <v>0.88810198300283283</v>
      </c>
      <c r="AK46" s="256">
        <f t="shared" si="12"/>
        <v>0.91767705382436271</v>
      </c>
      <c r="AL46" s="256">
        <f t="shared" si="12"/>
        <v>0.94844192634560898</v>
      </c>
      <c r="AM46" s="256">
        <f t="shared" si="12"/>
        <v>0.97444759206798848</v>
      </c>
      <c r="AN46" s="256">
        <f t="shared" si="12"/>
        <v>0.99467422096317282</v>
      </c>
      <c r="AO46" s="256">
        <f t="shared" si="12"/>
        <v>1.0164305949008499</v>
      </c>
      <c r="AP46" s="256">
        <f t="shared" si="12"/>
        <v>1.1185835694050992</v>
      </c>
      <c r="AQ46" s="297">
        <f t="shared" si="12"/>
        <v>1.2567228174904603</v>
      </c>
      <c r="AR46" s="256">
        <f t="shared" si="12"/>
        <v>1.3123689983998859</v>
      </c>
      <c r="AS46" s="256">
        <f t="shared" si="12"/>
        <v>1.3406592815876854</v>
      </c>
      <c r="AT46" s="256">
        <f t="shared" si="12"/>
        <v>1.3609729496063137</v>
      </c>
      <c r="AU46" s="256">
        <f t="shared" si="12"/>
        <v>1.383709961204471</v>
      </c>
      <c r="AV46" s="256">
        <f t="shared" si="12"/>
        <v>1.4090308989490572</v>
      </c>
      <c r="AW46" s="2"/>
    </row>
    <row r="47" spans="1:49" ht="15">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5">
      <c r="A48" s="2"/>
      <c r="B48" s="2"/>
      <c r="C48" s="20" t="s">
        <v>1284</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5">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5">
      <c r="A50" s="2"/>
      <c r="B50" s="2"/>
      <c r="C50" s="2"/>
      <c r="D50" s="2"/>
      <c r="E50" s="7" t="s">
        <v>1285</v>
      </c>
      <c r="F50" s="2"/>
      <c r="G50" s="2" t="s">
        <v>100</v>
      </c>
      <c r="H50" s="2" t="s">
        <v>1286</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8">
        <v>0</v>
      </c>
      <c r="AK50" s="498">
        <v>0</v>
      </c>
      <c r="AL50" s="498">
        <v>0</v>
      </c>
      <c r="AM50" s="441">
        <v>2.5628884588821732</v>
      </c>
      <c r="AN50" s="441">
        <v>1.5033471260387901</v>
      </c>
      <c r="AO50" s="441">
        <v>4.0452569031158125</v>
      </c>
      <c r="AP50" s="441">
        <v>11.584699426229506</v>
      </c>
      <c r="AQ50" s="443">
        <v>10.007381931931292</v>
      </c>
      <c r="AR50" s="441">
        <v>5.1192952208696019</v>
      </c>
      <c r="AS50" s="441">
        <v>2.5996271122782799</v>
      </c>
      <c r="AT50" s="441">
        <v>2.5121856232399598</v>
      </c>
      <c r="AU50" s="441">
        <v>2.8036598929437329</v>
      </c>
      <c r="AV50" s="441">
        <v>2.8576541255967536</v>
      </c>
      <c r="AW50" s="2"/>
    </row>
    <row r="51" spans="1:49" ht="15">
      <c r="A51" s="2"/>
      <c r="B51" s="2"/>
      <c r="C51" s="2"/>
      <c r="D51" s="2"/>
      <c r="E51" s="7" t="s">
        <v>1287</v>
      </c>
      <c r="F51" s="2"/>
      <c r="G51" s="2" t="s">
        <v>604</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5">
        <f t="shared" si="13"/>
        <v>0.11190370052654952</v>
      </c>
      <c r="AR51" s="291">
        <f t="shared" si="13"/>
        <v>8.7853602541658693E-2</v>
      </c>
      <c r="AS51" s="291">
        <f t="shared" si="13"/>
        <v>4.4893781937217714E-2</v>
      </c>
      <c r="AT51" s="291">
        <f t="shared" si="13"/>
        <v>2.5777667400186999E-2</v>
      </c>
      <c r="AU51" s="291">
        <f t="shared" si="13"/>
        <v>2.585054190665903E-2</v>
      </c>
      <c r="AV51" s="291">
        <f t="shared" si="13"/>
        <v>2.817158451106988E-2</v>
      </c>
      <c r="AW51" s="2"/>
    </row>
    <row r="52" spans="1:49" ht="15">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5">
      <c r="A53" s="2"/>
      <c r="B53" s="2"/>
      <c r="C53" s="2"/>
      <c r="D53" s="2"/>
      <c r="E53" s="7" t="s">
        <v>1288</v>
      </c>
      <c r="F53" s="2"/>
      <c r="G53" s="2" t="s">
        <v>100</v>
      </c>
      <c r="H53" s="2" t="s">
        <v>1289</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8">
        <v>0</v>
      </c>
      <c r="AK53" s="498">
        <v>0</v>
      </c>
      <c r="AL53" s="498">
        <v>0</v>
      </c>
      <c r="AM53" s="441">
        <v>1.7910205867057716</v>
      </c>
      <c r="AN53" s="441">
        <v>0.85065402820156999</v>
      </c>
      <c r="AO53" s="441">
        <v>2.5882219500718202</v>
      </c>
      <c r="AP53" s="441">
        <v>9.0667455547039033</v>
      </c>
      <c r="AQ53" s="443">
        <v>7.4553979567326234</v>
      </c>
      <c r="AR53" s="441">
        <v>3.6114247777982333</v>
      </c>
      <c r="AS53" s="441">
        <v>1.7760878895190846</v>
      </c>
      <c r="AT53" s="441">
        <v>1.446667906451915</v>
      </c>
      <c r="AU53" s="441">
        <v>1.7296573062324683</v>
      </c>
      <c r="AV53" s="441">
        <v>1.960504241247718</v>
      </c>
      <c r="AW53" s="2"/>
    </row>
    <row r="54" spans="1:49" ht="15">
      <c r="A54" s="2"/>
      <c r="B54" s="2"/>
      <c r="C54" s="2"/>
      <c r="D54" s="2"/>
      <c r="E54" s="7" t="s">
        <v>1290</v>
      </c>
      <c r="F54" s="2"/>
      <c r="G54" s="2" t="s">
        <v>604</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8.6639086552110833E-2</v>
      </c>
      <c r="AR54" s="291">
        <f t="shared" si="14"/>
        <v>6.4944046619990259E-2</v>
      </c>
      <c r="AS54" s="291">
        <f t="shared" si="14"/>
        <v>3.1525905557284462E-2</v>
      </c>
      <c r="AT54" s="291">
        <f t="shared" si="14"/>
        <v>1.6937328937522922E-2</v>
      </c>
      <c r="AU54" s="291">
        <f t="shared" si="14"/>
        <v>1.5174152563970533E-2</v>
      </c>
      <c r="AV54" s="291">
        <f t="shared" si="14"/>
        <v>1.7873690399862807E-2</v>
      </c>
      <c r="AW54" s="2"/>
    </row>
    <row r="55" spans="1:49" ht="15">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5">
      <c r="A56" s="94"/>
      <c r="B56" s="37" t="s">
        <v>79</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5">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5">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5"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sheetData>
  <conditionalFormatting sqref="K21:T25">
    <cfRule type="cellIs" dxfId="78" priority="21" operator="equal">
      <formula>"FORECAST"</formula>
    </cfRule>
  </conditionalFormatting>
  <conditionalFormatting sqref="K23:T26">
    <cfRule type="expression" dxfId="77" priority="20">
      <formula>K$21 = "FORECAST"</formula>
    </cfRule>
  </conditionalFormatting>
  <conditionalFormatting sqref="K23:AV24">
    <cfRule type="expression" dxfId="76" priority="17">
      <formula>K$21 = "FORECAST"</formula>
    </cfRule>
    <cfRule type="cellIs" dxfId="75" priority="18" operator="equal">
      <formula>"FORECAST"</formula>
    </cfRule>
  </conditionalFormatting>
  <conditionalFormatting sqref="K26:AV30">
    <cfRule type="expression" dxfId="74" priority="5">
      <formula>K$21 = "FORECAST"</formula>
    </cfRule>
  </conditionalFormatting>
  <conditionalFormatting sqref="K27:AV27">
    <cfRule type="cellIs" dxfId="73" priority="12" operator="equal">
      <formula>"FORECAST"</formula>
    </cfRule>
  </conditionalFormatting>
  <conditionalFormatting sqref="K30:AV30">
    <cfRule type="cellIs" dxfId="72" priority="6" operator="equal">
      <formula>"FORECAST"</formula>
    </cfRule>
  </conditionalFormatting>
  <conditionalFormatting sqref="K32:AV32">
    <cfRule type="expression" dxfId="71" priority="19">
      <formula>K$21 = "FORECAST"</formula>
    </cfRule>
  </conditionalFormatting>
  <conditionalFormatting sqref="K39:AV39">
    <cfRule type="cellIs" dxfId="70" priority="1" operator="equal">
      <formula>"FORECAST"</formula>
    </cfRule>
  </conditionalFormatting>
  <conditionalFormatting sqref="K40:AV41">
    <cfRule type="expression" dxfId="69" priority="4">
      <formula>K$39 = "FORECAST"</formula>
    </cfRule>
  </conditionalFormatting>
  <conditionalFormatting sqref="K42:AV46">
    <cfRule type="cellIs" dxfId="68" priority="3" operator="equal">
      <formula>"FORECAST"</formula>
    </cfRule>
  </conditionalFormatting>
  <conditionalFormatting sqref="K43:AV46">
    <cfRule type="expression" dxfId="67" priority="2">
      <formula>K$42 = "FORECAST"</formula>
    </cfRule>
  </conditionalFormatting>
  <conditionalFormatting sqref="U27:V27 X27:AV27">
    <cfRule type="expression" dxfId="66" priority="15">
      <formula>U$21 = "FORECAST"</formula>
    </cfRule>
  </conditionalFormatting>
  <conditionalFormatting sqref="U30:V30 X30:AV30">
    <cfRule type="expression" dxfId="65" priority="9">
      <formula>U$21 = "FORECAST"</formula>
    </cfRule>
  </conditionalFormatting>
  <conditionalFormatting sqref="U21:AV23 U24:V24 X24:AV24 U25:AV25">
    <cfRule type="cellIs" dxfId="64" priority="24" operator="equal">
      <formula>"FORECAST"</formula>
    </cfRule>
  </conditionalFormatting>
  <conditionalFormatting sqref="U23:AV23 U24:V24 X24:AV24 U25:AV26 U28:AV29">
    <cfRule type="expression" dxfId="63"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topLeftCell="A265" zoomScale="85" zoomScaleNormal="85" workbookViewId="0">
      <selection activeCell="H296" sqref="H296"/>
    </sheetView>
  </sheetViews>
  <sheetFormatPr defaultColWidth="0" defaultRowHeight="12.75" zeroHeight="1"/>
  <cols>
    <col min="1" max="4" width="1.5" customWidth="1"/>
    <col min="5" max="14" width="22.75" customWidth="1"/>
    <col min="15" max="16" width="9" customWidth="1"/>
    <col min="17" max="18" width="9.625" customWidth="1"/>
    <col min="19" max="38" width="9.625" hidden="1" customWidth="1"/>
    <col min="39" max="55" width="9" hidden="1" customWidth="1"/>
    <col min="56" max="57" width="0" hidden="1" customWidth="1"/>
    <col min="58" max="16384" width="9" hidden="1"/>
  </cols>
  <sheetData>
    <row r="1" spans="1:14" ht="19.5">
      <c r="A1" s="195" t="s">
        <v>74</v>
      </c>
      <c r="B1" s="181"/>
      <c r="C1" s="181"/>
      <c r="D1" s="181"/>
      <c r="E1" s="181"/>
      <c r="F1" s="181"/>
      <c r="G1" s="181"/>
      <c r="H1" s="181"/>
      <c r="I1" s="181"/>
      <c r="J1" s="181"/>
      <c r="K1" s="181"/>
      <c r="L1" s="247"/>
      <c r="M1" s="247"/>
      <c r="N1" s="247"/>
    </row>
    <row r="2" spans="1:14" ht="15">
      <c r="A2" s="181"/>
      <c r="B2" s="157"/>
      <c r="C2" s="181"/>
      <c r="D2" s="181"/>
      <c r="E2" s="181"/>
      <c r="F2" s="181"/>
      <c r="G2" s="181"/>
      <c r="H2" s="181"/>
      <c r="I2" s="181"/>
      <c r="J2" s="181"/>
      <c r="K2" s="181"/>
      <c r="L2" s="247"/>
      <c r="M2" s="247"/>
      <c r="N2" s="247"/>
    </row>
    <row r="3" spans="1:14" ht="15">
      <c r="A3" s="181"/>
      <c r="B3" s="181"/>
      <c r="C3" s="181"/>
      <c r="D3" s="181"/>
      <c r="E3" s="179"/>
      <c r="F3" s="179"/>
      <c r="G3" s="179"/>
      <c r="H3" s="478" t="s">
        <v>1291</v>
      </c>
      <c r="I3" s="478" t="s">
        <v>1292</v>
      </c>
      <c r="J3" s="179"/>
      <c r="K3" s="179"/>
      <c r="L3" s="247"/>
      <c r="M3" s="247"/>
      <c r="N3" s="247"/>
    </row>
    <row r="4" spans="1:14" ht="30">
      <c r="A4" s="181"/>
      <c r="B4" s="181"/>
      <c r="C4" s="181"/>
      <c r="D4" s="181"/>
      <c r="E4" s="324" t="s">
        <v>1293</v>
      </c>
      <c r="F4" s="325" t="s">
        <v>1294</v>
      </c>
      <c r="G4" s="324" t="s">
        <v>1295</v>
      </c>
      <c r="H4" s="326" t="s">
        <v>1296</v>
      </c>
      <c r="I4" s="326" t="s">
        <v>1297</v>
      </c>
      <c r="J4" s="326" t="s">
        <v>1298</v>
      </c>
      <c r="K4" s="326" t="s">
        <v>1299</v>
      </c>
      <c r="L4" s="327" t="s">
        <v>1300</v>
      </c>
      <c r="M4" s="327" t="s">
        <v>1301</v>
      </c>
      <c r="N4" s="327" t="s">
        <v>1302</v>
      </c>
    </row>
    <row r="5" spans="1:14" ht="15">
      <c r="A5" s="2"/>
      <c r="B5" s="2"/>
      <c r="C5" s="2"/>
      <c r="D5" s="2"/>
      <c r="E5" s="248">
        <v>36251</v>
      </c>
      <c r="F5" s="323">
        <f>EOMONTH(E5, 0)</f>
        <v>36280</v>
      </c>
      <c r="G5" s="159">
        <f>IF(MONTH(E5)&gt;=4,YEAR(E5)+1,YEAR(E5))</f>
        <v>2000</v>
      </c>
      <c r="H5" s="290">
        <v>72.599999999999994</v>
      </c>
      <c r="I5" s="249">
        <v>165.2</v>
      </c>
      <c r="J5" s="257" t="str">
        <f>IF($E5&lt;DATE(2018,7,1),"-",INDEX('Annual Inflation'!$AM$53:$BA$53, MATCH(YEAR(EOMONTH($E5,6)), 'Annual Inflation'!$AM$6:$BA$6, 0))/100)</f>
        <v>-</v>
      </c>
      <c r="K5" s="257" t="str">
        <f>IF($E5&lt;DATE(2018,7,1),"-",INDEX('Annual Inflation'!$AM$50:$BA$50, MATCH(YEAR(EOMONTH($E5,6)), 'Annual Inflation'!$AM$6:$BA$6, 0))/100)</f>
        <v>-</v>
      </c>
      <c r="L5" s="258">
        <f>IF(ISBLANK(H5),L4*((1+J5)^(1/12)),H5)</f>
        <v>72.599999999999994</v>
      </c>
      <c r="M5" s="258">
        <f>IF(ISBLANK(I5),M4*((1+K5)^(1/12)),I5)</f>
        <v>165.2</v>
      </c>
      <c r="N5" s="258">
        <f>IF($E5 &lt; DATE(2023,4,1),  M5,  IF($E5 = DATE(2023,4,1), N4 * ((0.5*L5/L4) + (0.5*M5/M4)), N4*(L5/L4)))</f>
        <v>165.2</v>
      </c>
    </row>
    <row r="6" spans="1:14" ht="15">
      <c r="A6" s="2"/>
      <c r="B6" s="2"/>
      <c r="C6" s="2"/>
      <c r="D6" s="2"/>
      <c r="E6" s="248">
        <v>36281</v>
      </c>
      <c r="F6" s="323">
        <f t="shared" ref="F6:F69" si="0">EOMONTH(E6, 0)</f>
        <v>36311</v>
      </c>
      <c r="G6" s="159">
        <f t="shared" ref="G6:G69" si="1">IF(MONTH(E6)&gt;=4,YEAR(E6)+1,YEAR(E6))</f>
        <v>2000</v>
      </c>
      <c r="H6" s="290">
        <v>72.8</v>
      </c>
      <c r="I6" s="249">
        <v>165.6</v>
      </c>
      <c r="J6" s="257" t="str">
        <f>IF($E6&lt;DATE(2018,7,1),"-",INDEX('Annual Inflation'!$AM$53:$BA$53, MATCH(YEAR(EOMONTH($E6,6)), 'Annual Inflation'!$AM$6:$BA$6, 0))/100)</f>
        <v>-</v>
      </c>
      <c r="K6" s="257" t="str">
        <f>IF($E6&lt;DATE(2018,7,1),"-",INDEX('Annual Inflation'!$AM$50:$BA$50, MATCH(YEAR(EOMONTH($E6,6)), 'Annual Inflation'!$AM$6:$BA$6, 0))/100)</f>
        <v>-</v>
      </c>
      <c r="L6" s="258">
        <f t="shared" ref="L6:L69" si="2">IF(ISBLANK(H6),L5*((1+J6)^(1/12)),H6)</f>
        <v>72.8</v>
      </c>
      <c r="M6" s="258">
        <f t="shared" ref="M6:M69" si="3">IF(ISBLANK(I6),M5*((1+K6)^(1/12)),I6)</f>
        <v>165.6</v>
      </c>
      <c r="N6" s="258">
        <f t="shared" ref="N6:N69" si="4">IF($E6 &lt; DATE(2023,4,1),  M6,  IF($E6 = DATE(2023,4,1), N5 * ((0.5*L6/L5) + (0.5*M6/M5)), N5*(L6/L5)))</f>
        <v>165.6</v>
      </c>
    </row>
    <row r="7" spans="1:14" ht="15">
      <c r="A7" s="2"/>
      <c r="B7" s="2"/>
      <c r="C7" s="2"/>
      <c r="D7" s="2"/>
      <c r="E7" s="248">
        <v>36312</v>
      </c>
      <c r="F7" s="323">
        <f t="shared" si="0"/>
        <v>36341</v>
      </c>
      <c r="G7" s="159">
        <f t="shared" si="1"/>
        <v>2000</v>
      </c>
      <c r="H7" s="290">
        <v>72.7</v>
      </c>
      <c r="I7" s="249">
        <v>165.6</v>
      </c>
      <c r="J7" s="257" t="str">
        <f>IF($E7&lt;DATE(2018,7,1),"-",INDEX('Annual Inflation'!$AM$53:$BA$53, MATCH(YEAR(EOMONTH($E7,6)), 'Annual Inflation'!$AM$6:$BA$6, 0))/100)</f>
        <v>-</v>
      </c>
      <c r="K7" s="257" t="str">
        <f>IF($E7&lt;DATE(2018,7,1),"-",INDEX('Annual Inflation'!$AM$50:$BA$50, MATCH(YEAR(EOMONTH($E7,6)), 'Annual Inflation'!$AM$6:$BA$6, 0))/100)</f>
        <v>-</v>
      </c>
      <c r="L7" s="258">
        <f t="shared" si="2"/>
        <v>72.7</v>
      </c>
      <c r="M7" s="258">
        <f t="shared" si="3"/>
        <v>165.6</v>
      </c>
      <c r="N7" s="258">
        <f t="shared" si="4"/>
        <v>165.6</v>
      </c>
    </row>
    <row r="8" spans="1:14" ht="15">
      <c r="A8" s="2"/>
      <c r="B8" s="2"/>
      <c r="C8" s="2"/>
      <c r="D8" s="2"/>
      <c r="E8" s="248">
        <v>36342</v>
      </c>
      <c r="F8" s="323">
        <f t="shared" si="0"/>
        <v>36372</v>
      </c>
      <c r="G8" s="159">
        <f t="shared" si="1"/>
        <v>2000</v>
      </c>
      <c r="H8" s="290">
        <v>72.400000000000006</v>
      </c>
      <c r="I8" s="249">
        <v>165.1</v>
      </c>
      <c r="J8" s="257" t="str">
        <f>IF($E8&lt;DATE(2018,7,1),"-",INDEX('Annual Inflation'!$AM$53:$BA$53, MATCH(YEAR(EOMONTH($E8,6)), 'Annual Inflation'!$AM$6:$BA$6, 0))/100)</f>
        <v>-</v>
      </c>
      <c r="K8" s="257" t="str">
        <f>IF($E8&lt;DATE(2018,7,1),"-",INDEX('Annual Inflation'!$AM$50:$BA$50, MATCH(YEAR(EOMONTH($E8,6)), 'Annual Inflation'!$AM$6:$BA$6, 0))/100)</f>
        <v>-</v>
      </c>
      <c r="L8" s="258">
        <f t="shared" si="2"/>
        <v>72.400000000000006</v>
      </c>
      <c r="M8" s="258">
        <f t="shared" si="3"/>
        <v>165.1</v>
      </c>
      <c r="N8" s="258">
        <f t="shared" si="4"/>
        <v>165.1</v>
      </c>
    </row>
    <row r="9" spans="1:14" ht="15">
      <c r="A9" s="2"/>
      <c r="B9" s="2"/>
      <c r="C9" s="2"/>
      <c r="D9" s="2"/>
      <c r="E9" s="248">
        <v>36373</v>
      </c>
      <c r="F9" s="323">
        <f t="shared" si="0"/>
        <v>36403</v>
      </c>
      <c r="G9" s="159">
        <f t="shared" si="1"/>
        <v>2000</v>
      </c>
      <c r="H9" s="290">
        <v>72.599999999999994</v>
      </c>
      <c r="I9" s="249">
        <v>165.5</v>
      </c>
      <c r="J9" s="257" t="str">
        <f>IF($E9&lt;DATE(2018,7,1),"-",INDEX('Annual Inflation'!$AM$53:$BA$53, MATCH(YEAR(EOMONTH($E9,6)), 'Annual Inflation'!$AM$6:$BA$6, 0))/100)</f>
        <v>-</v>
      </c>
      <c r="K9" s="257" t="str">
        <f>IF($E9&lt;DATE(2018,7,1),"-",INDEX('Annual Inflation'!$AM$50:$BA$50, MATCH(YEAR(EOMONTH($E9,6)), 'Annual Inflation'!$AM$6:$BA$6, 0))/100)</f>
        <v>-</v>
      </c>
      <c r="L9" s="258">
        <f t="shared" si="2"/>
        <v>72.599999999999994</v>
      </c>
      <c r="M9" s="258">
        <f t="shared" si="3"/>
        <v>165.5</v>
      </c>
      <c r="N9" s="258">
        <f t="shared" si="4"/>
        <v>165.5</v>
      </c>
    </row>
    <row r="10" spans="1:14" ht="15">
      <c r="A10" s="2"/>
      <c r="B10" s="2"/>
      <c r="C10" s="2"/>
      <c r="D10" s="2"/>
      <c r="E10" s="248">
        <v>36404</v>
      </c>
      <c r="F10" s="323">
        <f t="shared" si="0"/>
        <v>36433</v>
      </c>
      <c r="G10" s="159">
        <f t="shared" si="1"/>
        <v>2000</v>
      </c>
      <c r="H10" s="290">
        <v>72.8</v>
      </c>
      <c r="I10" s="249">
        <v>166.2</v>
      </c>
      <c r="J10" s="257" t="str">
        <f>IF($E10&lt;DATE(2018,7,1),"-",INDEX('Annual Inflation'!$AM$53:$BA$53, MATCH(YEAR(EOMONTH($E10,6)), 'Annual Inflation'!$AM$6:$BA$6, 0))/100)</f>
        <v>-</v>
      </c>
      <c r="K10" s="257" t="str">
        <f>IF($E10&lt;DATE(2018,7,1),"-",INDEX('Annual Inflation'!$AM$50:$BA$50, MATCH(YEAR(EOMONTH($E10,6)), 'Annual Inflation'!$AM$6:$BA$6, 0))/100)</f>
        <v>-</v>
      </c>
      <c r="L10" s="258">
        <f t="shared" si="2"/>
        <v>72.8</v>
      </c>
      <c r="M10" s="258">
        <f t="shared" si="3"/>
        <v>166.2</v>
      </c>
      <c r="N10" s="258">
        <f t="shared" si="4"/>
        <v>166.2</v>
      </c>
    </row>
    <row r="11" spans="1:14" ht="15">
      <c r="A11" s="2"/>
      <c r="B11" s="2"/>
      <c r="C11" s="2"/>
      <c r="D11" s="2"/>
      <c r="E11" s="248">
        <v>36434</v>
      </c>
      <c r="F11" s="323">
        <f t="shared" si="0"/>
        <v>36464</v>
      </c>
      <c r="G11" s="159">
        <f t="shared" si="1"/>
        <v>2000</v>
      </c>
      <c r="H11" s="290">
        <v>72.8</v>
      </c>
      <c r="I11" s="249">
        <v>166.5</v>
      </c>
      <c r="J11" s="257" t="str">
        <f>IF($E11&lt;DATE(2018,7,1),"-",INDEX('Annual Inflation'!$AM$53:$BA$53, MATCH(YEAR(EOMONTH($E11,6)), 'Annual Inflation'!$AM$6:$BA$6, 0))/100)</f>
        <v>-</v>
      </c>
      <c r="K11" s="257" t="str">
        <f>IF($E11&lt;DATE(2018,7,1),"-",INDEX('Annual Inflation'!$AM$50:$BA$50, MATCH(YEAR(EOMONTH($E11,6)), 'Annual Inflation'!$AM$6:$BA$6, 0))/100)</f>
        <v>-</v>
      </c>
      <c r="L11" s="258">
        <f t="shared" si="2"/>
        <v>72.8</v>
      </c>
      <c r="M11" s="258">
        <f t="shared" si="3"/>
        <v>166.5</v>
      </c>
      <c r="N11" s="258">
        <f t="shared" si="4"/>
        <v>166.5</v>
      </c>
    </row>
    <row r="12" spans="1:14" ht="15">
      <c r="A12" s="2"/>
      <c r="B12" s="2"/>
      <c r="C12" s="2"/>
      <c r="D12" s="2"/>
      <c r="E12" s="248">
        <v>36465</v>
      </c>
      <c r="F12" s="323">
        <f t="shared" si="0"/>
        <v>36494</v>
      </c>
      <c r="G12" s="159">
        <f t="shared" si="1"/>
        <v>2000</v>
      </c>
      <c r="H12" s="290">
        <v>72.900000000000006</v>
      </c>
      <c r="I12" s="249">
        <v>166.7</v>
      </c>
      <c r="J12" s="257" t="str">
        <f>IF($E12&lt;DATE(2018,7,1),"-",INDEX('Annual Inflation'!$AM$53:$BA$53, MATCH(YEAR(EOMONTH($E12,6)), 'Annual Inflation'!$AM$6:$BA$6, 0))/100)</f>
        <v>-</v>
      </c>
      <c r="K12" s="257" t="str">
        <f>IF($E12&lt;DATE(2018,7,1),"-",INDEX('Annual Inflation'!$AM$50:$BA$50, MATCH(YEAR(EOMONTH($E12,6)), 'Annual Inflation'!$AM$6:$BA$6, 0))/100)</f>
        <v>-</v>
      </c>
      <c r="L12" s="258">
        <f t="shared" si="2"/>
        <v>72.900000000000006</v>
      </c>
      <c r="M12" s="258">
        <f t="shared" si="3"/>
        <v>166.7</v>
      </c>
      <c r="N12" s="258">
        <f t="shared" si="4"/>
        <v>166.7</v>
      </c>
    </row>
    <row r="13" spans="1:14" ht="15">
      <c r="A13" s="2"/>
      <c r="B13" s="2"/>
      <c r="C13" s="2"/>
      <c r="D13" s="2"/>
      <c r="E13" s="248">
        <v>36495</v>
      </c>
      <c r="F13" s="323">
        <f t="shared" si="0"/>
        <v>36525</v>
      </c>
      <c r="G13" s="159">
        <f t="shared" si="1"/>
        <v>2000</v>
      </c>
      <c r="H13" s="290">
        <v>73.099999999999994</v>
      </c>
      <c r="I13" s="249">
        <v>167.3</v>
      </c>
      <c r="J13" s="257" t="str">
        <f>IF($E13&lt;DATE(2018,7,1),"-",INDEX('Annual Inflation'!$AM$53:$BA$53, MATCH(YEAR(EOMONTH($E13,6)), 'Annual Inflation'!$AM$6:$BA$6, 0))/100)</f>
        <v>-</v>
      </c>
      <c r="K13" s="257" t="str">
        <f>IF($E13&lt;DATE(2018,7,1),"-",INDEX('Annual Inflation'!$AM$50:$BA$50, MATCH(YEAR(EOMONTH($E13,6)), 'Annual Inflation'!$AM$6:$BA$6, 0))/100)</f>
        <v>-</v>
      </c>
      <c r="L13" s="258">
        <f t="shared" si="2"/>
        <v>73.099999999999994</v>
      </c>
      <c r="M13" s="258">
        <f t="shared" si="3"/>
        <v>167.3</v>
      </c>
      <c r="N13" s="258">
        <f t="shared" si="4"/>
        <v>167.3</v>
      </c>
    </row>
    <row r="14" spans="1:14" ht="15">
      <c r="A14" s="2"/>
      <c r="B14" s="2"/>
      <c r="C14" s="2"/>
      <c r="D14" s="2"/>
      <c r="E14" s="248">
        <v>36526</v>
      </c>
      <c r="F14" s="323">
        <f t="shared" si="0"/>
        <v>36556</v>
      </c>
      <c r="G14" s="159">
        <f t="shared" si="1"/>
        <v>2000</v>
      </c>
      <c r="H14" s="290">
        <v>72.599999999999994</v>
      </c>
      <c r="I14" s="249">
        <v>166.6</v>
      </c>
      <c r="J14" s="257" t="str">
        <f>IF($E14&lt;DATE(2018,7,1),"-",INDEX('Annual Inflation'!$AM$53:$BA$53, MATCH(YEAR(EOMONTH($E14,6)), 'Annual Inflation'!$AM$6:$BA$6, 0))/100)</f>
        <v>-</v>
      </c>
      <c r="K14" s="257" t="str">
        <f>IF($E14&lt;DATE(2018,7,1),"-",INDEX('Annual Inflation'!$AM$50:$BA$50, MATCH(YEAR(EOMONTH($E14,6)), 'Annual Inflation'!$AM$6:$BA$6, 0))/100)</f>
        <v>-</v>
      </c>
      <c r="L14" s="258">
        <f t="shared" si="2"/>
        <v>72.599999999999994</v>
      </c>
      <c r="M14" s="258">
        <f t="shared" si="3"/>
        <v>166.6</v>
      </c>
      <c r="N14" s="258">
        <f t="shared" si="4"/>
        <v>166.6</v>
      </c>
    </row>
    <row r="15" spans="1:14" ht="15">
      <c r="A15" s="2"/>
      <c r="B15" s="2"/>
      <c r="C15" s="2"/>
      <c r="D15" s="2"/>
      <c r="E15" s="248">
        <v>36557</v>
      </c>
      <c r="F15" s="323">
        <f t="shared" si="0"/>
        <v>36585</v>
      </c>
      <c r="G15" s="159">
        <f t="shared" si="1"/>
        <v>2000</v>
      </c>
      <c r="H15" s="290">
        <v>72.8</v>
      </c>
      <c r="I15" s="249">
        <v>167.5</v>
      </c>
      <c r="J15" s="257" t="str">
        <f>IF($E15&lt;DATE(2018,7,1),"-",INDEX('Annual Inflation'!$AM$53:$BA$53, MATCH(YEAR(EOMONTH($E15,6)), 'Annual Inflation'!$AM$6:$BA$6, 0))/100)</f>
        <v>-</v>
      </c>
      <c r="K15" s="257" t="str">
        <f>IF($E15&lt;DATE(2018,7,1),"-",INDEX('Annual Inflation'!$AM$50:$BA$50, MATCH(YEAR(EOMONTH($E15,6)), 'Annual Inflation'!$AM$6:$BA$6, 0))/100)</f>
        <v>-</v>
      </c>
      <c r="L15" s="258">
        <f t="shared" si="2"/>
        <v>72.8</v>
      </c>
      <c r="M15" s="258">
        <f t="shared" si="3"/>
        <v>167.5</v>
      </c>
      <c r="N15" s="258">
        <f t="shared" si="4"/>
        <v>167.5</v>
      </c>
    </row>
    <row r="16" spans="1:14" ht="15">
      <c r="A16" s="2"/>
      <c r="B16" s="2"/>
      <c r="C16" s="2"/>
      <c r="D16" s="2"/>
      <c r="E16" s="248">
        <v>36586</v>
      </c>
      <c r="F16" s="323">
        <f t="shared" si="0"/>
        <v>36616</v>
      </c>
      <c r="G16" s="159">
        <f t="shared" si="1"/>
        <v>2000</v>
      </c>
      <c r="H16" s="290">
        <v>73</v>
      </c>
      <c r="I16" s="249">
        <v>168.4</v>
      </c>
      <c r="J16" s="257" t="str">
        <f>IF($E16&lt;DATE(2018,7,1),"-",INDEX('Annual Inflation'!$AM$53:$BA$53, MATCH(YEAR(EOMONTH($E16,6)), 'Annual Inflation'!$AM$6:$BA$6, 0))/100)</f>
        <v>-</v>
      </c>
      <c r="K16" s="257" t="str">
        <f>IF($E16&lt;DATE(2018,7,1),"-",INDEX('Annual Inflation'!$AM$50:$BA$50, MATCH(YEAR(EOMONTH($E16,6)), 'Annual Inflation'!$AM$6:$BA$6, 0))/100)</f>
        <v>-</v>
      </c>
      <c r="L16" s="258">
        <f t="shared" si="2"/>
        <v>73</v>
      </c>
      <c r="M16" s="258">
        <f t="shared" si="3"/>
        <v>168.4</v>
      </c>
      <c r="N16" s="258">
        <f t="shared" si="4"/>
        <v>168.4</v>
      </c>
    </row>
    <row r="17" spans="1:14" ht="15">
      <c r="A17" s="2"/>
      <c r="B17" s="15"/>
      <c r="C17" s="15"/>
      <c r="D17" s="15"/>
      <c r="E17" s="248">
        <v>36617</v>
      </c>
      <c r="F17" s="323">
        <f t="shared" si="0"/>
        <v>36646</v>
      </c>
      <c r="G17" s="159">
        <f t="shared" si="1"/>
        <v>2001</v>
      </c>
      <c r="H17" s="290">
        <v>73.3</v>
      </c>
      <c r="I17" s="249">
        <v>170.1</v>
      </c>
      <c r="J17" s="257" t="str">
        <f>IF($E17&lt;DATE(2018,7,1),"-",INDEX('Annual Inflation'!$AM$53:$BA$53, MATCH(YEAR(EOMONTH($E17,6)), 'Annual Inflation'!$AM$6:$BA$6, 0))/100)</f>
        <v>-</v>
      </c>
      <c r="K17" s="257" t="str">
        <f>IF($E17&lt;DATE(2018,7,1),"-",INDEX('Annual Inflation'!$AM$50:$BA$50, MATCH(YEAR(EOMONTH($E17,6)), 'Annual Inflation'!$AM$6:$BA$6, 0))/100)</f>
        <v>-</v>
      </c>
      <c r="L17" s="258">
        <f t="shared" si="2"/>
        <v>73.3</v>
      </c>
      <c r="M17" s="258">
        <f t="shared" si="3"/>
        <v>170.1</v>
      </c>
      <c r="N17" s="258">
        <f t="shared" si="4"/>
        <v>170.1</v>
      </c>
    </row>
    <row r="18" spans="1:14" ht="15">
      <c r="A18" s="2"/>
      <c r="B18" s="2"/>
      <c r="C18" s="2"/>
      <c r="D18" s="2"/>
      <c r="E18" s="248">
        <v>36647</v>
      </c>
      <c r="F18" s="323">
        <f t="shared" si="0"/>
        <v>36677</v>
      </c>
      <c r="G18" s="159">
        <f t="shared" si="1"/>
        <v>2001</v>
      </c>
      <c r="H18" s="290">
        <v>73.5</v>
      </c>
      <c r="I18" s="249">
        <v>170.7</v>
      </c>
      <c r="J18" s="257" t="str">
        <f>IF($E18&lt;DATE(2018,7,1),"-",INDEX('Annual Inflation'!$AM$53:$BA$53, MATCH(YEAR(EOMONTH($E18,6)), 'Annual Inflation'!$AM$6:$BA$6, 0))/100)</f>
        <v>-</v>
      </c>
      <c r="K18" s="257" t="str">
        <f>IF($E18&lt;DATE(2018,7,1),"-",INDEX('Annual Inflation'!$AM$50:$BA$50, MATCH(YEAR(EOMONTH($E18,6)), 'Annual Inflation'!$AM$6:$BA$6, 0))/100)</f>
        <v>-</v>
      </c>
      <c r="L18" s="258">
        <f t="shared" si="2"/>
        <v>73.5</v>
      </c>
      <c r="M18" s="258">
        <f t="shared" si="3"/>
        <v>170.7</v>
      </c>
      <c r="N18" s="258">
        <f t="shared" si="4"/>
        <v>170.7</v>
      </c>
    </row>
    <row r="19" spans="1:14" ht="15">
      <c r="A19" s="2"/>
      <c r="B19" s="2"/>
      <c r="C19" s="141"/>
      <c r="D19" s="141"/>
      <c r="E19" s="248">
        <v>36678</v>
      </c>
      <c r="F19" s="323">
        <f t="shared" si="0"/>
        <v>36707</v>
      </c>
      <c r="G19" s="159">
        <f t="shared" si="1"/>
        <v>2001</v>
      </c>
      <c r="H19" s="290">
        <v>73.599999999999994</v>
      </c>
      <c r="I19" s="249">
        <v>171.1</v>
      </c>
      <c r="J19" s="257" t="str">
        <f>IF($E19&lt;DATE(2018,7,1),"-",INDEX('Annual Inflation'!$AM$53:$BA$53, MATCH(YEAR(EOMONTH($E19,6)), 'Annual Inflation'!$AM$6:$BA$6, 0))/100)</f>
        <v>-</v>
      </c>
      <c r="K19" s="257" t="str">
        <f>IF($E19&lt;DATE(2018,7,1),"-",INDEX('Annual Inflation'!$AM$50:$BA$50, MATCH(YEAR(EOMONTH($E19,6)), 'Annual Inflation'!$AM$6:$BA$6, 0))/100)</f>
        <v>-</v>
      </c>
      <c r="L19" s="258">
        <f t="shared" si="2"/>
        <v>73.599999999999994</v>
      </c>
      <c r="M19" s="258">
        <f t="shared" si="3"/>
        <v>171.1</v>
      </c>
      <c r="N19" s="258">
        <f t="shared" si="4"/>
        <v>171.1</v>
      </c>
    </row>
    <row r="20" spans="1:14" ht="15">
      <c r="A20" s="2"/>
      <c r="B20" s="2"/>
      <c r="C20" s="34"/>
      <c r="D20" s="34"/>
      <c r="E20" s="248">
        <v>36708</v>
      </c>
      <c r="F20" s="323">
        <f t="shared" si="0"/>
        <v>36738</v>
      </c>
      <c r="G20" s="159">
        <f t="shared" si="1"/>
        <v>2001</v>
      </c>
      <c r="H20" s="290">
        <v>73.3</v>
      </c>
      <c r="I20" s="249">
        <v>170.5</v>
      </c>
      <c r="J20" s="257" t="str">
        <f>IF($E20&lt;DATE(2018,7,1),"-",INDEX('Annual Inflation'!$AM$53:$BA$53, MATCH(YEAR(EOMONTH($E20,6)), 'Annual Inflation'!$AM$6:$BA$6, 0))/100)</f>
        <v>-</v>
      </c>
      <c r="K20" s="257" t="str">
        <f>IF($E20&lt;DATE(2018,7,1),"-",INDEX('Annual Inflation'!$AM$50:$BA$50, MATCH(YEAR(EOMONTH($E20,6)), 'Annual Inflation'!$AM$6:$BA$6, 0))/100)</f>
        <v>-</v>
      </c>
      <c r="L20" s="258">
        <f t="shared" si="2"/>
        <v>73.3</v>
      </c>
      <c r="M20" s="258">
        <f t="shared" si="3"/>
        <v>170.5</v>
      </c>
      <c r="N20" s="258">
        <f t="shared" si="4"/>
        <v>170.5</v>
      </c>
    </row>
    <row r="21" spans="1:14" ht="15">
      <c r="A21" s="2"/>
      <c r="B21" s="2"/>
      <c r="C21" s="2"/>
      <c r="D21" s="2"/>
      <c r="E21" s="248">
        <v>36739</v>
      </c>
      <c r="F21" s="323">
        <f t="shared" si="0"/>
        <v>36769</v>
      </c>
      <c r="G21" s="159">
        <f t="shared" si="1"/>
        <v>2001</v>
      </c>
      <c r="H21" s="290">
        <v>73.3</v>
      </c>
      <c r="I21" s="249">
        <v>170.5</v>
      </c>
      <c r="J21" s="257" t="str">
        <f>IF($E21&lt;DATE(2018,7,1),"-",INDEX('Annual Inflation'!$AM$53:$BA$53, MATCH(YEAR(EOMONTH($E21,6)), 'Annual Inflation'!$AM$6:$BA$6, 0))/100)</f>
        <v>-</v>
      </c>
      <c r="K21" s="257" t="str">
        <f>IF($E21&lt;DATE(2018,7,1),"-",INDEX('Annual Inflation'!$AM$50:$BA$50, MATCH(YEAR(EOMONTH($E21,6)), 'Annual Inflation'!$AM$6:$BA$6, 0))/100)</f>
        <v>-</v>
      </c>
      <c r="L21" s="258">
        <f t="shared" si="2"/>
        <v>73.3</v>
      </c>
      <c r="M21" s="258">
        <f t="shared" si="3"/>
        <v>170.5</v>
      </c>
      <c r="N21" s="258">
        <f t="shared" si="4"/>
        <v>170.5</v>
      </c>
    </row>
    <row r="22" spans="1:14" ht="15">
      <c r="A22" s="2"/>
      <c r="B22" s="2"/>
      <c r="C22" s="2"/>
      <c r="D22" s="27"/>
      <c r="E22" s="248">
        <v>36770</v>
      </c>
      <c r="F22" s="323">
        <f t="shared" si="0"/>
        <v>36799</v>
      </c>
      <c r="G22" s="159">
        <f t="shared" si="1"/>
        <v>2001</v>
      </c>
      <c r="H22" s="290">
        <v>73.8</v>
      </c>
      <c r="I22" s="249">
        <v>171.7</v>
      </c>
      <c r="J22" s="257" t="str">
        <f>IF($E22&lt;DATE(2018,7,1),"-",INDEX('Annual Inflation'!$AM$53:$BA$53, MATCH(YEAR(EOMONTH($E22,6)), 'Annual Inflation'!$AM$6:$BA$6, 0))/100)</f>
        <v>-</v>
      </c>
      <c r="K22" s="257" t="str">
        <f>IF($E22&lt;DATE(2018,7,1),"-",INDEX('Annual Inflation'!$AM$50:$BA$50, MATCH(YEAR(EOMONTH($E22,6)), 'Annual Inflation'!$AM$6:$BA$6, 0))/100)</f>
        <v>-</v>
      </c>
      <c r="L22" s="258">
        <f t="shared" si="2"/>
        <v>73.8</v>
      </c>
      <c r="M22" s="258">
        <f t="shared" si="3"/>
        <v>171.7</v>
      </c>
      <c r="N22" s="258">
        <f t="shared" si="4"/>
        <v>171.7</v>
      </c>
    </row>
    <row r="23" spans="1:14" ht="15">
      <c r="A23" s="2"/>
      <c r="B23" s="2"/>
      <c r="C23" s="2"/>
      <c r="D23" s="34"/>
      <c r="E23" s="248">
        <v>36800</v>
      </c>
      <c r="F23" s="323">
        <f t="shared" si="0"/>
        <v>36830</v>
      </c>
      <c r="G23" s="159">
        <f t="shared" si="1"/>
        <v>2001</v>
      </c>
      <c r="H23" s="290">
        <v>73.8</v>
      </c>
      <c r="I23" s="249">
        <v>171.6</v>
      </c>
      <c r="J23" s="257" t="str">
        <f>IF($E23&lt;DATE(2018,7,1),"-",INDEX('Annual Inflation'!$AM$53:$BA$53, MATCH(YEAR(EOMONTH($E23,6)), 'Annual Inflation'!$AM$6:$BA$6, 0))/100)</f>
        <v>-</v>
      </c>
      <c r="K23" s="257" t="str">
        <f>IF($E23&lt;DATE(2018,7,1),"-",INDEX('Annual Inflation'!$AM$50:$BA$50, MATCH(YEAR(EOMONTH($E23,6)), 'Annual Inflation'!$AM$6:$BA$6, 0))/100)</f>
        <v>-</v>
      </c>
      <c r="L23" s="258">
        <f t="shared" si="2"/>
        <v>73.8</v>
      </c>
      <c r="M23" s="258">
        <f t="shared" si="3"/>
        <v>171.6</v>
      </c>
      <c r="N23" s="258">
        <f t="shared" si="4"/>
        <v>171.6</v>
      </c>
    </row>
    <row r="24" spans="1:14" ht="15">
      <c r="A24" s="2"/>
      <c r="B24" s="2"/>
      <c r="C24" s="2"/>
      <c r="D24" s="2"/>
      <c r="E24" s="248">
        <v>36831</v>
      </c>
      <c r="F24" s="323">
        <f t="shared" si="0"/>
        <v>36860</v>
      </c>
      <c r="G24" s="159">
        <f t="shared" si="1"/>
        <v>2001</v>
      </c>
      <c r="H24" s="290">
        <v>74</v>
      </c>
      <c r="I24" s="249">
        <v>172.1</v>
      </c>
      <c r="J24" s="257" t="str">
        <f>IF($E24&lt;DATE(2018,7,1),"-",INDEX('Annual Inflation'!$AM$53:$BA$53, MATCH(YEAR(EOMONTH($E24,6)), 'Annual Inflation'!$AM$6:$BA$6, 0))/100)</f>
        <v>-</v>
      </c>
      <c r="K24" s="257" t="str">
        <f>IF($E24&lt;DATE(2018,7,1),"-",INDEX('Annual Inflation'!$AM$50:$BA$50, MATCH(YEAR(EOMONTH($E24,6)), 'Annual Inflation'!$AM$6:$BA$6, 0))/100)</f>
        <v>-</v>
      </c>
      <c r="L24" s="258">
        <f t="shared" si="2"/>
        <v>74</v>
      </c>
      <c r="M24" s="258">
        <f t="shared" si="3"/>
        <v>172.1</v>
      </c>
      <c r="N24" s="258">
        <f t="shared" si="4"/>
        <v>172.1</v>
      </c>
    </row>
    <row r="25" spans="1:14" ht="15">
      <c r="A25" s="2"/>
      <c r="B25" s="2"/>
      <c r="C25" s="2"/>
      <c r="D25" s="2"/>
      <c r="E25" s="248">
        <v>36861</v>
      </c>
      <c r="F25" s="323">
        <f t="shared" si="0"/>
        <v>36891</v>
      </c>
      <c r="G25" s="159">
        <f t="shared" si="1"/>
        <v>2001</v>
      </c>
      <c r="H25" s="290">
        <v>74</v>
      </c>
      <c r="I25" s="249">
        <v>172.2</v>
      </c>
      <c r="J25" s="257" t="str">
        <f>IF($E25&lt;DATE(2018,7,1),"-",INDEX('Annual Inflation'!$AM$53:$BA$53, MATCH(YEAR(EOMONTH($E25,6)), 'Annual Inflation'!$AM$6:$BA$6, 0))/100)</f>
        <v>-</v>
      </c>
      <c r="K25" s="257" t="str">
        <f>IF($E25&lt;DATE(2018,7,1),"-",INDEX('Annual Inflation'!$AM$50:$BA$50, MATCH(YEAR(EOMONTH($E25,6)), 'Annual Inflation'!$AM$6:$BA$6, 0))/100)</f>
        <v>-</v>
      </c>
      <c r="L25" s="258">
        <f t="shared" si="2"/>
        <v>74</v>
      </c>
      <c r="M25" s="258">
        <f t="shared" si="3"/>
        <v>172.2</v>
      </c>
      <c r="N25" s="258">
        <f t="shared" si="4"/>
        <v>172.2</v>
      </c>
    </row>
    <row r="26" spans="1:14" ht="15">
      <c r="A26" s="2"/>
      <c r="B26" s="2"/>
      <c r="C26" s="2"/>
      <c r="D26" s="2"/>
      <c r="E26" s="248">
        <v>36892</v>
      </c>
      <c r="F26" s="323">
        <f t="shared" si="0"/>
        <v>36922</v>
      </c>
      <c r="G26" s="159">
        <f t="shared" si="1"/>
        <v>2001</v>
      </c>
      <c r="H26" s="290">
        <v>73.5</v>
      </c>
      <c r="I26" s="249">
        <v>171.1</v>
      </c>
      <c r="J26" s="257" t="str">
        <f>IF($E26&lt;DATE(2018,7,1),"-",INDEX('Annual Inflation'!$AM$53:$BA$53, MATCH(YEAR(EOMONTH($E26,6)), 'Annual Inflation'!$AM$6:$BA$6, 0))/100)</f>
        <v>-</v>
      </c>
      <c r="K26" s="257" t="str">
        <f>IF($E26&lt;DATE(2018,7,1),"-",INDEX('Annual Inflation'!$AM$50:$BA$50, MATCH(YEAR(EOMONTH($E26,6)), 'Annual Inflation'!$AM$6:$BA$6, 0))/100)</f>
        <v>-</v>
      </c>
      <c r="L26" s="258">
        <f t="shared" si="2"/>
        <v>73.5</v>
      </c>
      <c r="M26" s="258">
        <f t="shared" si="3"/>
        <v>171.1</v>
      </c>
      <c r="N26" s="258">
        <f t="shared" si="4"/>
        <v>171.1</v>
      </c>
    </row>
    <row r="27" spans="1:14" ht="15">
      <c r="A27" s="2"/>
      <c r="B27" s="2"/>
      <c r="C27" s="2"/>
      <c r="D27" s="2"/>
      <c r="E27" s="248">
        <v>36923</v>
      </c>
      <c r="F27" s="323">
        <f t="shared" si="0"/>
        <v>36950</v>
      </c>
      <c r="G27" s="159">
        <f t="shared" si="1"/>
        <v>2001</v>
      </c>
      <c r="H27" s="290">
        <v>73.7</v>
      </c>
      <c r="I27" s="249">
        <v>172</v>
      </c>
      <c r="J27" s="257" t="str">
        <f>IF($E27&lt;DATE(2018,7,1),"-",INDEX('Annual Inflation'!$AM$53:$BA$53, MATCH(YEAR(EOMONTH($E27,6)), 'Annual Inflation'!$AM$6:$BA$6, 0))/100)</f>
        <v>-</v>
      </c>
      <c r="K27" s="257" t="str">
        <f>IF($E27&lt;DATE(2018,7,1),"-",INDEX('Annual Inflation'!$AM$50:$BA$50, MATCH(YEAR(EOMONTH($E27,6)), 'Annual Inflation'!$AM$6:$BA$6, 0))/100)</f>
        <v>-</v>
      </c>
      <c r="L27" s="258">
        <f t="shared" si="2"/>
        <v>73.7</v>
      </c>
      <c r="M27" s="258">
        <f t="shared" si="3"/>
        <v>172</v>
      </c>
      <c r="N27" s="258">
        <f t="shared" si="4"/>
        <v>172</v>
      </c>
    </row>
    <row r="28" spans="1:14" ht="15">
      <c r="A28" s="2"/>
      <c r="B28" s="2"/>
      <c r="C28" s="2"/>
      <c r="D28" s="2"/>
      <c r="E28" s="248">
        <v>36951</v>
      </c>
      <c r="F28" s="323">
        <f t="shared" si="0"/>
        <v>36981</v>
      </c>
      <c r="G28" s="159">
        <f t="shared" si="1"/>
        <v>2001</v>
      </c>
      <c r="H28" s="290">
        <v>73.900000000000006</v>
      </c>
      <c r="I28" s="249">
        <v>172.2</v>
      </c>
      <c r="J28" s="257" t="str">
        <f>IF($E28&lt;DATE(2018,7,1),"-",INDEX('Annual Inflation'!$AM$53:$BA$53, MATCH(YEAR(EOMONTH($E28,6)), 'Annual Inflation'!$AM$6:$BA$6, 0))/100)</f>
        <v>-</v>
      </c>
      <c r="K28" s="257" t="str">
        <f>IF($E28&lt;DATE(2018,7,1),"-",INDEX('Annual Inflation'!$AM$50:$BA$50, MATCH(YEAR(EOMONTH($E28,6)), 'Annual Inflation'!$AM$6:$BA$6, 0))/100)</f>
        <v>-</v>
      </c>
      <c r="L28" s="258">
        <f t="shared" si="2"/>
        <v>73.900000000000006</v>
      </c>
      <c r="M28" s="258">
        <f t="shared" si="3"/>
        <v>172.2</v>
      </c>
      <c r="N28" s="258">
        <f t="shared" si="4"/>
        <v>172.2</v>
      </c>
    </row>
    <row r="29" spans="1:14" ht="15">
      <c r="A29" s="2"/>
      <c r="B29" s="2"/>
      <c r="C29" s="2"/>
      <c r="D29" s="2"/>
      <c r="E29" s="248">
        <v>36982</v>
      </c>
      <c r="F29" s="323">
        <f t="shared" si="0"/>
        <v>37011</v>
      </c>
      <c r="G29" s="159">
        <f t="shared" si="1"/>
        <v>2002</v>
      </c>
      <c r="H29" s="290">
        <v>74.400000000000006</v>
      </c>
      <c r="I29" s="249">
        <v>173.1</v>
      </c>
      <c r="J29" s="257" t="str">
        <f>IF($E29&lt;DATE(2018,7,1),"-",INDEX('Annual Inflation'!$AM$53:$BA$53, MATCH(YEAR(EOMONTH($E29,6)), 'Annual Inflation'!$AM$6:$BA$6, 0))/100)</f>
        <v>-</v>
      </c>
      <c r="K29" s="257" t="str">
        <f>IF($E29&lt;DATE(2018,7,1),"-",INDEX('Annual Inflation'!$AM$50:$BA$50, MATCH(YEAR(EOMONTH($E29,6)), 'Annual Inflation'!$AM$6:$BA$6, 0))/100)</f>
        <v>-</v>
      </c>
      <c r="L29" s="258">
        <f t="shared" si="2"/>
        <v>74.400000000000006</v>
      </c>
      <c r="M29" s="258">
        <f t="shared" si="3"/>
        <v>173.1</v>
      </c>
      <c r="N29" s="258">
        <f t="shared" si="4"/>
        <v>173.1</v>
      </c>
    </row>
    <row r="30" spans="1:14" ht="15">
      <c r="A30" s="2"/>
      <c r="B30" s="2"/>
      <c r="C30" s="2"/>
      <c r="D30" s="2"/>
      <c r="E30" s="248">
        <v>37012</v>
      </c>
      <c r="F30" s="323">
        <f t="shared" si="0"/>
        <v>37042</v>
      </c>
      <c r="G30" s="159">
        <f t="shared" si="1"/>
        <v>2002</v>
      </c>
      <c r="H30" s="290">
        <v>74.900000000000006</v>
      </c>
      <c r="I30" s="249">
        <v>174.2</v>
      </c>
      <c r="J30" s="257" t="str">
        <f>IF($E30&lt;DATE(2018,7,1),"-",INDEX('Annual Inflation'!$AM$53:$BA$53, MATCH(YEAR(EOMONTH($E30,6)), 'Annual Inflation'!$AM$6:$BA$6, 0))/100)</f>
        <v>-</v>
      </c>
      <c r="K30" s="257" t="str">
        <f>IF($E30&lt;DATE(2018,7,1),"-",INDEX('Annual Inflation'!$AM$50:$BA$50, MATCH(YEAR(EOMONTH($E30,6)), 'Annual Inflation'!$AM$6:$BA$6, 0))/100)</f>
        <v>-</v>
      </c>
      <c r="L30" s="258">
        <f t="shared" si="2"/>
        <v>74.900000000000006</v>
      </c>
      <c r="M30" s="258">
        <f t="shared" si="3"/>
        <v>174.2</v>
      </c>
      <c r="N30" s="258">
        <f t="shared" si="4"/>
        <v>174.2</v>
      </c>
    </row>
    <row r="31" spans="1:14" ht="15">
      <c r="A31" s="2"/>
      <c r="B31" s="2"/>
      <c r="C31" s="2"/>
      <c r="D31" s="27"/>
      <c r="E31" s="248">
        <v>37043</v>
      </c>
      <c r="F31" s="323">
        <f t="shared" si="0"/>
        <v>37072</v>
      </c>
      <c r="G31" s="159">
        <f t="shared" si="1"/>
        <v>2002</v>
      </c>
      <c r="H31" s="290">
        <v>75</v>
      </c>
      <c r="I31" s="249">
        <v>174.4</v>
      </c>
      <c r="J31" s="257" t="str">
        <f>IF($E31&lt;DATE(2018,7,1),"-",INDEX('Annual Inflation'!$AM$53:$BA$53, MATCH(YEAR(EOMONTH($E31,6)), 'Annual Inflation'!$AM$6:$BA$6, 0))/100)</f>
        <v>-</v>
      </c>
      <c r="K31" s="257" t="str">
        <f>IF($E31&lt;DATE(2018,7,1),"-",INDEX('Annual Inflation'!$AM$50:$BA$50, MATCH(YEAR(EOMONTH($E31,6)), 'Annual Inflation'!$AM$6:$BA$6, 0))/100)</f>
        <v>-</v>
      </c>
      <c r="L31" s="258">
        <f t="shared" si="2"/>
        <v>75</v>
      </c>
      <c r="M31" s="258">
        <f t="shared" si="3"/>
        <v>174.4</v>
      </c>
      <c r="N31" s="258">
        <f t="shared" si="4"/>
        <v>174.4</v>
      </c>
    </row>
    <row r="32" spans="1:14" ht="15">
      <c r="A32" s="2"/>
      <c r="B32" s="2"/>
      <c r="C32" s="2"/>
      <c r="D32" s="34"/>
      <c r="E32" s="248">
        <v>37073</v>
      </c>
      <c r="F32" s="323">
        <f t="shared" si="0"/>
        <v>37103</v>
      </c>
      <c r="G32" s="159">
        <f t="shared" si="1"/>
        <v>2002</v>
      </c>
      <c r="H32" s="290">
        <v>74.5</v>
      </c>
      <c r="I32" s="249">
        <v>173.3</v>
      </c>
      <c r="J32" s="257" t="str">
        <f>IF($E32&lt;DATE(2018,7,1),"-",INDEX('Annual Inflation'!$AM$53:$BA$53, MATCH(YEAR(EOMONTH($E32,6)), 'Annual Inflation'!$AM$6:$BA$6, 0))/100)</f>
        <v>-</v>
      </c>
      <c r="K32" s="257" t="str">
        <f>IF($E32&lt;DATE(2018,7,1),"-",INDEX('Annual Inflation'!$AM$50:$BA$50, MATCH(YEAR(EOMONTH($E32,6)), 'Annual Inflation'!$AM$6:$BA$6, 0))/100)</f>
        <v>-</v>
      </c>
      <c r="L32" s="258">
        <f t="shared" si="2"/>
        <v>74.5</v>
      </c>
      <c r="M32" s="258">
        <f t="shared" si="3"/>
        <v>173.3</v>
      </c>
      <c r="N32" s="258">
        <f t="shared" si="4"/>
        <v>173.3</v>
      </c>
    </row>
    <row r="33" spans="1:14" ht="15">
      <c r="A33" s="2"/>
      <c r="B33" s="2"/>
      <c r="C33" s="2"/>
      <c r="D33" s="2"/>
      <c r="E33" s="248">
        <v>37104</v>
      </c>
      <c r="F33" s="323">
        <f t="shared" si="0"/>
        <v>37134</v>
      </c>
      <c r="G33" s="159">
        <f t="shared" si="1"/>
        <v>2002</v>
      </c>
      <c r="H33" s="290">
        <v>74.8</v>
      </c>
      <c r="I33" s="249">
        <v>174</v>
      </c>
      <c r="J33" s="257" t="str">
        <f>IF($E33&lt;DATE(2018,7,1),"-",INDEX('Annual Inflation'!$AM$53:$BA$53, MATCH(YEAR(EOMONTH($E33,6)), 'Annual Inflation'!$AM$6:$BA$6, 0))/100)</f>
        <v>-</v>
      </c>
      <c r="K33" s="257" t="str">
        <f>IF($E33&lt;DATE(2018,7,1),"-",INDEX('Annual Inflation'!$AM$50:$BA$50, MATCH(YEAR(EOMONTH($E33,6)), 'Annual Inflation'!$AM$6:$BA$6, 0))/100)</f>
        <v>-</v>
      </c>
      <c r="L33" s="258">
        <f t="shared" si="2"/>
        <v>74.8</v>
      </c>
      <c r="M33" s="258">
        <f t="shared" si="3"/>
        <v>174</v>
      </c>
      <c r="N33" s="258">
        <f t="shared" si="4"/>
        <v>174</v>
      </c>
    </row>
    <row r="34" spans="1:14" ht="15">
      <c r="A34" s="2"/>
      <c r="B34" s="2"/>
      <c r="C34" s="2"/>
      <c r="D34" s="2"/>
      <c r="E34" s="248">
        <v>37135</v>
      </c>
      <c r="F34" s="323">
        <f t="shared" si="0"/>
        <v>37164</v>
      </c>
      <c r="G34" s="159">
        <f t="shared" si="1"/>
        <v>2002</v>
      </c>
      <c r="H34" s="290">
        <v>75</v>
      </c>
      <c r="I34" s="249">
        <v>174.6</v>
      </c>
      <c r="J34" s="257" t="str">
        <f>IF($E34&lt;DATE(2018,7,1),"-",INDEX('Annual Inflation'!$AM$53:$BA$53, MATCH(YEAR(EOMONTH($E34,6)), 'Annual Inflation'!$AM$6:$BA$6, 0))/100)</f>
        <v>-</v>
      </c>
      <c r="K34" s="257" t="str">
        <f>IF($E34&lt;DATE(2018,7,1),"-",INDEX('Annual Inflation'!$AM$50:$BA$50, MATCH(YEAR(EOMONTH($E34,6)), 'Annual Inflation'!$AM$6:$BA$6, 0))/100)</f>
        <v>-</v>
      </c>
      <c r="L34" s="258">
        <f t="shared" si="2"/>
        <v>75</v>
      </c>
      <c r="M34" s="258">
        <f t="shared" si="3"/>
        <v>174.6</v>
      </c>
      <c r="N34" s="258">
        <f t="shared" si="4"/>
        <v>174.6</v>
      </c>
    </row>
    <row r="35" spans="1:14" ht="15">
      <c r="A35" s="2"/>
      <c r="B35" s="2"/>
      <c r="C35" s="2"/>
      <c r="D35" s="2"/>
      <c r="E35" s="248">
        <v>37165</v>
      </c>
      <c r="F35" s="323">
        <f t="shared" si="0"/>
        <v>37195</v>
      </c>
      <c r="G35" s="159">
        <f t="shared" si="1"/>
        <v>2002</v>
      </c>
      <c r="H35" s="290">
        <v>74.900000000000006</v>
      </c>
      <c r="I35" s="249">
        <v>174.3</v>
      </c>
      <c r="J35" s="257" t="str">
        <f>IF($E35&lt;DATE(2018,7,1),"-",INDEX('Annual Inflation'!$AM$53:$BA$53, MATCH(YEAR(EOMONTH($E35,6)), 'Annual Inflation'!$AM$6:$BA$6, 0))/100)</f>
        <v>-</v>
      </c>
      <c r="K35" s="257" t="str">
        <f>IF($E35&lt;DATE(2018,7,1),"-",INDEX('Annual Inflation'!$AM$50:$BA$50, MATCH(YEAR(EOMONTH($E35,6)), 'Annual Inflation'!$AM$6:$BA$6, 0))/100)</f>
        <v>-</v>
      </c>
      <c r="L35" s="258">
        <f t="shared" si="2"/>
        <v>74.900000000000006</v>
      </c>
      <c r="M35" s="258">
        <f t="shared" si="3"/>
        <v>174.3</v>
      </c>
      <c r="N35" s="258">
        <f t="shared" si="4"/>
        <v>174.3</v>
      </c>
    </row>
    <row r="36" spans="1:14" ht="15">
      <c r="A36" s="2"/>
      <c r="B36" s="2"/>
      <c r="C36" s="2"/>
      <c r="D36" s="2"/>
      <c r="E36" s="248">
        <v>37196</v>
      </c>
      <c r="F36" s="323">
        <f t="shared" si="0"/>
        <v>37225</v>
      </c>
      <c r="G36" s="159">
        <f t="shared" si="1"/>
        <v>2002</v>
      </c>
      <c r="H36" s="290">
        <v>74.900000000000006</v>
      </c>
      <c r="I36" s="249">
        <v>173.6</v>
      </c>
      <c r="J36" s="257" t="str">
        <f>IF($E36&lt;DATE(2018,7,1),"-",INDEX('Annual Inflation'!$AM$53:$BA$53, MATCH(YEAR(EOMONTH($E36,6)), 'Annual Inflation'!$AM$6:$BA$6, 0))/100)</f>
        <v>-</v>
      </c>
      <c r="K36" s="257" t="str">
        <f>IF($E36&lt;DATE(2018,7,1),"-",INDEX('Annual Inflation'!$AM$50:$BA$50, MATCH(YEAR(EOMONTH($E36,6)), 'Annual Inflation'!$AM$6:$BA$6, 0))/100)</f>
        <v>-</v>
      </c>
      <c r="L36" s="258">
        <f t="shared" si="2"/>
        <v>74.900000000000006</v>
      </c>
      <c r="M36" s="258">
        <f t="shared" si="3"/>
        <v>173.6</v>
      </c>
      <c r="N36" s="258">
        <f t="shared" si="4"/>
        <v>173.6</v>
      </c>
    </row>
    <row r="37" spans="1:14" ht="15">
      <c r="A37" s="2"/>
      <c r="B37" s="2"/>
      <c r="C37" s="2"/>
      <c r="D37" s="2"/>
      <c r="E37" s="248">
        <v>37226</v>
      </c>
      <c r="F37" s="323">
        <f t="shared" si="0"/>
        <v>37256</v>
      </c>
      <c r="G37" s="159">
        <f t="shared" si="1"/>
        <v>2002</v>
      </c>
      <c r="H37" s="290">
        <v>75</v>
      </c>
      <c r="I37" s="249">
        <v>173.4</v>
      </c>
      <c r="J37" s="257" t="str">
        <f>IF($E37&lt;DATE(2018,7,1),"-",INDEX('Annual Inflation'!$AM$53:$BA$53, MATCH(YEAR(EOMONTH($E37,6)), 'Annual Inflation'!$AM$6:$BA$6, 0))/100)</f>
        <v>-</v>
      </c>
      <c r="K37" s="257" t="str">
        <f>IF($E37&lt;DATE(2018,7,1),"-",INDEX('Annual Inflation'!$AM$50:$BA$50, MATCH(YEAR(EOMONTH($E37,6)), 'Annual Inflation'!$AM$6:$BA$6, 0))/100)</f>
        <v>-</v>
      </c>
      <c r="L37" s="258">
        <f t="shared" si="2"/>
        <v>75</v>
      </c>
      <c r="M37" s="258">
        <f t="shared" si="3"/>
        <v>173.4</v>
      </c>
      <c r="N37" s="258">
        <f t="shared" si="4"/>
        <v>173.4</v>
      </c>
    </row>
    <row r="38" spans="1:14" ht="15">
      <c r="A38" s="2"/>
      <c r="B38" s="2"/>
      <c r="C38" s="2"/>
      <c r="D38" s="2"/>
      <c r="E38" s="248">
        <v>37257</v>
      </c>
      <c r="F38" s="323">
        <f t="shared" si="0"/>
        <v>37287</v>
      </c>
      <c r="G38" s="159">
        <f t="shared" si="1"/>
        <v>2002</v>
      </c>
      <c r="H38" s="290">
        <v>74.8</v>
      </c>
      <c r="I38" s="249">
        <v>173.3</v>
      </c>
      <c r="J38" s="257" t="str">
        <f>IF($E38&lt;DATE(2018,7,1),"-",INDEX('Annual Inflation'!$AM$53:$BA$53, MATCH(YEAR(EOMONTH($E38,6)), 'Annual Inflation'!$AM$6:$BA$6, 0))/100)</f>
        <v>-</v>
      </c>
      <c r="K38" s="257" t="str">
        <f>IF($E38&lt;DATE(2018,7,1),"-",INDEX('Annual Inflation'!$AM$50:$BA$50, MATCH(YEAR(EOMONTH($E38,6)), 'Annual Inflation'!$AM$6:$BA$6, 0))/100)</f>
        <v>-</v>
      </c>
      <c r="L38" s="258">
        <f t="shared" si="2"/>
        <v>74.8</v>
      </c>
      <c r="M38" s="258">
        <f t="shared" si="3"/>
        <v>173.3</v>
      </c>
      <c r="N38" s="258">
        <f t="shared" si="4"/>
        <v>173.3</v>
      </c>
    </row>
    <row r="39" spans="1:14" ht="15">
      <c r="A39" s="2"/>
      <c r="B39" s="2"/>
      <c r="C39" s="2"/>
      <c r="D39" s="2"/>
      <c r="E39" s="248">
        <v>37288</v>
      </c>
      <c r="F39" s="323">
        <f t="shared" si="0"/>
        <v>37315</v>
      </c>
      <c r="G39" s="159">
        <f t="shared" si="1"/>
        <v>2002</v>
      </c>
      <c r="H39" s="290">
        <v>75</v>
      </c>
      <c r="I39" s="249">
        <v>173.8</v>
      </c>
      <c r="J39" s="257" t="str">
        <f>IF($E39&lt;DATE(2018,7,1),"-",INDEX('Annual Inflation'!$AM$53:$BA$53, MATCH(YEAR(EOMONTH($E39,6)), 'Annual Inflation'!$AM$6:$BA$6, 0))/100)</f>
        <v>-</v>
      </c>
      <c r="K39" s="257" t="str">
        <f>IF($E39&lt;DATE(2018,7,1),"-",INDEX('Annual Inflation'!$AM$50:$BA$50, MATCH(YEAR(EOMONTH($E39,6)), 'Annual Inflation'!$AM$6:$BA$6, 0))/100)</f>
        <v>-</v>
      </c>
      <c r="L39" s="258">
        <f t="shared" si="2"/>
        <v>75</v>
      </c>
      <c r="M39" s="258">
        <f t="shared" si="3"/>
        <v>173.8</v>
      </c>
      <c r="N39" s="258">
        <f t="shared" si="4"/>
        <v>173.8</v>
      </c>
    </row>
    <row r="40" spans="1:14" ht="15">
      <c r="A40" s="2"/>
      <c r="B40" s="2"/>
      <c r="C40" s="2"/>
      <c r="D40" s="27"/>
      <c r="E40" s="248">
        <v>37316</v>
      </c>
      <c r="F40" s="323">
        <f t="shared" si="0"/>
        <v>37346</v>
      </c>
      <c r="G40" s="159">
        <f t="shared" si="1"/>
        <v>2002</v>
      </c>
      <c r="H40" s="290">
        <v>75.2</v>
      </c>
      <c r="I40" s="249">
        <v>174.5</v>
      </c>
      <c r="J40" s="257" t="str">
        <f>IF($E40&lt;DATE(2018,7,1),"-",INDEX('Annual Inflation'!$AM$53:$BA$53, MATCH(YEAR(EOMONTH($E40,6)), 'Annual Inflation'!$AM$6:$BA$6, 0))/100)</f>
        <v>-</v>
      </c>
      <c r="K40" s="257" t="str">
        <f>IF($E40&lt;DATE(2018,7,1),"-",INDEX('Annual Inflation'!$AM$50:$BA$50, MATCH(YEAR(EOMONTH($E40,6)), 'Annual Inflation'!$AM$6:$BA$6, 0))/100)</f>
        <v>-</v>
      </c>
      <c r="L40" s="258">
        <f t="shared" si="2"/>
        <v>75.2</v>
      </c>
      <c r="M40" s="258">
        <f t="shared" si="3"/>
        <v>174.5</v>
      </c>
      <c r="N40" s="258">
        <f t="shared" si="4"/>
        <v>174.5</v>
      </c>
    </row>
    <row r="41" spans="1:14" ht="15">
      <c r="A41" s="2"/>
      <c r="B41" s="2"/>
      <c r="C41" s="2"/>
      <c r="D41" s="35"/>
      <c r="E41" s="248">
        <v>37347</v>
      </c>
      <c r="F41" s="323">
        <f t="shared" si="0"/>
        <v>37376</v>
      </c>
      <c r="G41" s="159">
        <f t="shared" si="1"/>
        <v>2003</v>
      </c>
      <c r="H41" s="290">
        <v>75.599999999999994</v>
      </c>
      <c r="I41" s="249">
        <v>175.7</v>
      </c>
      <c r="J41" s="257" t="str">
        <f>IF($E41&lt;DATE(2018,7,1),"-",INDEX('Annual Inflation'!$AM$53:$BA$53, MATCH(YEAR(EOMONTH($E41,6)), 'Annual Inflation'!$AM$6:$BA$6, 0))/100)</f>
        <v>-</v>
      </c>
      <c r="K41" s="257" t="str">
        <f>IF($E41&lt;DATE(2018,7,1),"-",INDEX('Annual Inflation'!$AM$50:$BA$50, MATCH(YEAR(EOMONTH($E41,6)), 'Annual Inflation'!$AM$6:$BA$6, 0))/100)</f>
        <v>-</v>
      </c>
      <c r="L41" s="258">
        <f t="shared" si="2"/>
        <v>75.599999999999994</v>
      </c>
      <c r="M41" s="258">
        <f t="shared" si="3"/>
        <v>175.7</v>
      </c>
      <c r="N41" s="258">
        <f t="shared" si="4"/>
        <v>175.7</v>
      </c>
    </row>
    <row r="42" spans="1:14" ht="15">
      <c r="A42" s="2"/>
      <c r="B42" s="2"/>
      <c r="C42" s="2"/>
      <c r="D42" s="2"/>
      <c r="E42" s="248">
        <v>37377</v>
      </c>
      <c r="F42" s="323">
        <f t="shared" si="0"/>
        <v>37407</v>
      </c>
      <c r="G42" s="159">
        <f t="shared" si="1"/>
        <v>2003</v>
      </c>
      <c r="H42" s="290">
        <v>75.8</v>
      </c>
      <c r="I42" s="249">
        <v>176.2</v>
      </c>
      <c r="J42" s="257" t="str">
        <f>IF($E42&lt;DATE(2018,7,1),"-",INDEX('Annual Inflation'!$AM$53:$BA$53, MATCH(YEAR(EOMONTH($E42,6)), 'Annual Inflation'!$AM$6:$BA$6, 0))/100)</f>
        <v>-</v>
      </c>
      <c r="K42" s="257" t="str">
        <f>IF($E42&lt;DATE(2018,7,1),"-",INDEX('Annual Inflation'!$AM$50:$BA$50, MATCH(YEAR(EOMONTH($E42,6)), 'Annual Inflation'!$AM$6:$BA$6, 0))/100)</f>
        <v>-</v>
      </c>
      <c r="L42" s="258">
        <f t="shared" si="2"/>
        <v>75.8</v>
      </c>
      <c r="M42" s="258">
        <f t="shared" si="3"/>
        <v>176.2</v>
      </c>
      <c r="N42" s="258">
        <f t="shared" si="4"/>
        <v>176.2</v>
      </c>
    </row>
    <row r="43" spans="1:14" ht="15">
      <c r="A43" s="2"/>
      <c r="B43" s="2"/>
      <c r="C43" s="2"/>
      <c r="D43" s="2"/>
      <c r="E43" s="248">
        <v>37408</v>
      </c>
      <c r="F43" s="323">
        <f t="shared" si="0"/>
        <v>37437</v>
      </c>
      <c r="G43" s="159">
        <f t="shared" si="1"/>
        <v>2003</v>
      </c>
      <c r="H43" s="290">
        <v>75.8</v>
      </c>
      <c r="I43" s="249">
        <v>176.2</v>
      </c>
      <c r="J43" s="257" t="str">
        <f>IF($E43&lt;DATE(2018,7,1),"-",INDEX('Annual Inflation'!$AM$53:$BA$53, MATCH(YEAR(EOMONTH($E43,6)), 'Annual Inflation'!$AM$6:$BA$6, 0))/100)</f>
        <v>-</v>
      </c>
      <c r="K43" s="257" t="str">
        <f>IF($E43&lt;DATE(2018,7,1),"-",INDEX('Annual Inflation'!$AM$50:$BA$50, MATCH(YEAR(EOMONTH($E43,6)), 'Annual Inflation'!$AM$6:$BA$6, 0))/100)</f>
        <v>-</v>
      </c>
      <c r="L43" s="258">
        <f t="shared" si="2"/>
        <v>75.8</v>
      </c>
      <c r="M43" s="258">
        <f t="shared" si="3"/>
        <v>176.2</v>
      </c>
      <c r="N43" s="258">
        <f t="shared" si="4"/>
        <v>176.2</v>
      </c>
    </row>
    <row r="44" spans="1:14" ht="15">
      <c r="A44" s="2"/>
      <c r="B44" s="2"/>
      <c r="C44" s="2"/>
      <c r="D44" s="2"/>
      <c r="E44" s="248">
        <v>37438</v>
      </c>
      <c r="F44" s="323">
        <f t="shared" si="0"/>
        <v>37468</v>
      </c>
      <c r="G44" s="159">
        <f t="shared" si="1"/>
        <v>2003</v>
      </c>
      <c r="H44" s="290">
        <v>75.599999999999994</v>
      </c>
      <c r="I44" s="249">
        <v>175.9</v>
      </c>
      <c r="J44" s="257" t="str">
        <f>IF($E44&lt;DATE(2018,7,1),"-",INDEX('Annual Inflation'!$AM$53:$BA$53, MATCH(YEAR(EOMONTH($E44,6)), 'Annual Inflation'!$AM$6:$BA$6, 0))/100)</f>
        <v>-</v>
      </c>
      <c r="K44" s="257" t="str">
        <f>IF($E44&lt;DATE(2018,7,1),"-",INDEX('Annual Inflation'!$AM$50:$BA$50, MATCH(YEAR(EOMONTH($E44,6)), 'Annual Inflation'!$AM$6:$BA$6, 0))/100)</f>
        <v>-</v>
      </c>
      <c r="L44" s="258">
        <f t="shared" si="2"/>
        <v>75.599999999999994</v>
      </c>
      <c r="M44" s="258">
        <f t="shared" si="3"/>
        <v>175.9</v>
      </c>
      <c r="N44" s="258">
        <f t="shared" si="4"/>
        <v>175.9</v>
      </c>
    </row>
    <row r="45" spans="1:14" ht="15">
      <c r="A45" s="2"/>
      <c r="B45" s="2"/>
      <c r="C45" s="2"/>
      <c r="D45" s="2"/>
      <c r="E45" s="248">
        <v>37469</v>
      </c>
      <c r="F45" s="323">
        <f t="shared" si="0"/>
        <v>37499</v>
      </c>
      <c r="G45" s="159">
        <f t="shared" si="1"/>
        <v>2003</v>
      </c>
      <c r="H45" s="290">
        <v>75.8</v>
      </c>
      <c r="I45" s="249">
        <v>176.4</v>
      </c>
      <c r="J45" s="257" t="str">
        <f>IF($E45&lt;DATE(2018,7,1),"-",INDEX('Annual Inflation'!$AM$53:$BA$53, MATCH(YEAR(EOMONTH($E45,6)), 'Annual Inflation'!$AM$6:$BA$6, 0))/100)</f>
        <v>-</v>
      </c>
      <c r="K45" s="257" t="str">
        <f>IF($E45&lt;DATE(2018,7,1),"-",INDEX('Annual Inflation'!$AM$50:$BA$50, MATCH(YEAR(EOMONTH($E45,6)), 'Annual Inflation'!$AM$6:$BA$6, 0))/100)</f>
        <v>-</v>
      </c>
      <c r="L45" s="258">
        <f t="shared" si="2"/>
        <v>75.8</v>
      </c>
      <c r="M45" s="258">
        <f t="shared" si="3"/>
        <v>176.4</v>
      </c>
      <c r="N45" s="258">
        <f t="shared" si="4"/>
        <v>176.4</v>
      </c>
    </row>
    <row r="46" spans="1:14" ht="15">
      <c r="A46" s="2"/>
      <c r="B46" s="2"/>
      <c r="C46" s="2"/>
      <c r="D46" s="2"/>
      <c r="E46" s="248">
        <v>37500</v>
      </c>
      <c r="F46" s="323">
        <f t="shared" si="0"/>
        <v>37529</v>
      </c>
      <c r="G46" s="159">
        <f t="shared" si="1"/>
        <v>2003</v>
      </c>
      <c r="H46" s="290">
        <v>76</v>
      </c>
      <c r="I46" s="249">
        <v>177.6</v>
      </c>
      <c r="J46" s="257" t="str">
        <f>IF($E46&lt;DATE(2018,7,1),"-",INDEX('Annual Inflation'!$AM$53:$BA$53, MATCH(YEAR(EOMONTH($E46,6)), 'Annual Inflation'!$AM$6:$BA$6, 0))/100)</f>
        <v>-</v>
      </c>
      <c r="K46" s="257" t="str">
        <f>IF($E46&lt;DATE(2018,7,1),"-",INDEX('Annual Inflation'!$AM$50:$BA$50, MATCH(YEAR(EOMONTH($E46,6)), 'Annual Inflation'!$AM$6:$BA$6, 0))/100)</f>
        <v>-</v>
      </c>
      <c r="L46" s="258">
        <f t="shared" si="2"/>
        <v>76</v>
      </c>
      <c r="M46" s="258">
        <f t="shared" si="3"/>
        <v>177.6</v>
      </c>
      <c r="N46" s="258">
        <f t="shared" si="4"/>
        <v>177.6</v>
      </c>
    </row>
    <row r="47" spans="1:14" ht="15">
      <c r="A47" s="2"/>
      <c r="B47" s="2"/>
      <c r="C47" s="2"/>
      <c r="D47" s="2"/>
      <c r="E47" s="248">
        <v>37530</v>
      </c>
      <c r="F47" s="323">
        <f t="shared" si="0"/>
        <v>37560</v>
      </c>
      <c r="G47" s="159">
        <f t="shared" si="1"/>
        <v>2003</v>
      </c>
      <c r="H47" s="290">
        <v>76.099999999999994</v>
      </c>
      <c r="I47" s="249">
        <v>177.9</v>
      </c>
      <c r="J47" s="257" t="str">
        <f>IF($E47&lt;DATE(2018,7,1),"-",INDEX('Annual Inflation'!$AM$53:$BA$53, MATCH(YEAR(EOMONTH($E47,6)), 'Annual Inflation'!$AM$6:$BA$6, 0))/100)</f>
        <v>-</v>
      </c>
      <c r="K47" s="257" t="str">
        <f>IF($E47&lt;DATE(2018,7,1),"-",INDEX('Annual Inflation'!$AM$50:$BA$50, MATCH(YEAR(EOMONTH($E47,6)), 'Annual Inflation'!$AM$6:$BA$6, 0))/100)</f>
        <v>-</v>
      </c>
      <c r="L47" s="258">
        <f t="shared" si="2"/>
        <v>76.099999999999994</v>
      </c>
      <c r="M47" s="258">
        <f t="shared" si="3"/>
        <v>177.9</v>
      </c>
      <c r="N47" s="258">
        <f t="shared" si="4"/>
        <v>177.9</v>
      </c>
    </row>
    <row r="48" spans="1:14" ht="15">
      <c r="A48" s="2"/>
      <c r="B48" s="2"/>
      <c r="C48" s="2"/>
      <c r="D48" s="2"/>
      <c r="E48" s="248">
        <v>37561</v>
      </c>
      <c r="F48" s="323">
        <f t="shared" si="0"/>
        <v>37590</v>
      </c>
      <c r="G48" s="159">
        <f t="shared" si="1"/>
        <v>2003</v>
      </c>
      <c r="H48" s="290">
        <v>76.099999999999994</v>
      </c>
      <c r="I48" s="249">
        <v>178.2</v>
      </c>
      <c r="J48" s="257" t="str">
        <f>IF($E48&lt;DATE(2018,7,1),"-",INDEX('Annual Inflation'!$AM$53:$BA$53, MATCH(YEAR(EOMONTH($E48,6)), 'Annual Inflation'!$AM$6:$BA$6, 0))/100)</f>
        <v>-</v>
      </c>
      <c r="K48" s="257" t="str">
        <f>IF($E48&lt;DATE(2018,7,1),"-",INDEX('Annual Inflation'!$AM$50:$BA$50, MATCH(YEAR(EOMONTH($E48,6)), 'Annual Inflation'!$AM$6:$BA$6, 0))/100)</f>
        <v>-</v>
      </c>
      <c r="L48" s="258">
        <f t="shared" si="2"/>
        <v>76.099999999999994</v>
      </c>
      <c r="M48" s="258">
        <f t="shared" si="3"/>
        <v>178.2</v>
      </c>
      <c r="N48" s="258">
        <f t="shared" si="4"/>
        <v>178.2</v>
      </c>
    </row>
    <row r="49" spans="1:14" ht="15">
      <c r="A49" s="2"/>
      <c r="B49" s="2"/>
      <c r="C49" s="2"/>
      <c r="D49" s="2"/>
      <c r="E49" s="248">
        <v>37591</v>
      </c>
      <c r="F49" s="323">
        <f t="shared" si="0"/>
        <v>37621</v>
      </c>
      <c r="G49" s="159">
        <f t="shared" si="1"/>
        <v>2003</v>
      </c>
      <c r="H49" s="290">
        <v>76.3</v>
      </c>
      <c r="I49" s="249">
        <v>178.5</v>
      </c>
      <c r="J49" s="257" t="str">
        <f>IF($E49&lt;DATE(2018,7,1),"-",INDEX('Annual Inflation'!$AM$53:$BA$53, MATCH(YEAR(EOMONTH($E49,6)), 'Annual Inflation'!$AM$6:$BA$6, 0))/100)</f>
        <v>-</v>
      </c>
      <c r="K49" s="257" t="str">
        <f>IF($E49&lt;DATE(2018,7,1),"-",INDEX('Annual Inflation'!$AM$50:$BA$50, MATCH(YEAR(EOMONTH($E49,6)), 'Annual Inflation'!$AM$6:$BA$6, 0))/100)</f>
        <v>-</v>
      </c>
      <c r="L49" s="258">
        <f t="shared" si="2"/>
        <v>76.3</v>
      </c>
      <c r="M49" s="258">
        <f t="shared" si="3"/>
        <v>178.5</v>
      </c>
      <c r="N49" s="258">
        <f t="shared" si="4"/>
        <v>178.5</v>
      </c>
    </row>
    <row r="50" spans="1:14" ht="15">
      <c r="E50" s="248">
        <v>37622</v>
      </c>
      <c r="F50" s="323">
        <f t="shared" si="0"/>
        <v>37652</v>
      </c>
      <c r="G50" s="159">
        <f t="shared" si="1"/>
        <v>2003</v>
      </c>
      <c r="H50" s="290">
        <v>75.900000000000006</v>
      </c>
      <c r="I50" s="249">
        <v>178.4</v>
      </c>
      <c r="J50" s="257" t="str">
        <f>IF($E50&lt;DATE(2018,7,1),"-",INDEX('Annual Inflation'!$AM$53:$BA$53, MATCH(YEAR(EOMONTH($E50,6)), 'Annual Inflation'!$AM$6:$BA$6, 0))/100)</f>
        <v>-</v>
      </c>
      <c r="K50" s="257" t="str">
        <f>IF($E50&lt;DATE(2018,7,1),"-",INDEX('Annual Inflation'!$AM$50:$BA$50, MATCH(YEAR(EOMONTH($E50,6)), 'Annual Inflation'!$AM$6:$BA$6, 0))/100)</f>
        <v>-</v>
      </c>
      <c r="L50" s="258">
        <f t="shared" si="2"/>
        <v>75.900000000000006</v>
      </c>
      <c r="M50" s="258">
        <f t="shared" si="3"/>
        <v>178.4</v>
      </c>
      <c r="N50" s="258">
        <f t="shared" si="4"/>
        <v>178.4</v>
      </c>
    </row>
    <row r="51" spans="1:14" ht="15">
      <c r="E51" s="248">
        <v>37653</v>
      </c>
      <c r="F51" s="323">
        <f t="shared" si="0"/>
        <v>37680</v>
      </c>
      <c r="G51" s="159">
        <f t="shared" si="1"/>
        <v>2003</v>
      </c>
      <c r="H51" s="290">
        <v>76.099999999999994</v>
      </c>
      <c r="I51" s="249">
        <v>179.3</v>
      </c>
      <c r="J51" s="257" t="str">
        <f>IF($E51&lt;DATE(2018,7,1),"-",INDEX('Annual Inflation'!$AM$53:$BA$53, MATCH(YEAR(EOMONTH($E51,6)), 'Annual Inflation'!$AM$6:$BA$6, 0))/100)</f>
        <v>-</v>
      </c>
      <c r="K51" s="257" t="str">
        <f>IF($E51&lt;DATE(2018,7,1),"-",INDEX('Annual Inflation'!$AM$50:$BA$50, MATCH(YEAR(EOMONTH($E51,6)), 'Annual Inflation'!$AM$6:$BA$6, 0))/100)</f>
        <v>-</v>
      </c>
      <c r="L51" s="258">
        <f t="shared" si="2"/>
        <v>76.099999999999994</v>
      </c>
      <c r="M51" s="258">
        <f t="shared" si="3"/>
        <v>179.3</v>
      </c>
      <c r="N51" s="258">
        <f t="shared" si="4"/>
        <v>179.3</v>
      </c>
    </row>
    <row r="52" spans="1:14" ht="15">
      <c r="E52" s="248">
        <v>37681</v>
      </c>
      <c r="F52" s="323">
        <f t="shared" si="0"/>
        <v>37711</v>
      </c>
      <c r="G52" s="159">
        <f t="shared" si="1"/>
        <v>2003</v>
      </c>
      <c r="H52" s="290">
        <v>76.400000000000006</v>
      </c>
      <c r="I52" s="249">
        <v>179.9</v>
      </c>
      <c r="J52" s="257" t="str">
        <f>IF($E52&lt;DATE(2018,7,1),"-",INDEX('Annual Inflation'!$AM$53:$BA$53, MATCH(YEAR(EOMONTH($E52,6)), 'Annual Inflation'!$AM$6:$BA$6, 0))/100)</f>
        <v>-</v>
      </c>
      <c r="K52" s="257" t="str">
        <f>IF($E52&lt;DATE(2018,7,1),"-",INDEX('Annual Inflation'!$AM$50:$BA$50, MATCH(YEAR(EOMONTH($E52,6)), 'Annual Inflation'!$AM$6:$BA$6, 0))/100)</f>
        <v>-</v>
      </c>
      <c r="L52" s="258">
        <f t="shared" si="2"/>
        <v>76.400000000000006</v>
      </c>
      <c r="M52" s="258">
        <f t="shared" si="3"/>
        <v>179.9</v>
      </c>
      <c r="N52" s="258">
        <f t="shared" si="4"/>
        <v>179.9</v>
      </c>
    </row>
    <row r="53" spans="1:14" ht="15">
      <c r="E53" s="248">
        <v>37712</v>
      </c>
      <c r="F53" s="323">
        <f t="shared" si="0"/>
        <v>37741</v>
      </c>
      <c r="G53" s="159">
        <f t="shared" si="1"/>
        <v>2004</v>
      </c>
      <c r="H53" s="290">
        <v>76.8</v>
      </c>
      <c r="I53" s="249">
        <v>181.2</v>
      </c>
      <c r="J53" s="257" t="str">
        <f>IF($E53&lt;DATE(2018,7,1),"-",INDEX('Annual Inflation'!$AM$53:$BA$53, MATCH(YEAR(EOMONTH($E53,6)), 'Annual Inflation'!$AM$6:$BA$6, 0))/100)</f>
        <v>-</v>
      </c>
      <c r="K53" s="257" t="str">
        <f>IF($E53&lt;DATE(2018,7,1),"-",INDEX('Annual Inflation'!$AM$50:$BA$50, MATCH(YEAR(EOMONTH($E53,6)), 'Annual Inflation'!$AM$6:$BA$6, 0))/100)</f>
        <v>-</v>
      </c>
      <c r="L53" s="258">
        <f t="shared" si="2"/>
        <v>76.8</v>
      </c>
      <c r="M53" s="258">
        <f t="shared" si="3"/>
        <v>181.2</v>
      </c>
      <c r="N53" s="258">
        <f t="shared" si="4"/>
        <v>181.2</v>
      </c>
    </row>
    <row r="54" spans="1:14" ht="15">
      <c r="E54" s="248">
        <v>37742</v>
      </c>
      <c r="F54" s="323">
        <f t="shared" si="0"/>
        <v>37772</v>
      </c>
      <c r="G54" s="159">
        <f t="shared" si="1"/>
        <v>2004</v>
      </c>
      <c r="H54" s="290">
        <v>76.8</v>
      </c>
      <c r="I54" s="249">
        <v>181.5</v>
      </c>
      <c r="J54" s="257" t="str">
        <f>IF($E54&lt;DATE(2018,7,1),"-",INDEX('Annual Inflation'!$AM$53:$BA$53, MATCH(YEAR(EOMONTH($E54,6)), 'Annual Inflation'!$AM$6:$BA$6, 0))/100)</f>
        <v>-</v>
      </c>
      <c r="K54" s="257" t="str">
        <f>IF($E54&lt;DATE(2018,7,1),"-",INDEX('Annual Inflation'!$AM$50:$BA$50, MATCH(YEAR(EOMONTH($E54,6)), 'Annual Inflation'!$AM$6:$BA$6, 0))/100)</f>
        <v>-</v>
      </c>
      <c r="L54" s="258">
        <f t="shared" si="2"/>
        <v>76.8</v>
      </c>
      <c r="M54" s="258">
        <f t="shared" si="3"/>
        <v>181.5</v>
      </c>
      <c r="N54" s="258">
        <f t="shared" si="4"/>
        <v>181.5</v>
      </c>
    </row>
    <row r="55" spans="1:14" ht="15">
      <c r="E55" s="248">
        <v>37773</v>
      </c>
      <c r="F55" s="323">
        <f t="shared" si="0"/>
        <v>37802</v>
      </c>
      <c r="G55" s="159">
        <f t="shared" si="1"/>
        <v>2004</v>
      </c>
      <c r="H55" s="290">
        <v>76.7</v>
      </c>
      <c r="I55" s="249">
        <v>181.3</v>
      </c>
      <c r="J55" s="257" t="str">
        <f>IF($E55&lt;DATE(2018,7,1),"-",INDEX('Annual Inflation'!$AM$53:$BA$53, MATCH(YEAR(EOMONTH($E55,6)), 'Annual Inflation'!$AM$6:$BA$6, 0))/100)</f>
        <v>-</v>
      </c>
      <c r="K55" s="257" t="str">
        <f>IF($E55&lt;DATE(2018,7,1),"-",INDEX('Annual Inflation'!$AM$50:$BA$50, MATCH(YEAR(EOMONTH($E55,6)), 'Annual Inflation'!$AM$6:$BA$6, 0))/100)</f>
        <v>-</v>
      </c>
      <c r="L55" s="258">
        <f t="shared" si="2"/>
        <v>76.7</v>
      </c>
      <c r="M55" s="258">
        <f t="shared" si="3"/>
        <v>181.3</v>
      </c>
      <c r="N55" s="258">
        <f t="shared" si="4"/>
        <v>181.3</v>
      </c>
    </row>
    <row r="56" spans="1:14" ht="15">
      <c r="E56" s="248">
        <v>37803</v>
      </c>
      <c r="F56" s="323">
        <f t="shared" si="0"/>
        <v>37833</v>
      </c>
      <c r="G56" s="159">
        <f t="shared" si="1"/>
        <v>2004</v>
      </c>
      <c r="H56" s="290">
        <v>76.599999999999994</v>
      </c>
      <c r="I56" s="249">
        <v>181.3</v>
      </c>
      <c r="J56" s="257" t="str">
        <f>IF($E56&lt;DATE(2018,7,1),"-",INDEX('Annual Inflation'!$AM$53:$BA$53, MATCH(YEAR(EOMONTH($E56,6)), 'Annual Inflation'!$AM$6:$BA$6, 0))/100)</f>
        <v>-</v>
      </c>
      <c r="K56" s="257" t="str">
        <f>IF($E56&lt;DATE(2018,7,1),"-",INDEX('Annual Inflation'!$AM$50:$BA$50, MATCH(YEAR(EOMONTH($E56,6)), 'Annual Inflation'!$AM$6:$BA$6, 0))/100)</f>
        <v>-</v>
      </c>
      <c r="L56" s="258">
        <f t="shared" si="2"/>
        <v>76.599999999999994</v>
      </c>
      <c r="M56" s="258">
        <f t="shared" si="3"/>
        <v>181.3</v>
      </c>
      <c r="N56" s="258">
        <f t="shared" si="4"/>
        <v>181.3</v>
      </c>
    </row>
    <row r="57" spans="1:14" ht="15">
      <c r="E57" s="248">
        <v>37834</v>
      </c>
      <c r="F57" s="323">
        <f t="shared" si="0"/>
        <v>37864</v>
      </c>
      <c r="G57" s="159">
        <f t="shared" si="1"/>
        <v>2004</v>
      </c>
      <c r="H57" s="290">
        <v>76.8</v>
      </c>
      <c r="I57" s="249">
        <v>181.6</v>
      </c>
      <c r="J57" s="257" t="str">
        <f>IF($E57&lt;DATE(2018,7,1),"-",INDEX('Annual Inflation'!$AM$53:$BA$53, MATCH(YEAR(EOMONTH($E57,6)), 'Annual Inflation'!$AM$6:$BA$6, 0))/100)</f>
        <v>-</v>
      </c>
      <c r="K57" s="257" t="str">
        <f>IF($E57&lt;DATE(2018,7,1),"-",INDEX('Annual Inflation'!$AM$50:$BA$50, MATCH(YEAR(EOMONTH($E57,6)), 'Annual Inflation'!$AM$6:$BA$6, 0))/100)</f>
        <v>-</v>
      </c>
      <c r="L57" s="258">
        <f t="shared" si="2"/>
        <v>76.8</v>
      </c>
      <c r="M57" s="258">
        <f t="shared" si="3"/>
        <v>181.6</v>
      </c>
      <c r="N57" s="258">
        <f t="shared" si="4"/>
        <v>181.6</v>
      </c>
    </row>
    <row r="58" spans="1:14" ht="15">
      <c r="E58" s="248">
        <v>37865</v>
      </c>
      <c r="F58" s="323">
        <f t="shared" si="0"/>
        <v>37894</v>
      </c>
      <c r="G58" s="159">
        <f t="shared" si="1"/>
        <v>2004</v>
      </c>
      <c r="H58" s="290">
        <v>77</v>
      </c>
      <c r="I58" s="249">
        <v>182.5</v>
      </c>
      <c r="J58" s="257" t="str">
        <f>IF($E58&lt;DATE(2018,7,1),"-",INDEX('Annual Inflation'!$AM$53:$BA$53, MATCH(YEAR(EOMONTH($E58,6)), 'Annual Inflation'!$AM$6:$BA$6, 0))/100)</f>
        <v>-</v>
      </c>
      <c r="K58" s="257" t="str">
        <f>IF($E58&lt;DATE(2018,7,1),"-",INDEX('Annual Inflation'!$AM$50:$BA$50, MATCH(YEAR(EOMONTH($E58,6)), 'Annual Inflation'!$AM$6:$BA$6, 0))/100)</f>
        <v>-</v>
      </c>
      <c r="L58" s="258">
        <f t="shared" si="2"/>
        <v>77</v>
      </c>
      <c r="M58" s="258">
        <f t="shared" si="3"/>
        <v>182.5</v>
      </c>
      <c r="N58" s="258">
        <f t="shared" si="4"/>
        <v>182.5</v>
      </c>
    </row>
    <row r="59" spans="1:14" ht="15">
      <c r="E59" s="248">
        <v>37895</v>
      </c>
      <c r="F59" s="323">
        <f t="shared" si="0"/>
        <v>37925</v>
      </c>
      <c r="G59" s="159">
        <f t="shared" si="1"/>
        <v>2004</v>
      </c>
      <c r="H59" s="290">
        <v>77.099999999999994</v>
      </c>
      <c r="I59" s="249">
        <v>182.6</v>
      </c>
      <c r="J59" s="257" t="str">
        <f>IF($E59&lt;DATE(2018,7,1),"-",INDEX('Annual Inflation'!$AM$53:$BA$53, MATCH(YEAR(EOMONTH($E59,6)), 'Annual Inflation'!$AM$6:$BA$6, 0))/100)</f>
        <v>-</v>
      </c>
      <c r="K59" s="257" t="str">
        <f>IF($E59&lt;DATE(2018,7,1),"-",INDEX('Annual Inflation'!$AM$50:$BA$50, MATCH(YEAR(EOMONTH($E59,6)), 'Annual Inflation'!$AM$6:$BA$6, 0))/100)</f>
        <v>-</v>
      </c>
      <c r="L59" s="258">
        <f t="shared" si="2"/>
        <v>77.099999999999994</v>
      </c>
      <c r="M59" s="258">
        <f t="shared" si="3"/>
        <v>182.6</v>
      </c>
      <c r="N59" s="258">
        <f t="shared" si="4"/>
        <v>182.6</v>
      </c>
    </row>
    <row r="60" spans="1:14" ht="15">
      <c r="E60" s="248">
        <v>37926</v>
      </c>
      <c r="F60" s="323">
        <f t="shared" si="0"/>
        <v>37955</v>
      </c>
      <c r="G60" s="159">
        <f t="shared" si="1"/>
        <v>2004</v>
      </c>
      <c r="H60" s="290">
        <v>77.099999999999994</v>
      </c>
      <c r="I60" s="249">
        <v>182.7</v>
      </c>
      <c r="J60" s="257" t="str">
        <f>IF($E60&lt;DATE(2018,7,1),"-",INDEX('Annual Inflation'!$AM$53:$BA$53, MATCH(YEAR(EOMONTH($E60,6)), 'Annual Inflation'!$AM$6:$BA$6, 0))/100)</f>
        <v>-</v>
      </c>
      <c r="K60" s="257" t="str">
        <f>IF($E60&lt;DATE(2018,7,1),"-",INDEX('Annual Inflation'!$AM$50:$BA$50, MATCH(YEAR(EOMONTH($E60,6)), 'Annual Inflation'!$AM$6:$BA$6, 0))/100)</f>
        <v>-</v>
      </c>
      <c r="L60" s="258">
        <f t="shared" si="2"/>
        <v>77.099999999999994</v>
      </c>
      <c r="M60" s="258">
        <f t="shared" si="3"/>
        <v>182.7</v>
      </c>
      <c r="N60" s="258">
        <f t="shared" si="4"/>
        <v>182.7</v>
      </c>
    </row>
    <row r="61" spans="1:14" ht="15">
      <c r="E61" s="248">
        <v>37956</v>
      </c>
      <c r="F61" s="323">
        <f t="shared" si="0"/>
        <v>37986</v>
      </c>
      <c r="G61" s="159">
        <f t="shared" si="1"/>
        <v>2004</v>
      </c>
      <c r="H61" s="290">
        <v>77.3</v>
      </c>
      <c r="I61" s="249">
        <v>183.5</v>
      </c>
      <c r="J61" s="257" t="str">
        <f>IF($E61&lt;DATE(2018,7,1),"-",INDEX('Annual Inflation'!$AM$53:$BA$53, MATCH(YEAR(EOMONTH($E61,6)), 'Annual Inflation'!$AM$6:$BA$6, 0))/100)</f>
        <v>-</v>
      </c>
      <c r="K61" s="257" t="str">
        <f>IF($E61&lt;DATE(2018,7,1),"-",INDEX('Annual Inflation'!$AM$50:$BA$50, MATCH(YEAR(EOMONTH($E61,6)), 'Annual Inflation'!$AM$6:$BA$6, 0))/100)</f>
        <v>-</v>
      </c>
      <c r="L61" s="258">
        <f t="shared" si="2"/>
        <v>77.3</v>
      </c>
      <c r="M61" s="258">
        <f t="shared" si="3"/>
        <v>183.5</v>
      </c>
      <c r="N61" s="258">
        <f t="shared" si="4"/>
        <v>183.5</v>
      </c>
    </row>
    <row r="62" spans="1:14" ht="15">
      <c r="E62" s="248">
        <v>37987</v>
      </c>
      <c r="F62" s="323">
        <f t="shared" si="0"/>
        <v>38017</v>
      </c>
      <c r="G62" s="159">
        <f t="shared" si="1"/>
        <v>2004</v>
      </c>
      <c r="H62" s="290">
        <v>77</v>
      </c>
      <c r="I62" s="249">
        <v>183.1</v>
      </c>
      <c r="J62" s="257" t="str">
        <f>IF($E62&lt;DATE(2018,7,1),"-",INDEX('Annual Inflation'!$AM$53:$BA$53, MATCH(YEAR(EOMONTH($E62,6)), 'Annual Inflation'!$AM$6:$BA$6, 0))/100)</f>
        <v>-</v>
      </c>
      <c r="K62" s="257" t="str">
        <f>IF($E62&lt;DATE(2018,7,1),"-",INDEX('Annual Inflation'!$AM$50:$BA$50, MATCH(YEAR(EOMONTH($E62,6)), 'Annual Inflation'!$AM$6:$BA$6, 0))/100)</f>
        <v>-</v>
      </c>
      <c r="L62" s="258">
        <f t="shared" si="2"/>
        <v>77</v>
      </c>
      <c r="M62" s="258">
        <f t="shared" si="3"/>
        <v>183.1</v>
      </c>
      <c r="N62" s="258">
        <f t="shared" si="4"/>
        <v>183.1</v>
      </c>
    </row>
    <row r="63" spans="1:14" ht="15">
      <c r="E63" s="248">
        <v>38018</v>
      </c>
      <c r="F63" s="323">
        <f t="shared" si="0"/>
        <v>38046</v>
      </c>
      <c r="G63" s="159">
        <f t="shared" si="1"/>
        <v>2004</v>
      </c>
      <c r="H63" s="290">
        <v>77.2</v>
      </c>
      <c r="I63" s="249">
        <v>183.8</v>
      </c>
      <c r="J63" s="257" t="str">
        <f>IF($E63&lt;DATE(2018,7,1),"-",INDEX('Annual Inflation'!$AM$53:$BA$53, MATCH(YEAR(EOMONTH($E63,6)), 'Annual Inflation'!$AM$6:$BA$6, 0))/100)</f>
        <v>-</v>
      </c>
      <c r="K63" s="257" t="str">
        <f>IF($E63&lt;DATE(2018,7,1),"-",INDEX('Annual Inflation'!$AM$50:$BA$50, MATCH(YEAR(EOMONTH($E63,6)), 'Annual Inflation'!$AM$6:$BA$6, 0))/100)</f>
        <v>-</v>
      </c>
      <c r="L63" s="258">
        <f t="shared" si="2"/>
        <v>77.2</v>
      </c>
      <c r="M63" s="258">
        <f t="shared" si="3"/>
        <v>183.8</v>
      </c>
      <c r="N63" s="258">
        <f t="shared" si="4"/>
        <v>183.8</v>
      </c>
    </row>
    <row r="64" spans="1:14" ht="15">
      <c r="E64" s="248">
        <v>38047</v>
      </c>
      <c r="F64" s="323">
        <f t="shared" si="0"/>
        <v>38077</v>
      </c>
      <c r="G64" s="159">
        <f t="shared" si="1"/>
        <v>2004</v>
      </c>
      <c r="H64" s="290">
        <v>77.3</v>
      </c>
      <c r="I64" s="249">
        <v>184.6</v>
      </c>
      <c r="J64" s="257" t="str">
        <f>IF($E64&lt;DATE(2018,7,1),"-",INDEX('Annual Inflation'!$AM$53:$BA$53, MATCH(YEAR(EOMONTH($E64,6)), 'Annual Inflation'!$AM$6:$BA$6, 0))/100)</f>
        <v>-</v>
      </c>
      <c r="K64" s="257" t="str">
        <f>IF($E64&lt;DATE(2018,7,1),"-",INDEX('Annual Inflation'!$AM$50:$BA$50, MATCH(YEAR(EOMONTH($E64,6)), 'Annual Inflation'!$AM$6:$BA$6, 0))/100)</f>
        <v>-</v>
      </c>
      <c r="L64" s="258">
        <f t="shared" si="2"/>
        <v>77.3</v>
      </c>
      <c r="M64" s="258">
        <f t="shared" si="3"/>
        <v>184.6</v>
      </c>
      <c r="N64" s="258">
        <f t="shared" si="4"/>
        <v>184.6</v>
      </c>
    </row>
    <row r="65" spans="5:14" ht="15">
      <c r="E65" s="248">
        <v>38078</v>
      </c>
      <c r="F65" s="323">
        <f t="shared" si="0"/>
        <v>38107</v>
      </c>
      <c r="G65" s="159">
        <f t="shared" si="1"/>
        <v>2005</v>
      </c>
      <c r="H65" s="290">
        <v>77.599999999999994</v>
      </c>
      <c r="I65" s="249">
        <v>185.7</v>
      </c>
      <c r="J65" s="257" t="str">
        <f>IF($E65&lt;DATE(2018,7,1),"-",INDEX('Annual Inflation'!$AM$53:$BA$53, MATCH(YEAR(EOMONTH($E65,6)), 'Annual Inflation'!$AM$6:$BA$6, 0))/100)</f>
        <v>-</v>
      </c>
      <c r="K65" s="257" t="str">
        <f>IF($E65&lt;DATE(2018,7,1),"-",INDEX('Annual Inflation'!$AM$50:$BA$50, MATCH(YEAR(EOMONTH($E65,6)), 'Annual Inflation'!$AM$6:$BA$6, 0))/100)</f>
        <v>-</v>
      </c>
      <c r="L65" s="258">
        <f t="shared" si="2"/>
        <v>77.599999999999994</v>
      </c>
      <c r="M65" s="258">
        <f t="shared" si="3"/>
        <v>185.7</v>
      </c>
      <c r="N65" s="258">
        <f t="shared" si="4"/>
        <v>185.7</v>
      </c>
    </row>
    <row r="66" spans="5:14" ht="15">
      <c r="E66" s="248">
        <v>38108</v>
      </c>
      <c r="F66" s="323">
        <f t="shared" si="0"/>
        <v>38138</v>
      </c>
      <c r="G66" s="159">
        <f t="shared" si="1"/>
        <v>2005</v>
      </c>
      <c r="H66" s="290">
        <v>77.900000000000006</v>
      </c>
      <c r="I66" s="249">
        <v>186.5</v>
      </c>
      <c r="J66" s="257" t="str">
        <f>IF($E66&lt;DATE(2018,7,1),"-",INDEX('Annual Inflation'!$AM$53:$BA$53, MATCH(YEAR(EOMONTH($E66,6)), 'Annual Inflation'!$AM$6:$BA$6, 0))/100)</f>
        <v>-</v>
      </c>
      <c r="K66" s="257" t="str">
        <f>IF($E66&lt;DATE(2018,7,1),"-",INDEX('Annual Inflation'!$AM$50:$BA$50, MATCH(YEAR(EOMONTH($E66,6)), 'Annual Inflation'!$AM$6:$BA$6, 0))/100)</f>
        <v>-</v>
      </c>
      <c r="L66" s="258">
        <f t="shared" si="2"/>
        <v>77.900000000000006</v>
      </c>
      <c r="M66" s="258">
        <f t="shared" si="3"/>
        <v>186.5</v>
      </c>
      <c r="N66" s="258">
        <f t="shared" si="4"/>
        <v>186.5</v>
      </c>
    </row>
    <row r="67" spans="5:14" ht="15">
      <c r="E67" s="248">
        <v>38139</v>
      </c>
      <c r="F67" s="323">
        <f t="shared" si="0"/>
        <v>38168</v>
      </c>
      <c r="G67" s="159">
        <f t="shared" si="1"/>
        <v>2005</v>
      </c>
      <c r="H67" s="290">
        <v>77.900000000000006</v>
      </c>
      <c r="I67" s="249">
        <v>186.8</v>
      </c>
      <c r="J67" s="257" t="str">
        <f>IF($E67&lt;DATE(2018,7,1),"-",INDEX('Annual Inflation'!$AM$53:$BA$53, MATCH(YEAR(EOMONTH($E67,6)), 'Annual Inflation'!$AM$6:$BA$6, 0))/100)</f>
        <v>-</v>
      </c>
      <c r="K67" s="257" t="str">
        <f>IF($E67&lt;DATE(2018,7,1),"-",INDEX('Annual Inflation'!$AM$50:$BA$50, MATCH(YEAR(EOMONTH($E67,6)), 'Annual Inflation'!$AM$6:$BA$6, 0))/100)</f>
        <v>-</v>
      </c>
      <c r="L67" s="258">
        <f t="shared" si="2"/>
        <v>77.900000000000006</v>
      </c>
      <c r="M67" s="258">
        <f t="shared" si="3"/>
        <v>186.8</v>
      </c>
      <c r="N67" s="258">
        <f t="shared" si="4"/>
        <v>186.8</v>
      </c>
    </row>
    <row r="68" spans="5:14" ht="15">
      <c r="E68" s="248">
        <v>38169</v>
      </c>
      <c r="F68" s="323">
        <f t="shared" si="0"/>
        <v>38199</v>
      </c>
      <c r="G68" s="159">
        <f t="shared" si="1"/>
        <v>2005</v>
      </c>
      <c r="H68" s="290">
        <v>77.7</v>
      </c>
      <c r="I68" s="249">
        <v>186.8</v>
      </c>
      <c r="J68" s="257" t="str">
        <f>IF($E68&lt;DATE(2018,7,1),"-",INDEX('Annual Inflation'!$AM$53:$BA$53, MATCH(YEAR(EOMONTH($E68,6)), 'Annual Inflation'!$AM$6:$BA$6, 0))/100)</f>
        <v>-</v>
      </c>
      <c r="K68" s="257" t="str">
        <f>IF($E68&lt;DATE(2018,7,1),"-",INDEX('Annual Inflation'!$AM$50:$BA$50, MATCH(YEAR(EOMONTH($E68,6)), 'Annual Inflation'!$AM$6:$BA$6, 0))/100)</f>
        <v>-</v>
      </c>
      <c r="L68" s="258">
        <f t="shared" si="2"/>
        <v>77.7</v>
      </c>
      <c r="M68" s="258">
        <f t="shared" si="3"/>
        <v>186.8</v>
      </c>
      <c r="N68" s="258">
        <f t="shared" si="4"/>
        <v>186.8</v>
      </c>
    </row>
    <row r="69" spans="5:14" ht="15">
      <c r="E69" s="248">
        <v>38200</v>
      </c>
      <c r="F69" s="323">
        <f t="shared" si="0"/>
        <v>38230</v>
      </c>
      <c r="G69" s="159">
        <f t="shared" si="1"/>
        <v>2005</v>
      </c>
      <c r="H69" s="290">
        <v>77.900000000000006</v>
      </c>
      <c r="I69" s="249">
        <v>187.4</v>
      </c>
      <c r="J69" s="257" t="str">
        <f>IF($E69&lt;DATE(2018,7,1),"-",INDEX('Annual Inflation'!$AM$53:$BA$53, MATCH(YEAR(EOMONTH($E69,6)), 'Annual Inflation'!$AM$6:$BA$6, 0))/100)</f>
        <v>-</v>
      </c>
      <c r="K69" s="257" t="str">
        <f>IF($E69&lt;DATE(2018,7,1),"-",INDEX('Annual Inflation'!$AM$50:$BA$50, MATCH(YEAR(EOMONTH($E69,6)), 'Annual Inflation'!$AM$6:$BA$6, 0))/100)</f>
        <v>-</v>
      </c>
      <c r="L69" s="258">
        <f t="shared" si="2"/>
        <v>77.900000000000006</v>
      </c>
      <c r="M69" s="258">
        <f t="shared" si="3"/>
        <v>187.4</v>
      </c>
      <c r="N69" s="258">
        <f t="shared" si="4"/>
        <v>187.4</v>
      </c>
    </row>
    <row r="70" spans="5:14" ht="15">
      <c r="E70" s="248">
        <v>38231</v>
      </c>
      <c r="F70" s="323">
        <f t="shared" ref="F70:F133" si="5">EOMONTH(E70, 0)</f>
        <v>38260</v>
      </c>
      <c r="G70" s="159">
        <f t="shared" ref="G70:G133" si="6">IF(MONTH(E70)&gt;=4,YEAR(E70)+1,YEAR(E70))</f>
        <v>2005</v>
      </c>
      <c r="H70" s="290">
        <v>77.900000000000006</v>
      </c>
      <c r="I70" s="249">
        <v>188.1</v>
      </c>
      <c r="J70" s="257" t="str">
        <f>IF($E70&lt;DATE(2018,7,1),"-",INDEX('Annual Inflation'!$AM$53:$BA$53, MATCH(YEAR(EOMONTH($E70,6)), 'Annual Inflation'!$AM$6:$BA$6, 0))/100)</f>
        <v>-</v>
      </c>
      <c r="K70" s="257" t="str">
        <f>IF($E70&lt;DATE(2018,7,1),"-",INDEX('Annual Inflation'!$AM$50:$BA$50, MATCH(YEAR(EOMONTH($E70,6)), 'Annual Inflation'!$AM$6:$BA$6, 0))/100)</f>
        <v>-</v>
      </c>
      <c r="L70" s="258">
        <f t="shared" ref="L70:L133" si="7">IF(ISBLANK(H70),L69*((1+J70)^(1/12)),H70)</f>
        <v>77.900000000000006</v>
      </c>
      <c r="M70" s="258">
        <f t="shared" ref="M70:M133" si="8">IF(ISBLANK(I70),M69*((1+K70)^(1/12)),I70)</f>
        <v>188.1</v>
      </c>
      <c r="N70" s="258">
        <f t="shared" ref="N70:N133" si="9">IF($E70 &lt; DATE(2023,4,1),  M70,  IF($E70 = DATE(2023,4,1), N69 * ((0.5*L70/L69) + (0.5*M70/M69)), N69*(L70/L69)))</f>
        <v>188.1</v>
      </c>
    </row>
    <row r="71" spans="5:14" ht="15">
      <c r="E71" s="248">
        <v>38261</v>
      </c>
      <c r="F71" s="323">
        <f t="shared" si="5"/>
        <v>38291</v>
      </c>
      <c r="G71" s="159">
        <f t="shared" si="6"/>
        <v>2005</v>
      </c>
      <c r="H71" s="290">
        <v>78.099999999999994</v>
      </c>
      <c r="I71" s="249">
        <v>188.6</v>
      </c>
      <c r="J71" s="257" t="str">
        <f>IF($E71&lt;DATE(2018,7,1),"-",INDEX('Annual Inflation'!$AM$53:$BA$53, MATCH(YEAR(EOMONTH($E71,6)), 'Annual Inflation'!$AM$6:$BA$6, 0))/100)</f>
        <v>-</v>
      </c>
      <c r="K71" s="257" t="str">
        <f>IF($E71&lt;DATE(2018,7,1),"-",INDEX('Annual Inflation'!$AM$50:$BA$50, MATCH(YEAR(EOMONTH($E71,6)), 'Annual Inflation'!$AM$6:$BA$6, 0))/100)</f>
        <v>-</v>
      </c>
      <c r="L71" s="258">
        <f t="shared" si="7"/>
        <v>78.099999999999994</v>
      </c>
      <c r="M71" s="258">
        <f t="shared" si="8"/>
        <v>188.6</v>
      </c>
      <c r="N71" s="258">
        <f t="shared" si="9"/>
        <v>188.6</v>
      </c>
    </row>
    <row r="72" spans="5:14" ht="15">
      <c r="E72" s="248">
        <v>38292</v>
      </c>
      <c r="F72" s="323">
        <f t="shared" si="5"/>
        <v>38321</v>
      </c>
      <c r="G72" s="159">
        <f t="shared" si="6"/>
        <v>2005</v>
      </c>
      <c r="H72" s="290">
        <v>78.3</v>
      </c>
      <c r="I72" s="249">
        <v>189</v>
      </c>
      <c r="J72" s="257" t="str">
        <f>IF($E72&lt;DATE(2018,7,1),"-",INDEX('Annual Inflation'!$AM$53:$BA$53, MATCH(YEAR(EOMONTH($E72,6)), 'Annual Inflation'!$AM$6:$BA$6, 0))/100)</f>
        <v>-</v>
      </c>
      <c r="K72" s="257" t="str">
        <f>IF($E72&lt;DATE(2018,7,1),"-",INDEX('Annual Inflation'!$AM$50:$BA$50, MATCH(YEAR(EOMONTH($E72,6)), 'Annual Inflation'!$AM$6:$BA$6, 0))/100)</f>
        <v>-</v>
      </c>
      <c r="L72" s="258">
        <f t="shared" si="7"/>
        <v>78.3</v>
      </c>
      <c r="M72" s="258">
        <f t="shared" si="8"/>
        <v>189</v>
      </c>
      <c r="N72" s="258">
        <f t="shared" si="9"/>
        <v>189</v>
      </c>
    </row>
    <row r="73" spans="5:14" ht="15">
      <c r="E73" s="248">
        <v>38322</v>
      </c>
      <c r="F73" s="323">
        <f t="shared" si="5"/>
        <v>38352</v>
      </c>
      <c r="G73" s="159">
        <f t="shared" si="6"/>
        <v>2005</v>
      </c>
      <c r="H73" s="290">
        <v>78.599999999999994</v>
      </c>
      <c r="I73" s="249">
        <v>189.9</v>
      </c>
      <c r="J73" s="257" t="str">
        <f>IF($E73&lt;DATE(2018,7,1),"-",INDEX('Annual Inflation'!$AM$53:$BA$53, MATCH(YEAR(EOMONTH($E73,6)), 'Annual Inflation'!$AM$6:$BA$6, 0))/100)</f>
        <v>-</v>
      </c>
      <c r="K73" s="257" t="str">
        <f>IF($E73&lt;DATE(2018,7,1),"-",INDEX('Annual Inflation'!$AM$50:$BA$50, MATCH(YEAR(EOMONTH($E73,6)), 'Annual Inflation'!$AM$6:$BA$6, 0))/100)</f>
        <v>-</v>
      </c>
      <c r="L73" s="258">
        <f t="shared" si="7"/>
        <v>78.599999999999994</v>
      </c>
      <c r="M73" s="258">
        <f t="shared" si="8"/>
        <v>189.9</v>
      </c>
      <c r="N73" s="258">
        <f t="shared" si="9"/>
        <v>189.9</v>
      </c>
    </row>
    <row r="74" spans="5:14" ht="15">
      <c r="E74" s="248">
        <v>38353</v>
      </c>
      <c r="F74" s="323">
        <f t="shared" si="5"/>
        <v>38383</v>
      </c>
      <c r="G74" s="159">
        <f t="shared" si="6"/>
        <v>2005</v>
      </c>
      <c r="H74" s="290">
        <v>78.3</v>
      </c>
      <c r="I74" s="249">
        <v>188.9</v>
      </c>
      <c r="J74" s="257" t="str">
        <f>IF($E74&lt;DATE(2018,7,1),"-",INDEX('Annual Inflation'!$AM$53:$BA$53, MATCH(YEAR(EOMONTH($E74,6)), 'Annual Inflation'!$AM$6:$BA$6, 0))/100)</f>
        <v>-</v>
      </c>
      <c r="K74" s="257" t="str">
        <f>IF($E74&lt;DATE(2018,7,1),"-",INDEX('Annual Inflation'!$AM$50:$BA$50, MATCH(YEAR(EOMONTH($E74,6)), 'Annual Inflation'!$AM$6:$BA$6, 0))/100)</f>
        <v>-</v>
      </c>
      <c r="L74" s="258">
        <f t="shared" si="7"/>
        <v>78.3</v>
      </c>
      <c r="M74" s="258">
        <f t="shared" si="8"/>
        <v>188.9</v>
      </c>
      <c r="N74" s="258">
        <f t="shared" si="9"/>
        <v>188.9</v>
      </c>
    </row>
    <row r="75" spans="5:14" ht="15">
      <c r="E75" s="248">
        <v>38384</v>
      </c>
      <c r="F75" s="323">
        <f t="shared" si="5"/>
        <v>38411</v>
      </c>
      <c r="G75" s="159">
        <f t="shared" si="6"/>
        <v>2005</v>
      </c>
      <c r="H75" s="290">
        <v>78.5</v>
      </c>
      <c r="I75" s="249">
        <v>189.6</v>
      </c>
      <c r="J75" s="257" t="str">
        <f>IF($E75&lt;DATE(2018,7,1),"-",INDEX('Annual Inflation'!$AM$53:$BA$53, MATCH(YEAR(EOMONTH($E75,6)), 'Annual Inflation'!$AM$6:$BA$6, 0))/100)</f>
        <v>-</v>
      </c>
      <c r="K75" s="257" t="str">
        <f>IF($E75&lt;DATE(2018,7,1),"-",INDEX('Annual Inflation'!$AM$50:$BA$50, MATCH(YEAR(EOMONTH($E75,6)), 'Annual Inflation'!$AM$6:$BA$6, 0))/100)</f>
        <v>-</v>
      </c>
      <c r="L75" s="258">
        <f t="shared" si="7"/>
        <v>78.5</v>
      </c>
      <c r="M75" s="258">
        <f t="shared" si="8"/>
        <v>189.6</v>
      </c>
      <c r="N75" s="258">
        <f t="shared" si="9"/>
        <v>189.6</v>
      </c>
    </row>
    <row r="76" spans="5:14" ht="15">
      <c r="E76" s="248">
        <v>38412</v>
      </c>
      <c r="F76" s="323">
        <f t="shared" si="5"/>
        <v>38442</v>
      </c>
      <c r="G76" s="159">
        <f t="shared" si="6"/>
        <v>2005</v>
      </c>
      <c r="H76" s="290">
        <v>78.8</v>
      </c>
      <c r="I76" s="249">
        <v>190.5</v>
      </c>
      <c r="J76" s="257" t="str">
        <f>IF($E76&lt;DATE(2018,7,1),"-",INDEX('Annual Inflation'!$AM$53:$BA$53, MATCH(YEAR(EOMONTH($E76,6)), 'Annual Inflation'!$AM$6:$BA$6, 0))/100)</f>
        <v>-</v>
      </c>
      <c r="K76" s="257" t="str">
        <f>IF($E76&lt;DATE(2018,7,1),"-",INDEX('Annual Inflation'!$AM$50:$BA$50, MATCH(YEAR(EOMONTH($E76,6)), 'Annual Inflation'!$AM$6:$BA$6, 0))/100)</f>
        <v>-</v>
      </c>
      <c r="L76" s="258">
        <f t="shared" si="7"/>
        <v>78.8</v>
      </c>
      <c r="M76" s="258">
        <f t="shared" si="8"/>
        <v>190.5</v>
      </c>
      <c r="N76" s="258">
        <f t="shared" si="9"/>
        <v>190.5</v>
      </c>
    </row>
    <row r="77" spans="5:14" ht="15">
      <c r="E77" s="248">
        <v>38443</v>
      </c>
      <c r="F77" s="323">
        <f t="shared" si="5"/>
        <v>38472</v>
      </c>
      <c r="G77" s="159">
        <f t="shared" si="6"/>
        <v>2006</v>
      </c>
      <c r="H77" s="290">
        <v>79.099999999999994</v>
      </c>
      <c r="I77" s="249">
        <v>191.6</v>
      </c>
      <c r="J77" s="257" t="str">
        <f>IF($E77&lt;DATE(2018,7,1),"-",INDEX('Annual Inflation'!$AM$53:$BA$53, MATCH(YEAR(EOMONTH($E77,6)), 'Annual Inflation'!$AM$6:$BA$6, 0))/100)</f>
        <v>-</v>
      </c>
      <c r="K77" s="257" t="str">
        <f>IF($E77&lt;DATE(2018,7,1),"-",INDEX('Annual Inflation'!$AM$50:$BA$50, MATCH(YEAR(EOMONTH($E77,6)), 'Annual Inflation'!$AM$6:$BA$6, 0))/100)</f>
        <v>-</v>
      </c>
      <c r="L77" s="258">
        <f t="shared" si="7"/>
        <v>79.099999999999994</v>
      </c>
      <c r="M77" s="258">
        <f t="shared" si="8"/>
        <v>191.6</v>
      </c>
      <c r="N77" s="258">
        <f t="shared" si="9"/>
        <v>191.6</v>
      </c>
    </row>
    <row r="78" spans="5:14" ht="15">
      <c r="E78" s="248">
        <v>38473</v>
      </c>
      <c r="F78" s="323">
        <f t="shared" si="5"/>
        <v>38503</v>
      </c>
      <c r="G78" s="159">
        <f t="shared" si="6"/>
        <v>2006</v>
      </c>
      <c r="H78" s="290">
        <v>79.400000000000006</v>
      </c>
      <c r="I78" s="249">
        <v>192</v>
      </c>
      <c r="J78" s="257" t="str">
        <f>IF($E78&lt;DATE(2018,7,1),"-",INDEX('Annual Inflation'!$AM$53:$BA$53, MATCH(YEAR(EOMONTH($E78,6)), 'Annual Inflation'!$AM$6:$BA$6, 0))/100)</f>
        <v>-</v>
      </c>
      <c r="K78" s="257" t="str">
        <f>IF($E78&lt;DATE(2018,7,1),"-",INDEX('Annual Inflation'!$AM$50:$BA$50, MATCH(YEAR(EOMONTH($E78,6)), 'Annual Inflation'!$AM$6:$BA$6, 0))/100)</f>
        <v>-</v>
      </c>
      <c r="L78" s="258">
        <f t="shared" si="7"/>
        <v>79.400000000000006</v>
      </c>
      <c r="M78" s="258">
        <f t="shared" si="8"/>
        <v>192</v>
      </c>
      <c r="N78" s="258">
        <f t="shared" si="9"/>
        <v>192</v>
      </c>
    </row>
    <row r="79" spans="5:14" ht="15">
      <c r="E79" s="248">
        <v>38504</v>
      </c>
      <c r="F79" s="323">
        <f t="shared" si="5"/>
        <v>38533</v>
      </c>
      <c r="G79" s="159">
        <f t="shared" si="6"/>
        <v>2006</v>
      </c>
      <c r="H79" s="290">
        <v>79.400000000000006</v>
      </c>
      <c r="I79" s="249">
        <v>192.2</v>
      </c>
      <c r="J79" s="257" t="str">
        <f>IF($E79&lt;DATE(2018,7,1),"-",INDEX('Annual Inflation'!$AM$53:$BA$53, MATCH(YEAR(EOMONTH($E79,6)), 'Annual Inflation'!$AM$6:$BA$6, 0))/100)</f>
        <v>-</v>
      </c>
      <c r="K79" s="257" t="str">
        <f>IF($E79&lt;DATE(2018,7,1),"-",INDEX('Annual Inflation'!$AM$50:$BA$50, MATCH(YEAR(EOMONTH($E79,6)), 'Annual Inflation'!$AM$6:$BA$6, 0))/100)</f>
        <v>-</v>
      </c>
      <c r="L79" s="258">
        <f t="shared" si="7"/>
        <v>79.400000000000006</v>
      </c>
      <c r="M79" s="258">
        <f t="shared" si="8"/>
        <v>192.2</v>
      </c>
      <c r="N79" s="258">
        <f t="shared" si="9"/>
        <v>192.2</v>
      </c>
    </row>
    <row r="80" spans="5:14" ht="15">
      <c r="E80" s="248">
        <v>38534</v>
      </c>
      <c r="F80" s="323">
        <f t="shared" si="5"/>
        <v>38564</v>
      </c>
      <c r="G80" s="159">
        <f t="shared" si="6"/>
        <v>2006</v>
      </c>
      <c r="H80" s="290">
        <v>79.5</v>
      </c>
      <c r="I80" s="249">
        <v>192.2</v>
      </c>
      <c r="J80" s="257" t="str">
        <f>IF($E80&lt;DATE(2018,7,1),"-",INDEX('Annual Inflation'!$AM$53:$BA$53, MATCH(YEAR(EOMONTH($E80,6)), 'Annual Inflation'!$AM$6:$BA$6, 0))/100)</f>
        <v>-</v>
      </c>
      <c r="K80" s="257" t="str">
        <f>IF($E80&lt;DATE(2018,7,1),"-",INDEX('Annual Inflation'!$AM$50:$BA$50, MATCH(YEAR(EOMONTH($E80,6)), 'Annual Inflation'!$AM$6:$BA$6, 0))/100)</f>
        <v>-</v>
      </c>
      <c r="L80" s="258">
        <f t="shared" si="7"/>
        <v>79.5</v>
      </c>
      <c r="M80" s="258">
        <f t="shared" si="8"/>
        <v>192.2</v>
      </c>
      <c r="N80" s="258">
        <f t="shared" si="9"/>
        <v>192.2</v>
      </c>
    </row>
    <row r="81" spans="5:14" ht="15">
      <c r="E81" s="248">
        <v>38565</v>
      </c>
      <c r="F81" s="323">
        <f t="shared" si="5"/>
        <v>38595</v>
      </c>
      <c r="G81" s="159">
        <f t="shared" si="6"/>
        <v>2006</v>
      </c>
      <c r="H81" s="290">
        <v>79.7</v>
      </c>
      <c r="I81" s="249">
        <v>192.6</v>
      </c>
      <c r="J81" s="257" t="str">
        <f>IF($E81&lt;DATE(2018,7,1),"-",INDEX('Annual Inflation'!$AM$53:$BA$53, MATCH(YEAR(EOMONTH($E81,6)), 'Annual Inflation'!$AM$6:$BA$6, 0))/100)</f>
        <v>-</v>
      </c>
      <c r="K81" s="257" t="str">
        <f>IF($E81&lt;DATE(2018,7,1),"-",INDEX('Annual Inflation'!$AM$50:$BA$50, MATCH(YEAR(EOMONTH($E81,6)), 'Annual Inflation'!$AM$6:$BA$6, 0))/100)</f>
        <v>-</v>
      </c>
      <c r="L81" s="258">
        <f t="shared" si="7"/>
        <v>79.7</v>
      </c>
      <c r="M81" s="258">
        <f t="shared" si="8"/>
        <v>192.6</v>
      </c>
      <c r="N81" s="258">
        <f t="shared" si="9"/>
        <v>192.6</v>
      </c>
    </row>
    <row r="82" spans="5:14" ht="15">
      <c r="E82" s="248">
        <v>38596</v>
      </c>
      <c r="F82" s="323">
        <f t="shared" si="5"/>
        <v>38625</v>
      </c>
      <c r="G82" s="159">
        <f t="shared" si="6"/>
        <v>2006</v>
      </c>
      <c r="H82" s="290">
        <v>79.900000000000006</v>
      </c>
      <c r="I82" s="249">
        <v>193.1</v>
      </c>
      <c r="J82" s="257" t="str">
        <f>IF($E82&lt;DATE(2018,7,1),"-",INDEX('Annual Inflation'!$AM$53:$BA$53, MATCH(YEAR(EOMONTH($E82,6)), 'Annual Inflation'!$AM$6:$BA$6, 0))/100)</f>
        <v>-</v>
      </c>
      <c r="K82" s="257" t="str">
        <f>IF($E82&lt;DATE(2018,7,1),"-",INDEX('Annual Inflation'!$AM$50:$BA$50, MATCH(YEAR(EOMONTH($E82,6)), 'Annual Inflation'!$AM$6:$BA$6, 0))/100)</f>
        <v>-</v>
      </c>
      <c r="L82" s="258">
        <f t="shared" si="7"/>
        <v>79.900000000000006</v>
      </c>
      <c r="M82" s="258">
        <f t="shared" si="8"/>
        <v>193.1</v>
      </c>
      <c r="N82" s="258">
        <f t="shared" si="9"/>
        <v>193.1</v>
      </c>
    </row>
    <row r="83" spans="5:14" ht="15">
      <c r="E83" s="248">
        <v>38626</v>
      </c>
      <c r="F83" s="323">
        <f t="shared" si="5"/>
        <v>38656</v>
      </c>
      <c r="G83" s="159">
        <f t="shared" si="6"/>
        <v>2006</v>
      </c>
      <c r="H83" s="290">
        <v>80</v>
      </c>
      <c r="I83" s="249">
        <v>193.3</v>
      </c>
      <c r="J83" s="257" t="str">
        <f>IF($E83&lt;DATE(2018,7,1),"-",INDEX('Annual Inflation'!$AM$53:$BA$53, MATCH(YEAR(EOMONTH($E83,6)), 'Annual Inflation'!$AM$6:$BA$6, 0))/100)</f>
        <v>-</v>
      </c>
      <c r="K83" s="257" t="str">
        <f>IF($E83&lt;DATE(2018,7,1),"-",INDEX('Annual Inflation'!$AM$50:$BA$50, MATCH(YEAR(EOMONTH($E83,6)), 'Annual Inflation'!$AM$6:$BA$6, 0))/100)</f>
        <v>-</v>
      </c>
      <c r="L83" s="258">
        <f t="shared" si="7"/>
        <v>80</v>
      </c>
      <c r="M83" s="258">
        <f t="shared" si="8"/>
        <v>193.3</v>
      </c>
      <c r="N83" s="258">
        <f t="shared" si="9"/>
        <v>193.3</v>
      </c>
    </row>
    <row r="84" spans="5:14" ht="15">
      <c r="E84" s="248">
        <v>38657</v>
      </c>
      <c r="F84" s="323">
        <f t="shared" si="5"/>
        <v>38686</v>
      </c>
      <c r="G84" s="159">
        <f t="shared" si="6"/>
        <v>2006</v>
      </c>
      <c r="H84" s="290">
        <v>80</v>
      </c>
      <c r="I84" s="249">
        <v>193.6</v>
      </c>
      <c r="J84" s="257" t="str">
        <f>IF($E84&lt;DATE(2018,7,1),"-",INDEX('Annual Inflation'!$AM$53:$BA$53, MATCH(YEAR(EOMONTH($E84,6)), 'Annual Inflation'!$AM$6:$BA$6, 0))/100)</f>
        <v>-</v>
      </c>
      <c r="K84" s="257" t="str">
        <f>IF($E84&lt;DATE(2018,7,1),"-",INDEX('Annual Inflation'!$AM$50:$BA$50, MATCH(YEAR(EOMONTH($E84,6)), 'Annual Inflation'!$AM$6:$BA$6, 0))/100)</f>
        <v>-</v>
      </c>
      <c r="L84" s="258">
        <f t="shared" si="7"/>
        <v>80</v>
      </c>
      <c r="M84" s="258">
        <f t="shared" si="8"/>
        <v>193.6</v>
      </c>
      <c r="N84" s="258">
        <f t="shared" si="9"/>
        <v>193.6</v>
      </c>
    </row>
    <row r="85" spans="5:14" ht="15">
      <c r="E85" s="248">
        <v>38687</v>
      </c>
      <c r="F85" s="323">
        <f t="shared" si="5"/>
        <v>38717</v>
      </c>
      <c r="G85" s="159">
        <f t="shared" si="6"/>
        <v>2006</v>
      </c>
      <c r="H85" s="290">
        <v>80.3</v>
      </c>
      <c r="I85" s="249">
        <v>194.1</v>
      </c>
      <c r="J85" s="257" t="str">
        <f>IF($E85&lt;DATE(2018,7,1),"-",INDEX('Annual Inflation'!$AM$53:$BA$53, MATCH(YEAR(EOMONTH($E85,6)), 'Annual Inflation'!$AM$6:$BA$6, 0))/100)</f>
        <v>-</v>
      </c>
      <c r="K85" s="257" t="str">
        <f>IF($E85&lt;DATE(2018,7,1),"-",INDEX('Annual Inflation'!$AM$50:$BA$50, MATCH(YEAR(EOMONTH($E85,6)), 'Annual Inflation'!$AM$6:$BA$6, 0))/100)</f>
        <v>-</v>
      </c>
      <c r="L85" s="258">
        <f t="shared" si="7"/>
        <v>80.3</v>
      </c>
      <c r="M85" s="258">
        <f t="shared" si="8"/>
        <v>194.1</v>
      </c>
      <c r="N85" s="258">
        <f t="shared" si="9"/>
        <v>194.1</v>
      </c>
    </row>
    <row r="86" spans="5:14" ht="15">
      <c r="E86" s="248">
        <v>38718</v>
      </c>
      <c r="F86" s="323">
        <f t="shared" si="5"/>
        <v>38748</v>
      </c>
      <c r="G86" s="159">
        <f t="shared" si="6"/>
        <v>2006</v>
      </c>
      <c r="H86" s="290">
        <v>80</v>
      </c>
      <c r="I86" s="249">
        <v>193.4</v>
      </c>
      <c r="J86" s="257" t="str">
        <f>IF($E86&lt;DATE(2018,7,1),"-",INDEX('Annual Inflation'!$AM$53:$BA$53, MATCH(YEAR(EOMONTH($E86,6)), 'Annual Inflation'!$AM$6:$BA$6, 0))/100)</f>
        <v>-</v>
      </c>
      <c r="K86" s="257" t="str">
        <f>IF($E86&lt;DATE(2018,7,1),"-",INDEX('Annual Inflation'!$AM$50:$BA$50, MATCH(YEAR(EOMONTH($E86,6)), 'Annual Inflation'!$AM$6:$BA$6, 0))/100)</f>
        <v>-</v>
      </c>
      <c r="L86" s="258">
        <f t="shared" si="7"/>
        <v>80</v>
      </c>
      <c r="M86" s="258">
        <f t="shared" si="8"/>
        <v>193.4</v>
      </c>
      <c r="N86" s="258">
        <f t="shared" si="9"/>
        <v>193.4</v>
      </c>
    </row>
    <row r="87" spans="5:14" ht="15">
      <c r="E87" s="248">
        <v>38749</v>
      </c>
      <c r="F87" s="323">
        <f t="shared" si="5"/>
        <v>38776</v>
      </c>
      <c r="G87" s="159">
        <f t="shared" si="6"/>
        <v>2006</v>
      </c>
      <c r="H87" s="290">
        <v>80.2</v>
      </c>
      <c r="I87" s="249">
        <v>194.2</v>
      </c>
      <c r="J87" s="257" t="str">
        <f>IF($E87&lt;DATE(2018,7,1),"-",INDEX('Annual Inflation'!$AM$53:$BA$53, MATCH(YEAR(EOMONTH($E87,6)), 'Annual Inflation'!$AM$6:$BA$6, 0))/100)</f>
        <v>-</v>
      </c>
      <c r="K87" s="257" t="str">
        <f>IF($E87&lt;DATE(2018,7,1),"-",INDEX('Annual Inflation'!$AM$50:$BA$50, MATCH(YEAR(EOMONTH($E87,6)), 'Annual Inflation'!$AM$6:$BA$6, 0))/100)</f>
        <v>-</v>
      </c>
      <c r="L87" s="258">
        <f t="shared" si="7"/>
        <v>80.2</v>
      </c>
      <c r="M87" s="258">
        <f t="shared" si="8"/>
        <v>194.2</v>
      </c>
      <c r="N87" s="258">
        <f t="shared" si="9"/>
        <v>194.2</v>
      </c>
    </row>
    <row r="88" spans="5:14" ht="15">
      <c r="E88" s="248">
        <v>38777</v>
      </c>
      <c r="F88" s="323">
        <f t="shared" si="5"/>
        <v>38807</v>
      </c>
      <c r="G88" s="159">
        <f t="shared" si="6"/>
        <v>2006</v>
      </c>
      <c r="H88" s="290">
        <v>80.400000000000006</v>
      </c>
      <c r="I88" s="249">
        <v>195</v>
      </c>
      <c r="J88" s="257" t="str">
        <f>IF($E88&lt;DATE(2018,7,1),"-",INDEX('Annual Inflation'!$AM$53:$BA$53, MATCH(YEAR(EOMONTH($E88,6)), 'Annual Inflation'!$AM$6:$BA$6, 0))/100)</f>
        <v>-</v>
      </c>
      <c r="K88" s="257" t="str">
        <f>IF($E88&lt;DATE(2018,7,1),"-",INDEX('Annual Inflation'!$AM$50:$BA$50, MATCH(YEAR(EOMONTH($E88,6)), 'Annual Inflation'!$AM$6:$BA$6, 0))/100)</f>
        <v>-</v>
      </c>
      <c r="L88" s="258">
        <f t="shared" si="7"/>
        <v>80.400000000000006</v>
      </c>
      <c r="M88" s="258">
        <f t="shared" si="8"/>
        <v>195</v>
      </c>
      <c r="N88" s="258">
        <f t="shared" si="9"/>
        <v>195</v>
      </c>
    </row>
    <row r="89" spans="5:14" ht="15">
      <c r="E89" s="248">
        <v>38808</v>
      </c>
      <c r="F89" s="323">
        <f t="shared" si="5"/>
        <v>38837</v>
      </c>
      <c r="G89" s="159">
        <f t="shared" si="6"/>
        <v>2007</v>
      </c>
      <c r="H89" s="290">
        <v>80.900000000000006</v>
      </c>
      <c r="I89" s="249">
        <v>196.5</v>
      </c>
      <c r="J89" s="257" t="str">
        <f>IF($E89&lt;DATE(2018,7,1),"-",INDEX('Annual Inflation'!$AM$53:$BA$53, MATCH(YEAR(EOMONTH($E89,6)), 'Annual Inflation'!$AM$6:$BA$6, 0))/100)</f>
        <v>-</v>
      </c>
      <c r="K89" s="257" t="str">
        <f>IF($E89&lt;DATE(2018,7,1),"-",INDEX('Annual Inflation'!$AM$50:$BA$50, MATCH(YEAR(EOMONTH($E89,6)), 'Annual Inflation'!$AM$6:$BA$6, 0))/100)</f>
        <v>-</v>
      </c>
      <c r="L89" s="258">
        <f t="shared" si="7"/>
        <v>80.900000000000006</v>
      </c>
      <c r="M89" s="258">
        <f t="shared" si="8"/>
        <v>196.5</v>
      </c>
      <c r="N89" s="258">
        <f t="shared" si="9"/>
        <v>196.5</v>
      </c>
    </row>
    <row r="90" spans="5:14" ht="15">
      <c r="E90" s="248">
        <v>38838</v>
      </c>
      <c r="F90" s="323">
        <f t="shared" si="5"/>
        <v>38868</v>
      </c>
      <c r="G90" s="159">
        <f t="shared" si="6"/>
        <v>2007</v>
      </c>
      <c r="H90" s="290">
        <v>81.3</v>
      </c>
      <c r="I90" s="249">
        <v>197.7</v>
      </c>
      <c r="J90" s="257" t="str">
        <f>IF($E90&lt;DATE(2018,7,1),"-",INDEX('Annual Inflation'!$AM$53:$BA$53, MATCH(YEAR(EOMONTH($E90,6)), 'Annual Inflation'!$AM$6:$BA$6, 0))/100)</f>
        <v>-</v>
      </c>
      <c r="K90" s="257" t="str">
        <f>IF($E90&lt;DATE(2018,7,1),"-",INDEX('Annual Inflation'!$AM$50:$BA$50, MATCH(YEAR(EOMONTH($E90,6)), 'Annual Inflation'!$AM$6:$BA$6, 0))/100)</f>
        <v>-</v>
      </c>
      <c r="L90" s="258">
        <f t="shared" si="7"/>
        <v>81.3</v>
      </c>
      <c r="M90" s="258">
        <f t="shared" si="8"/>
        <v>197.7</v>
      </c>
      <c r="N90" s="258">
        <f t="shared" si="9"/>
        <v>197.7</v>
      </c>
    </row>
    <row r="91" spans="5:14" ht="15">
      <c r="E91" s="248">
        <v>38869</v>
      </c>
      <c r="F91" s="323">
        <f t="shared" si="5"/>
        <v>38898</v>
      </c>
      <c r="G91" s="159">
        <f t="shared" si="6"/>
        <v>2007</v>
      </c>
      <c r="H91" s="290">
        <v>81.5</v>
      </c>
      <c r="I91" s="249">
        <v>198.5</v>
      </c>
      <c r="J91" s="257" t="str">
        <f>IF($E91&lt;DATE(2018,7,1),"-",INDEX('Annual Inflation'!$AM$53:$BA$53, MATCH(YEAR(EOMONTH($E91,6)), 'Annual Inflation'!$AM$6:$BA$6, 0))/100)</f>
        <v>-</v>
      </c>
      <c r="K91" s="257" t="str">
        <f>IF($E91&lt;DATE(2018,7,1),"-",INDEX('Annual Inflation'!$AM$50:$BA$50, MATCH(YEAR(EOMONTH($E91,6)), 'Annual Inflation'!$AM$6:$BA$6, 0))/100)</f>
        <v>-</v>
      </c>
      <c r="L91" s="258">
        <f t="shared" si="7"/>
        <v>81.5</v>
      </c>
      <c r="M91" s="258">
        <f t="shared" si="8"/>
        <v>198.5</v>
      </c>
      <c r="N91" s="258">
        <f t="shared" si="9"/>
        <v>198.5</v>
      </c>
    </row>
    <row r="92" spans="5:14" ht="15">
      <c r="E92" s="248">
        <v>38899</v>
      </c>
      <c r="F92" s="323">
        <f t="shared" si="5"/>
        <v>38929</v>
      </c>
      <c r="G92" s="159">
        <f t="shared" si="6"/>
        <v>2007</v>
      </c>
      <c r="H92" s="290">
        <v>81.5</v>
      </c>
      <c r="I92" s="249">
        <v>198.5</v>
      </c>
      <c r="J92" s="257" t="str">
        <f>IF($E92&lt;DATE(2018,7,1),"-",INDEX('Annual Inflation'!$AM$53:$BA$53, MATCH(YEAR(EOMONTH($E92,6)), 'Annual Inflation'!$AM$6:$BA$6, 0))/100)</f>
        <v>-</v>
      </c>
      <c r="K92" s="257" t="str">
        <f>IF($E92&lt;DATE(2018,7,1),"-",INDEX('Annual Inflation'!$AM$50:$BA$50, MATCH(YEAR(EOMONTH($E92,6)), 'Annual Inflation'!$AM$6:$BA$6, 0))/100)</f>
        <v>-</v>
      </c>
      <c r="L92" s="258">
        <f t="shared" si="7"/>
        <v>81.5</v>
      </c>
      <c r="M92" s="258">
        <f t="shared" si="8"/>
        <v>198.5</v>
      </c>
      <c r="N92" s="258">
        <f t="shared" si="9"/>
        <v>198.5</v>
      </c>
    </row>
    <row r="93" spans="5:14" ht="15">
      <c r="E93" s="248">
        <v>38930</v>
      </c>
      <c r="F93" s="323">
        <f t="shared" si="5"/>
        <v>38960</v>
      </c>
      <c r="G93" s="159">
        <f t="shared" si="6"/>
        <v>2007</v>
      </c>
      <c r="H93" s="290">
        <v>81.8</v>
      </c>
      <c r="I93" s="249">
        <v>199.2</v>
      </c>
      <c r="J93" s="257" t="str">
        <f>IF($E93&lt;DATE(2018,7,1),"-",INDEX('Annual Inflation'!$AM$53:$BA$53, MATCH(YEAR(EOMONTH($E93,6)), 'Annual Inflation'!$AM$6:$BA$6, 0))/100)</f>
        <v>-</v>
      </c>
      <c r="K93" s="257" t="str">
        <f>IF($E93&lt;DATE(2018,7,1),"-",INDEX('Annual Inflation'!$AM$50:$BA$50, MATCH(YEAR(EOMONTH($E93,6)), 'Annual Inflation'!$AM$6:$BA$6, 0))/100)</f>
        <v>-</v>
      </c>
      <c r="L93" s="258">
        <f t="shared" si="7"/>
        <v>81.8</v>
      </c>
      <c r="M93" s="258">
        <f t="shared" si="8"/>
        <v>199.2</v>
      </c>
      <c r="N93" s="258">
        <f t="shared" si="9"/>
        <v>199.2</v>
      </c>
    </row>
    <row r="94" spans="5:14" ht="15">
      <c r="E94" s="248">
        <v>38961</v>
      </c>
      <c r="F94" s="323">
        <f t="shared" si="5"/>
        <v>38990</v>
      </c>
      <c r="G94" s="159">
        <f t="shared" si="6"/>
        <v>2007</v>
      </c>
      <c r="H94" s="290">
        <v>81.900000000000006</v>
      </c>
      <c r="I94" s="249">
        <v>200.1</v>
      </c>
      <c r="J94" s="257" t="str">
        <f>IF($E94&lt;DATE(2018,7,1),"-",INDEX('Annual Inflation'!$AM$53:$BA$53, MATCH(YEAR(EOMONTH($E94,6)), 'Annual Inflation'!$AM$6:$BA$6, 0))/100)</f>
        <v>-</v>
      </c>
      <c r="K94" s="257" t="str">
        <f>IF($E94&lt;DATE(2018,7,1),"-",INDEX('Annual Inflation'!$AM$50:$BA$50, MATCH(YEAR(EOMONTH($E94,6)), 'Annual Inflation'!$AM$6:$BA$6, 0))/100)</f>
        <v>-</v>
      </c>
      <c r="L94" s="258">
        <f t="shared" si="7"/>
        <v>81.900000000000006</v>
      </c>
      <c r="M94" s="258">
        <f t="shared" si="8"/>
        <v>200.1</v>
      </c>
      <c r="N94" s="258">
        <f t="shared" si="9"/>
        <v>200.1</v>
      </c>
    </row>
    <row r="95" spans="5:14" ht="15">
      <c r="E95" s="248">
        <v>38991</v>
      </c>
      <c r="F95" s="323">
        <f t="shared" si="5"/>
        <v>39021</v>
      </c>
      <c r="G95" s="159">
        <f t="shared" si="6"/>
        <v>2007</v>
      </c>
      <c r="H95" s="290">
        <v>82</v>
      </c>
      <c r="I95" s="249">
        <v>200.4</v>
      </c>
      <c r="J95" s="257" t="str">
        <f>IF($E95&lt;DATE(2018,7,1),"-",INDEX('Annual Inflation'!$AM$53:$BA$53, MATCH(YEAR(EOMONTH($E95,6)), 'Annual Inflation'!$AM$6:$BA$6, 0))/100)</f>
        <v>-</v>
      </c>
      <c r="K95" s="257" t="str">
        <f>IF($E95&lt;DATE(2018,7,1),"-",INDEX('Annual Inflation'!$AM$50:$BA$50, MATCH(YEAR(EOMONTH($E95,6)), 'Annual Inflation'!$AM$6:$BA$6, 0))/100)</f>
        <v>-</v>
      </c>
      <c r="L95" s="258">
        <f t="shared" si="7"/>
        <v>82</v>
      </c>
      <c r="M95" s="258">
        <f t="shared" si="8"/>
        <v>200.4</v>
      </c>
      <c r="N95" s="258">
        <f t="shared" si="9"/>
        <v>200.4</v>
      </c>
    </row>
    <row r="96" spans="5:14" ht="15">
      <c r="E96" s="248">
        <v>39022</v>
      </c>
      <c r="F96" s="323">
        <f t="shared" si="5"/>
        <v>39051</v>
      </c>
      <c r="G96" s="159">
        <f t="shared" si="6"/>
        <v>2007</v>
      </c>
      <c r="H96" s="290">
        <v>82.2</v>
      </c>
      <c r="I96" s="249">
        <v>201.1</v>
      </c>
      <c r="J96" s="257" t="str">
        <f>IF($E96&lt;DATE(2018,7,1),"-",INDEX('Annual Inflation'!$AM$53:$BA$53, MATCH(YEAR(EOMONTH($E96,6)), 'Annual Inflation'!$AM$6:$BA$6, 0))/100)</f>
        <v>-</v>
      </c>
      <c r="K96" s="257" t="str">
        <f>IF($E96&lt;DATE(2018,7,1),"-",INDEX('Annual Inflation'!$AM$50:$BA$50, MATCH(YEAR(EOMONTH($E96,6)), 'Annual Inflation'!$AM$6:$BA$6, 0))/100)</f>
        <v>-</v>
      </c>
      <c r="L96" s="258">
        <f t="shared" si="7"/>
        <v>82.2</v>
      </c>
      <c r="M96" s="258">
        <f t="shared" si="8"/>
        <v>201.1</v>
      </c>
      <c r="N96" s="258">
        <f t="shared" si="9"/>
        <v>201.1</v>
      </c>
    </row>
    <row r="97" spans="5:14" ht="15">
      <c r="E97" s="248">
        <v>39052</v>
      </c>
      <c r="F97" s="323">
        <f t="shared" si="5"/>
        <v>39082</v>
      </c>
      <c r="G97" s="159">
        <f t="shared" si="6"/>
        <v>2007</v>
      </c>
      <c r="H97" s="290">
        <v>82.6</v>
      </c>
      <c r="I97" s="249">
        <v>202.7</v>
      </c>
      <c r="J97" s="257" t="str">
        <f>IF($E97&lt;DATE(2018,7,1),"-",INDEX('Annual Inflation'!$AM$53:$BA$53, MATCH(YEAR(EOMONTH($E97,6)), 'Annual Inflation'!$AM$6:$BA$6, 0))/100)</f>
        <v>-</v>
      </c>
      <c r="K97" s="257" t="str">
        <f>IF($E97&lt;DATE(2018,7,1),"-",INDEX('Annual Inflation'!$AM$50:$BA$50, MATCH(YEAR(EOMONTH($E97,6)), 'Annual Inflation'!$AM$6:$BA$6, 0))/100)</f>
        <v>-</v>
      </c>
      <c r="L97" s="258">
        <f t="shared" si="7"/>
        <v>82.6</v>
      </c>
      <c r="M97" s="258">
        <f t="shared" si="8"/>
        <v>202.7</v>
      </c>
      <c r="N97" s="258">
        <f t="shared" si="9"/>
        <v>202.7</v>
      </c>
    </row>
    <row r="98" spans="5:14" ht="15">
      <c r="E98" s="248">
        <v>39083</v>
      </c>
      <c r="F98" s="323">
        <f t="shared" si="5"/>
        <v>39113</v>
      </c>
      <c r="G98" s="159">
        <f t="shared" si="6"/>
        <v>2007</v>
      </c>
      <c r="H98" s="290">
        <v>82.1</v>
      </c>
      <c r="I98" s="249">
        <v>201.6</v>
      </c>
      <c r="J98" s="257" t="str">
        <f>IF($E98&lt;DATE(2018,7,1),"-",INDEX('Annual Inflation'!$AM$53:$BA$53, MATCH(YEAR(EOMONTH($E98,6)), 'Annual Inflation'!$AM$6:$BA$6, 0))/100)</f>
        <v>-</v>
      </c>
      <c r="K98" s="257" t="str">
        <f>IF($E98&lt;DATE(2018,7,1),"-",INDEX('Annual Inflation'!$AM$50:$BA$50, MATCH(YEAR(EOMONTH($E98,6)), 'Annual Inflation'!$AM$6:$BA$6, 0))/100)</f>
        <v>-</v>
      </c>
      <c r="L98" s="258">
        <f t="shared" si="7"/>
        <v>82.1</v>
      </c>
      <c r="M98" s="258">
        <f t="shared" si="8"/>
        <v>201.6</v>
      </c>
      <c r="N98" s="258">
        <f t="shared" si="9"/>
        <v>201.6</v>
      </c>
    </row>
    <row r="99" spans="5:14" ht="15">
      <c r="E99" s="248">
        <v>39114</v>
      </c>
      <c r="F99" s="323">
        <f t="shared" si="5"/>
        <v>39141</v>
      </c>
      <c r="G99" s="159">
        <f t="shared" si="6"/>
        <v>2007</v>
      </c>
      <c r="H99" s="290">
        <v>82.4</v>
      </c>
      <c r="I99" s="249">
        <v>203.1</v>
      </c>
      <c r="J99" s="257" t="str">
        <f>IF($E99&lt;DATE(2018,7,1),"-",INDEX('Annual Inflation'!$AM$53:$BA$53, MATCH(YEAR(EOMONTH($E99,6)), 'Annual Inflation'!$AM$6:$BA$6, 0))/100)</f>
        <v>-</v>
      </c>
      <c r="K99" s="257" t="str">
        <f>IF($E99&lt;DATE(2018,7,1),"-",INDEX('Annual Inflation'!$AM$50:$BA$50, MATCH(YEAR(EOMONTH($E99,6)), 'Annual Inflation'!$AM$6:$BA$6, 0))/100)</f>
        <v>-</v>
      </c>
      <c r="L99" s="258">
        <f t="shared" si="7"/>
        <v>82.4</v>
      </c>
      <c r="M99" s="258">
        <f t="shared" si="8"/>
        <v>203.1</v>
      </c>
      <c r="N99" s="258">
        <f t="shared" si="9"/>
        <v>203.1</v>
      </c>
    </row>
    <row r="100" spans="5:14" ht="15">
      <c r="E100" s="248">
        <v>39142</v>
      </c>
      <c r="F100" s="323">
        <f t="shared" si="5"/>
        <v>39172</v>
      </c>
      <c r="G100" s="159">
        <f t="shared" si="6"/>
        <v>2007</v>
      </c>
      <c r="H100" s="290">
        <v>82.8</v>
      </c>
      <c r="I100" s="249">
        <v>204.4</v>
      </c>
      <c r="J100" s="257" t="str">
        <f>IF($E100&lt;DATE(2018,7,1),"-",INDEX('Annual Inflation'!$AM$53:$BA$53, MATCH(YEAR(EOMONTH($E100,6)), 'Annual Inflation'!$AM$6:$BA$6, 0))/100)</f>
        <v>-</v>
      </c>
      <c r="K100" s="257" t="str">
        <f>IF($E100&lt;DATE(2018,7,1),"-",INDEX('Annual Inflation'!$AM$50:$BA$50, MATCH(YEAR(EOMONTH($E100,6)), 'Annual Inflation'!$AM$6:$BA$6, 0))/100)</f>
        <v>-</v>
      </c>
      <c r="L100" s="258">
        <f t="shared" si="7"/>
        <v>82.8</v>
      </c>
      <c r="M100" s="258">
        <f t="shared" si="8"/>
        <v>204.4</v>
      </c>
      <c r="N100" s="258">
        <f t="shared" si="9"/>
        <v>204.4</v>
      </c>
    </row>
    <row r="101" spans="5:14" ht="15">
      <c r="E101" s="248">
        <v>39173</v>
      </c>
      <c r="F101" s="323">
        <f t="shared" si="5"/>
        <v>39202</v>
      </c>
      <c r="G101" s="159">
        <f t="shared" si="6"/>
        <v>2008</v>
      </c>
      <c r="H101" s="290">
        <v>83.1</v>
      </c>
      <c r="I101" s="249">
        <v>205.4</v>
      </c>
      <c r="J101" s="257" t="str">
        <f>IF($E101&lt;DATE(2018,7,1),"-",INDEX('Annual Inflation'!$AM$53:$BA$53, MATCH(YEAR(EOMONTH($E101,6)), 'Annual Inflation'!$AM$6:$BA$6, 0))/100)</f>
        <v>-</v>
      </c>
      <c r="K101" s="257" t="str">
        <f>IF($E101&lt;DATE(2018,7,1),"-",INDEX('Annual Inflation'!$AM$50:$BA$50, MATCH(YEAR(EOMONTH($E101,6)), 'Annual Inflation'!$AM$6:$BA$6, 0))/100)</f>
        <v>-</v>
      </c>
      <c r="L101" s="258">
        <f t="shared" si="7"/>
        <v>83.1</v>
      </c>
      <c r="M101" s="258">
        <f t="shared" si="8"/>
        <v>205.4</v>
      </c>
      <c r="N101" s="258">
        <f t="shared" si="9"/>
        <v>205.4</v>
      </c>
    </row>
    <row r="102" spans="5:14" ht="15">
      <c r="E102" s="248">
        <v>39203</v>
      </c>
      <c r="F102" s="323">
        <f t="shared" si="5"/>
        <v>39233</v>
      </c>
      <c r="G102" s="159">
        <f t="shared" si="6"/>
        <v>2008</v>
      </c>
      <c r="H102" s="290">
        <v>83.3</v>
      </c>
      <c r="I102" s="249">
        <v>206.2</v>
      </c>
      <c r="J102" s="257" t="str">
        <f>IF($E102&lt;DATE(2018,7,1),"-",INDEX('Annual Inflation'!$AM$53:$BA$53, MATCH(YEAR(EOMONTH($E102,6)), 'Annual Inflation'!$AM$6:$BA$6, 0))/100)</f>
        <v>-</v>
      </c>
      <c r="K102" s="257" t="str">
        <f>IF($E102&lt;DATE(2018,7,1),"-",INDEX('Annual Inflation'!$AM$50:$BA$50, MATCH(YEAR(EOMONTH($E102,6)), 'Annual Inflation'!$AM$6:$BA$6, 0))/100)</f>
        <v>-</v>
      </c>
      <c r="L102" s="258">
        <f t="shared" si="7"/>
        <v>83.3</v>
      </c>
      <c r="M102" s="258">
        <f t="shared" si="8"/>
        <v>206.2</v>
      </c>
      <c r="N102" s="258">
        <f t="shared" si="9"/>
        <v>206.2</v>
      </c>
    </row>
    <row r="103" spans="5:14" ht="15">
      <c r="E103" s="248">
        <v>39234</v>
      </c>
      <c r="F103" s="323">
        <f t="shared" si="5"/>
        <v>39263</v>
      </c>
      <c r="G103" s="159">
        <f t="shared" si="6"/>
        <v>2008</v>
      </c>
      <c r="H103" s="290">
        <v>83.5</v>
      </c>
      <c r="I103" s="249">
        <v>207.3</v>
      </c>
      <c r="J103" s="257" t="str">
        <f>IF($E103&lt;DATE(2018,7,1),"-",INDEX('Annual Inflation'!$AM$53:$BA$53, MATCH(YEAR(EOMONTH($E103,6)), 'Annual Inflation'!$AM$6:$BA$6, 0))/100)</f>
        <v>-</v>
      </c>
      <c r="K103" s="257" t="str">
        <f>IF($E103&lt;DATE(2018,7,1),"-",INDEX('Annual Inflation'!$AM$50:$BA$50, MATCH(YEAR(EOMONTH($E103,6)), 'Annual Inflation'!$AM$6:$BA$6, 0))/100)</f>
        <v>-</v>
      </c>
      <c r="L103" s="258">
        <f t="shared" si="7"/>
        <v>83.5</v>
      </c>
      <c r="M103" s="258">
        <f t="shared" si="8"/>
        <v>207.3</v>
      </c>
      <c r="N103" s="258">
        <f t="shared" si="9"/>
        <v>207.3</v>
      </c>
    </row>
    <row r="104" spans="5:14" ht="15">
      <c r="E104" s="248">
        <v>39264</v>
      </c>
      <c r="F104" s="323">
        <f t="shared" si="5"/>
        <v>39294</v>
      </c>
      <c r="G104" s="159">
        <f t="shared" si="6"/>
        <v>2008</v>
      </c>
      <c r="H104" s="290">
        <v>83.1</v>
      </c>
      <c r="I104" s="249">
        <v>206.1</v>
      </c>
      <c r="J104" s="257" t="str">
        <f>IF($E104&lt;DATE(2018,7,1),"-",INDEX('Annual Inflation'!$AM$53:$BA$53, MATCH(YEAR(EOMONTH($E104,6)), 'Annual Inflation'!$AM$6:$BA$6, 0))/100)</f>
        <v>-</v>
      </c>
      <c r="K104" s="257" t="str">
        <f>IF($E104&lt;DATE(2018,7,1),"-",INDEX('Annual Inflation'!$AM$50:$BA$50, MATCH(YEAR(EOMONTH($E104,6)), 'Annual Inflation'!$AM$6:$BA$6, 0))/100)</f>
        <v>-</v>
      </c>
      <c r="L104" s="258">
        <f t="shared" si="7"/>
        <v>83.1</v>
      </c>
      <c r="M104" s="258">
        <f t="shared" si="8"/>
        <v>206.1</v>
      </c>
      <c r="N104" s="258">
        <f t="shared" si="9"/>
        <v>206.1</v>
      </c>
    </row>
    <row r="105" spans="5:14" ht="15">
      <c r="E105" s="248">
        <v>39295</v>
      </c>
      <c r="F105" s="323">
        <f t="shared" si="5"/>
        <v>39325</v>
      </c>
      <c r="G105" s="159">
        <f t="shared" si="6"/>
        <v>2008</v>
      </c>
      <c r="H105" s="290">
        <v>83.4</v>
      </c>
      <c r="I105" s="249">
        <v>207.3</v>
      </c>
      <c r="J105" s="257" t="str">
        <f>IF($E105&lt;DATE(2018,7,1),"-",INDEX('Annual Inflation'!$AM$53:$BA$53, MATCH(YEAR(EOMONTH($E105,6)), 'Annual Inflation'!$AM$6:$BA$6, 0))/100)</f>
        <v>-</v>
      </c>
      <c r="K105" s="257" t="str">
        <f>IF($E105&lt;DATE(2018,7,1),"-",INDEX('Annual Inflation'!$AM$50:$BA$50, MATCH(YEAR(EOMONTH($E105,6)), 'Annual Inflation'!$AM$6:$BA$6, 0))/100)</f>
        <v>-</v>
      </c>
      <c r="L105" s="258">
        <f t="shared" si="7"/>
        <v>83.4</v>
      </c>
      <c r="M105" s="258">
        <f t="shared" si="8"/>
        <v>207.3</v>
      </c>
      <c r="N105" s="258">
        <f t="shared" si="9"/>
        <v>207.3</v>
      </c>
    </row>
    <row r="106" spans="5:14" ht="15">
      <c r="E106" s="248">
        <v>39326</v>
      </c>
      <c r="F106" s="323">
        <f t="shared" si="5"/>
        <v>39355</v>
      </c>
      <c r="G106" s="159">
        <f t="shared" si="6"/>
        <v>2008</v>
      </c>
      <c r="H106" s="290">
        <v>83.5</v>
      </c>
      <c r="I106" s="249">
        <v>208</v>
      </c>
      <c r="J106" s="257" t="str">
        <f>IF($E106&lt;DATE(2018,7,1),"-",INDEX('Annual Inflation'!$AM$53:$BA$53, MATCH(YEAR(EOMONTH($E106,6)), 'Annual Inflation'!$AM$6:$BA$6, 0))/100)</f>
        <v>-</v>
      </c>
      <c r="K106" s="257" t="str">
        <f>IF($E106&lt;DATE(2018,7,1),"-",INDEX('Annual Inflation'!$AM$50:$BA$50, MATCH(YEAR(EOMONTH($E106,6)), 'Annual Inflation'!$AM$6:$BA$6, 0))/100)</f>
        <v>-</v>
      </c>
      <c r="L106" s="258">
        <f t="shared" si="7"/>
        <v>83.5</v>
      </c>
      <c r="M106" s="258">
        <f t="shared" si="8"/>
        <v>208</v>
      </c>
      <c r="N106" s="258">
        <f t="shared" si="9"/>
        <v>208</v>
      </c>
    </row>
    <row r="107" spans="5:14" ht="15">
      <c r="E107" s="248">
        <v>39356</v>
      </c>
      <c r="F107" s="323">
        <f t="shared" si="5"/>
        <v>39386</v>
      </c>
      <c r="G107" s="159">
        <f t="shared" si="6"/>
        <v>2008</v>
      </c>
      <c r="H107" s="290">
        <v>83.8</v>
      </c>
      <c r="I107" s="249">
        <v>208.9</v>
      </c>
      <c r="J107" s="257" t="str">
        <f>IF($E107&lt;DATE(2018,7,1),"-",INDEX('Annual Inflation'!$AM$53:$BA$53, MATCH(YEAR(EOMONTH($E107,6)), 'Annual Inflation'!$AM$6:$BA$6, 0))/100)</f>
        <v>-</v>
      </c>
      <c r="K107" s="257" t="str">
        <f>IF($E107&lt;DATE(2018,7,1),"-",INDEX('Annual Inflation'!$AM$50:$BA$50, MATCH(YEAR(EOMONTH($E107,6)), 'Annual Inflation'!$AM$6:$BA$6, 0))/100)</f>
        <v>-</v>
      </c>
      <c r="L107" s="258">
        <f t="shared" si="7"/>
        <v>83.8</v>
      </c>
      <c r="M107" s="258">
        <f t="shared" si="8"/>
        <v>208.9</v>
      </c>
      <c r="N107" s="258">
        <f t="shared" si="9"/>
        <v>208.9</v>
      </c>
    </row>
    <row r="108" spans="5:14" ht="15">
      <c r="E108" s="248">
        <v>39387</v>
      </c>
      <c r="F108" s="323">
        <f t="shared" si="5"/>
        <v>39416</v>
      </c>
      <c r="G108" s="159">
        <f t="shared" si="6"/>
        <v>2008</v>
      </c>
      <c r="H108" s="290">
        <v>84.1</v>
      </c>
      <c r="I108" s="249">
        <v>209.7</v>
      </c>
      <c r="J108" s="257" t="str">
        <f>IF($E108&lt;DATE(2018,7,1),"-",INDEX('Annual Inflation'!$AM$53:$BA$53, MATCH(YEAR(EOMONTH($E108,6)), 'Annual Inflation'!$AM$6:$BA$6, 0))/100)</f>
        <v>-</v>
      </c>
      <c r="K108" s="257" t="str">
        <f>IF($E108&lt;DATE(2018,7,1),"-",INDEX('Annual Inflation'!$AM$50:$BA$50, MATCH(YEAR(EOMONTH($E108,6)), 'Annual Inflation'!$AM$6:$BA$6, 0))/100)</f>
        <v>-</v>
      </c>
      <c r="L108" s="258">
        <f t="shared" si="7"/>
        <v>84.1</v>
      </c>
      <c r="M108" s="258">
        <f t="shared" si="8"/>
        <v>209.7</v>
      </c>
      <c r="N108" s="258">
        <f t="shared" si="9"/>
        <v>209.7</v>
      </c>
    </row>
    <row r="109" spans="5:14" ht="15">
      <c r="E109" s="248">
        <v>39417</v>
      </c>
      <c r="F109" s="323">
        <f t="shared" si="5"/>
        <v>39447</v>
      </c>
      <c r="G109" s="159">
        <f t="shared" si="6"/>
        <v>2008</v>
      </c>
      <c r="H109" s="290">
        <v>84.5</v>
      </c>
      <c r="I109" s="249">
        <v>210.9</v>
      </c>
      <c r="J109" s="257" t="str">
        <f>IF($E109&lt;DATE(2018,7,1),"-",INDEX('Annual Inflation'!$AM$53:$BA$53, MATCH(YEAR(EOMONTH($E109,6)), 'Annual Inflation'!$AM$6:$BA$6, 0))/100)</f>
        <v>-</v>
      </c>
      <c r="K109" s="257" t="str">
        <f>IF($E109&lt;DATE(2018,7,1),"-",INDEX('Annual Inflation'!$AM$50:$BA$50, MATCH(YEAR(EOMONTH($E109,6)), 'Annual Inflation'!$AM$6:$BA$6, 0))/100)</f>
        <v>-</v>
      </c>
      <c r="L109" s="258">
        <f t="shared" si="7"/>
        <v>84.5</v>
      </c>
      <c r="M109" s="258">
        <f t="shared" si="8"/>
        <v>210.9</v>
      </c>
      <c r="N109" s="258">
        <f t="shared" si="9"/>
        <v>210.9</v>
      </c>
    </row>
    <row r="110" spans="5:14" ht="15">
      <c r="E110" s="248">
        <v>39448</v>
      </c>
      <c r="F110" s="323">
        <f t="shared" si="5"/>
        <v>39478</v>
      </c>
      <c r="G110" s="159">
        <f t="shared" si="6"/>
        <v>2008</v>
      </c>
      <c r="H110" s="290">
        <v>84.1</v>
      </c>
      <c r="I110" s="249">
        <v>209.8</v>
      </c>
      <c r="J110" s="257" t="str">
        <f>IF($E110&lt;DATE(2018,7,1),"-",INDEX('Annual Inflation'!$AM$53:$BA$53, MATCH(YEAR(EOMONTH($E110,6)), 'Annual Inflation'!$AM$6:$BA$6, 0))/100)</f>
        <v>-</v>
      </c>
      <c r="K110" s="257" t="str">
        <f>IF($E110&lt;DATE(2018,7,1),"-",INDEX('Annual Inflation'!$AM$50:$BA$50, MATCH(YEAR(EOMONTH($E110,6)), 'Annual Inflation'!$AM$6:$BA$6, 0))/100)</f>
        <v>-</v>
      </c>
      <c r="L110" s="258">
        <f t="shared" si="7"/>
        <v>84.1</v>
      </c>
      <c r="M110" s="258">
        <f t="shared" si="8"/>
        <v>209.8</v>
      </c>
      <c r="N110" s="258">
        <f t="shared" si="9"/>
        <v>209.8</v>
      </c>
    </row>
    <row r="111" spans="5:14" ht="15">
      <c r="E111" s="248">
        <v>39479</v>
      </c>
      <c r="F111" s="323">
        <f t="shared" si="5"/>
        <v>39507</v>
      </c>
      <c r="G111" s="159">
        <f t="shared" si="6"/>
        <v>2008</v>
      </c>
      <c r="H111" s="290">
        <v>84.6</v>
      </c>
      <c r="I111" s="249">
        <v>211.4</v>
      </c>
      <c r="J111" s="257" t="str">
        <f>IF($E111&lt;DATE(2018,7,1),"-",INDEX('Annual Inflation'!$AM$53:$BA$53, MATCH(YEAR(EOMONTH($E111,6)), 'Annual Inflation'!$AM$6:$BA$6, 0))/100)</f>
        <v>-</v>
      </c>
      <c r="K111" s="257" t="str">
        <f>IF($E111&lt;DATE(2018,7,1),"-",INDEX('Annual Inflation'!$AM$50:$BA$50, MATCH(YEAR(EOMONTH($E111,6)), 'Annual Inflation'!$AM$6:$BA$6, 0))/100)</f>
        <v>-</v>
      </c>
      <c r="L111" s="258">
        <f t="shared" si="7"/>
        <v>84.6</v>
      </c>
      <c r="M111" s="258">
        <f t="shared" si="8"/>
        <v>211.4</v>
      </c>
      <c r="N111" s="258">
        <f t="shared" si="9"/>
        <v>211.4</v>
      </c>
    </row>
    <row r="112" spans="5:14" ht="15">
      <c r="E112" s="248">
        <v>39508</v>
      </c>
      <c r="F112" s="323">
        <f t="shared" si="5"/>
        <v>39538</v>
      </c>
      <c r="G112" s="159">
        <f t="shared" si="6"/>
        <v>2008</v>
      </c>
      <c r="H112" s="290">
        <v>84.9</v>
      </c>
      <c r="I112" s="249">
        <v>212.1</v>
      </c>
      <c r="J112" s="257" t="str">
        <f>IF($E112&lt;DATE(2018,7,1),"-",INDEX('Annual Inflation'!$AM$53:$BA$53, MATCH(YEAR(EOMONTH($E112,6)), 'Annual Inflation'!$AM$6:$BA$6, 0))/100)</f>
        <v>-</v>
      </c>
      <c r="K112" s="257" t="str">
        <f>IF($E112&lt;DATE(2018,7,1),"-",INDEX('Annual Inflation'!$AM$50:$BA$50, MATCH(YEAR(EOMONTH($E112,6)), 'Annual Inflation'!$AM$6:$BA$6, 0))/100)</f>
        <v>-</v>
      </c>
      <c r="L112" s="258">
        <f t="shared" si="7"/>
        <v>84.9</v>
      </c>
      <c r="M112" s="258">
        <f t="shared" si="8"/>
        <v>212.1</v>
      </c>
      <c r="N112" s="258">
        <f t="shared" si="9"/>
        <v>212.1</v>
      </c>
    </row>
    <row r="113" spans="5:14" ht="15">
      <c r="E113" s="248">
        <v>39539</v>
      </c>
      <c r="F113" s="323">
        <f t="shared" si="5"/>
        <v>39568</v>
      </c>
      <c r="G113" s="159">
        <f t="shared" si="6"/>
        <v>2009</v>
      </c>
      <c r="H113" s="290">
        <v>85.6</v>
      </c>
      <c r="I113" s="249">
        <v>214</v>
      </c>
      <c r="J113" s="257" t="str">
        <f>IF($E113&lt;DATE(2018,7,1),"-",INDEX('Annual Inflation'!$AM$53:$BA$53, MATCH(YEAR(EOMONTH($E113,6)), 'Annual Inflation'!$AM$6:$BA$6, 0))/100)</f>
        <v>-</v>
      </c>
      <c r="K113" s="257" t="str">
        <f>IF($E113&lt;DATE(2018,7,1),"-",INDEX('Annual Inflation'!$AM$50:$BA$50, MATCH(YEAR(EOMONTH($E113,6)), 'Annual Inflation'!$AM$6:$BA$6, 0))/100)</f>
        <v>-</v>
      </c>
      <c r="L113" s="258">
        <f t="shared" si="7"/>
        <v>85.6</v>
      </c>
      <c r="M113" s="258">
        <f t="shared" si="8"/>
        <v>214</v>
      </c>
      <c r="N113" s="258">
        <f t="shared" si="9"/>
        <v>214</v>
      </c>
    </row>
    <row r="114" spans="5:14" ht="15">
      <c r="E114" s="248">
        <v>39569</v>
      </c>
      <c r="F114" s="323">
        <f t="shared" si="5"/>
        <v>39599</v>
      </c>
      <c r="G114" s="159">
        <f t="shared" si="6"/>
        <v>2009</v>
      </c>
      <c r="H114" s="290">
        <v>86.1</v>
      </c>
      <c r="I114" s="249">
        <v>215.1</v>
      </c>
      <c r="J114" s="257" t="str">
        <f>IF($E114&lt;DATE(2018,7,1),"-",INDEX('Annual Inflation'!$AM$53:$BA$53, MATCH(YEAR(EOMONTH($E114,6)), 'Annual Inflation'!$AM$6:$BA$6, 0))/100)</f>
        <v>-</v>
      </c>
      <c r="K114" s="257" t="str">
        <f>IF($E114&lt;DATE(2018,7,1),"-",INDEX('Annual Inflation'!$AM$50:$BA$50, MATCH(YEAR(EOMONTH($E114,6)), 'Annual Inflation'!$AM$6:$BA$6, 0))/100)</f>
        <v>-</v>
      </c>
      <c r="L114" s="258">
        <f t="shared" si="7"/>
        <v>86.1</v>
      </c>
      <c r="M114" s="258">
        <f t="shared" si="8"/>
        <v>215.1</v>
      </c>
      <c r="N114" s="258">
        <f t="shared" si="9"/>
        <v>215.1</v>
      </c>
    </row>
    <row r="115" spans="5:14" ht="15">
      <c r="E115" s="248">
        <v>39600</v>
      </c>
      <c r="F115" s="323">
        <f t="shared" si="5"/>
        <v>39629</v>
      </c>
      <c r="G115" s="159">
        <f t="shared" si="6"/>
        <v>2009</v>
      </c>
      <c r="H115" s="290">
        <v>86.6</v>
      </c>
      <c r="I115" s="249">
        <v>216.8</v>
      </c>
      <c r="J115" s="257" t="str">
        <f>IF($E115&lt;DATE(2018,7,1),"-",INDEX('Annual Inflation'!$AM$53:$BA$53, MATCH(YEAR(EOMONTH($E115,6)), 'Annual Inflation'!$AM$6:$BA$6, 0))/100)</f>
        <v>-</v>
      </c>
      <c r="K115" s="257" t="str">
        <f>IF($E115&lt;DATE(2018,7,1),"-",INDEX('Annual Inflation'!$AM$50:$BA$50, MATCH(YEAR(EOMONTH($E115,6)), 'Annual Inflation'!$AM$6:$BA$6, 0))/100)</f>
        <v>-</v>
      </c>
      <c r="L115" s="258">
        <f t="shared" si="7"/>
        <v>86.6</v>
      </c>
      <c r="M115" s="258">
        <f t="shared" si="8"/>
        <v>216.8</v>
      </c>
      <c r="N115" s="258">
        <f t="shared" si="9"/>
        <v>216.8</v>
      </c>
    </row>
    <row r="116" spans="5:14" ht="15">
      <c r="E116" s="248">
        <v>39630</v>
      </c>
      <c r="F116" s="323">
        <f t="shared" si="5"/>
        <v>39660</v>
      </c>
      <c r="G116" s="159">
        <f t="shared" si="6"/>
        <v>2009</v>
      </c>
      <c r="H116" s="290">
        <v>86.6</v>
      </c>
      <c r="I116" s="249">
        <v>216.5</v>
      </c>
      <c r="J116" s="257" t="str">
        <f>IF($E116&lt;DATE(2018,7,1),"-",INDEX('Annual Inflation'!$AM$53:$BA$53, MATCH(YEAR(EOMONTH($E116,6)), 'Annual Inflation'!$AM$6:$BA$6, 0))/100)</f>
        <v>-</v>
      </c>
      <c r="K116" s="257" t="str">
        <f>IF($E116&lt;DATE(2018,7,1),"-",INDEX('Annual Inflation'!$AM$50:$BA$50, MATCH(YEAR(EOMONTH($E116,6)), 'Annual Inflation'!$AM$6:$BA$6, 0))/100)</f>
        <v>-</v>
      </c>
      <c r="L116" s="258">
        <f t="shared" si="7"/>
        <v>86.6</v>
      </c>
      <c r="M116" s="258">
        <f t="shared" si="8"/>
        <v>216.5</v>
      </c>
      <c r="N116" s="258">
        <f t="shared" si="9"/>
        <v>216.5</v>
      </c>
    </row>
    <row r="117" spans="5:14" ht="15">
      <c r="E117" s="248">
        <v>39661</v>
      </c>
      <c r="F117" s="323">
        <f t="shared" si="5"/>
        <v>39691</v>
      </c>
      <c r="G117" s="159">
        <f t="shared" si="6"/>
        <v>2009</v>
      </c>
      <c r="H117" s="290">
        <v>87.1</v>
      </c>
      <c r="I117" s="249">
        <v>217.2</v>
      </c>
      <c r="J117" s="257" t="str">
        <f>IF($E117&lt;DATE(2018,7,1),"-",INDEX('Annual Inflation'!$AM$53:$BA$53, MATCH(YEAR(EOMONTH($E117,6)), 'Annual Inflation'!$AM$6:$BA$6, 0))/100)</f>
        <v>-</v>
      </c>
      <c r="K117" s="257" t="str">
        <f>IF($E117&lt;DATE(2018,7,1),"-",INDEX('Annual Inflation'!$AM$50:$BA$50, MATCH(YEAR(EOMONTH($E117,6)), 'Annual Inflation'!$AM$6:$BA$6, 0))/100)</f>
        <v>-</v>
      </c>
      <c r="L117" s="258">
        <f t="shared" si="7"/>
        <v>87.1</v>
      </c>
      <c r="M117" s="258">
        <f t="shared" si="8"/>
        <v>217.2</v>
      </c>
      <c r="N117" s="258">
        <f t="shared" si="9"/>
        <v>217.2</v>
      </c>
    </row>
    <row r="118" spans="5:14" ht="15">
      <c r="E118" s="248">
        <v>39692</v>
      </c>
      <c r="F118" s="323">
        <f t="shared" si="5"/>
        <v>39721</v>
      </c>
      <c r="G118" s="159">
        <f t="shared" si="6"/>
        <v>2009</v>
      </c>
      <c r="H118" s="290">
        <v>87.5</v>
      </c>
      <c r="I118" s="249">
        <v>218.4</v>
      </c>
      <c r="J118" s="257" t="str">
        <f>IF($E118&lt;DATE(2018,7,1),"-",INDEX('Annual Inflation'!$AM$53:$BA$53, MATCH(YEAR(EOMONTH($E118,6)), 'Annual Inflation'!$AM$6:$BA$6, 0))/100)</f>
        <v>-</v>
      </c>
      <c r="K118" s="257" t="str">
        <f>IF($E118&lt;DATE(2018,7,1),"-",INDEX('Annual Inflation'!$AM$50:$BA$50, MATCH(YEAR(EOMONTH($E118,6)), 'Annual Inflation'!$AM$6:$BA$6, 0))/100)</f>
        <v>-</v>
      </c>
      <c r="L118" s="258">
        <f t="shared" si="7"/>
        <v>87.5</v>
      </c>
      <c r="M118" s="258">
        <f t="shared" si="8"/>
        <v>218.4</v>
      </c>
      <c r="N118" s="258">
        <f t="shared" si="9"/>
        <v>218.4</v>
      </c>
    </row>
    <row r="119" spans="5:14" ht="15">
      <c r="E119" s="248">
        <v>39722</v>
      </c>
      <c r="F119" s="323">
        <f t="shared" si="5"/>
        <v>39752</v>
      </c>
      <c r="G119" s="159">
        <f t="shared" si="6"/>
        <v>2009</v>
      </c>
      <c r="H119" s="290">
        <v>87.3</v>
      </c>
      <c r="I119" s="249">
        <v>217.7</v>
      </c>
      <c r="J119" s="257" t="str">
        <f>IF($E119&lt;DATE(2018,7,1),"-",INDEX('Annual Inflation'!$AM$53:$BA$53, MATCH(YEAR(EOMONTH($E119,6)), 'Annual Inflation'!$AM$6:$BA$6, 0))/100)</f>
        <v>-</v>
      </c>
      <c r="K119" s="257" t="str">
        <f>IF($E119&lt;DATE(2018,7,1),"-",INDEX('Annual Inflation'!$AM$50:$BA$50, MATCH(YEAR(EOMONTH($E119,6)), 'Annual Inflation'!$AM$6:$BA$6, 0))/100)</f>
        <v>-</v>
      </c>
      <c r="L119" s="258">
        <f t="shared" si="7"/>
        <v>87.3</v>
      </c>
      <c r="M119" s="258">
        <f t="shared" si="8"/>
        <v>217.7</v>
      </c>
      <c r="N119" s="258">
        <f t="shared" si="9"/>
        <v>217.7</v>
      </c>
    </row>
    <row r="120" spans="5:14" ht="15">
      <c r="E120" s="248">
        <v>39753</v>
      </c>
      <c r="F120" s="323">
        <f t="shared" si="5"/>
        <v>39782</v>
      </c>
      <c r="G120" s="159">
        <f t="shared" si="6"/>
        <v>2009</v>
      </c>
      <c r="H120" s="290">
        <v>87.3</v>
      </c>
      <c r="I120" s="249">
        <v>216</v>
      </c>
      <c r="J120" s="257" t="str">
        <f>IF($E120&lt;DATE(2018,7,1),"-",INDEX('Annual Inflation'!$AM$53:$BA$53, MATCH(YEAR(EOMONTH($E120,6)), 'Annual Inflation'!$AM$6:$BA$6, 0))/100)</f>
        <v>-</v>
      </c>
      <c r="K120" s="257" t="str">
        <f>IF($E120&lt;DATE(2018,7,1),"-",INDEX('Annual Inflation'!$AM$50:$BA$50, MATCH(YEAR(EOMONTH($E120,6)), 'Annual Inflation'!$AM$6:$BA$6, 0))/100)</f>
        <v>-</v>
      </c>
      <c r="L120" s="258">
        <f t="shared" si="7"/>
        <v>87.3</v>
      </c>
      <c r="M120" s="258">
        <f t="shared" si="8"/>
        <v>216</v>
      </c>
      <c r="N120" s="258">
        <f t="shared" si="9"/>
        <v>216</v>
      </c>
    </row>
    <row r="121" spans="5:14" ht="15">
      <c r="E121" s="248">
        <v>39783</v>
      </c>
      <c r="F121" s="323">
        <f t="shared" si="5"/>
        <v>39813</v>
      </c>
      <c r="G121" s="159">
        <f t="shared" si="6"/>
        <v>2009</v>
      </c>
      <c r="H121" s="290">
        <v>87.1</v>
      </c>
      <c r="I121" s="249">
        <v>212.9</v>
      </c>
      <c r="J121" s="257" t="str">
        <f>IF($E121&lt;DATE(2018,7,1),"-",INDEX('Annual Inflation'!$AM$53:$BA$53, MATCH(YEAR(EOMONTH($E121,6)), 'Annual Inflation'!$AM$6:$BA$6, 0))/100)</f>
        <v>-</v>
      </c>
      <c r="K121" s="257" t="str">
        <f>IF($E121&lt;DATE(2018,7,1),"-",INDEX('Annual Inflation'!$AM$50:$BA$50, MATCH(YEAR(EOMONTH($E121,6)), 'Annual Inflation'!$AM$6:$BA$6, 0))/100)</f>
        <v>-</v>
      </c>
      <c r="L121" s="258">
        <f t="shared" si="7"/>
        <v>87.1</v>
      </c>
      <c r="M121" s="258">
        <f t="shared" si="8"/>
        <v>212.9</v>
      </c>
      <c r="N121" s="258">
        <f t="shared" si="9"/>
        <v>212.9</v>
      </c>
    </row>
    <row r="122" spans="5:14" ht="15">
      <c r="E122" s="248">
        <v>39814</v>
      </c>
      <c r="F122" s="323">
        <f t="shared" si="5"/>
        <v>39844</v>
      </c>
      <c r="G122" s="159">
        <f t="shared" si="6"/>
        <v>2009</v>
      </c>
      <c r="H122" s="290">
        <v>86.6</v>
      </c>
      <c r="I122" s="249">
        <v>210.1</v>
      </c>
      <c r="J122" s="257" t="str">
        <f>IF($E122&lt;DATE(2018,7,1),"-",INDEX('Annual Inflation'!$AM$53:$BA$53, MATCH(YEAR(EOMONTH($E122,6)), 'Annual Inflation'!$AM$6:$BA$6, 0))/100)</f>
        <v>-</v>
      </c>
      <c r="K122" s="257" t="str">
        <f>IF($E122&lt;DATE(2018,7,1),"-",INDEX('Annual Inflation'!$AM$50:$BA$50, MATCH(YEAR(EOMONTH($E122,6)), 'Annual Inflation'!$AM$6:$BA$6, 0))/100)</f>
        <v>-</v>
      </c>
      <c r="L122" s="258">
        <f t="shared" si="7"/>
        <v>86.6</v>
      </c>
      <c r="M122" s="258">
        <f t="shared" si="8"/>
        <v>210.1</v>
      </c>
      <c r="N122" s="258">
        <f t="shared" si="9"/>
        <v>210.1</v>
      </c>
    </row>
    <row r="123" spans="5:14" ht="15">
      <c r="E123" s="248">
        <v>39845</v>
      </c>
      <c r="F123" s="323">
        <f t="shared" si="5"/>
        <v>39872</v>
      </c>
      <c r="G123" s="159">
        <f t="shared" si="6"/>
        <v>2009</v>
      </c>
      <c r="H123" s="290">
        <v>87.2</v>
      </c>
      <c r="I123" s="249">
        <v>211.4</v>
      </c>
      <c r="J123" s="257" t="str">
        <f>IF($E123&lt;DATE(2018,7,1),"-",INDEX('Annual Inflation'!$AM$53:$BA$53, MATCH(YEAR(EOMONTH($E123,6)), 'Annual Inflation'!$AM$6:$BA$6, 0))/100)</f>
        <v>-</v>
      </c>
      <c r="K123" s="257" t="str">
        <f>IF($E123&lt;DATE(2018,7,1),"-",INDEX('Annual Inflation'!$AM$50:$BA$50, MATCH(YEAR(EOMONTH($E123,6)), 'Annual Inflation'!$AM$6:$BA$6, 0))/100)</f>
        <v>-</v>
      </c>
      <c r="L123" s="258">
        <f t="shared" si="7"/>
        <v>87.2</v>
      </c>
      <c r="M123" s="258">
        <f t="shared" si="8"/>
        <v>211.4</v>
      </c>
      <c r="N123" s="258">
        <f t="shared" si="9"/>
        <v>211.4</v>
      </c>
    </row>
    <row r="124" spans="5:14" ht="15">
      <c r="E124" s="248">
        <v>39873</v>
      </c>
      <c r="F124" s="323">
        <f t="shared" si="5"/>
        <v>39903</v>
      </c>
      <c r="G124" s="159">
        <f t="shared" si="6"/>
        <v>2009</v>
      </c>
      <c r="H124" s="290">
        <v>87.3</v>
      </c>
      <c r="I124" s="249">
        <v>211.3</v>
      </c>
      <c r="J124" s="257" t="str">
        <f>IF($E124&lt;DATE(2018,7,1),"-",INDEX('Annual Inflation'!$AM$53:$BA$53, MATCH(YEAR(EOMONTH($E124,6)), 'Annual Inflation'!$AM$6:$BA$6, 0))/100)</f>
        <v>-</v>
      </c>
      <c r="K124" s="257" t="str">
        <f>IF($E124&lt;DATE(2018,7,1),"-",INDEX('Annual Inflation'!$AM$50:$BA$50, MATCH(YEAR(EOMONTH($E124,6)), 'Annual Inflation'!$AM$6:$BA$6, 0))/100)</f>
        <v>-</v>
      </c>
      <c r="L124" s="258">
        <f t="shared" si="7"/>
        <v>87.3</v>
      </c>
      <c r="M124" s="258">
        <f t="shared" si="8"/>
        <v>211.3</v>
      </c>
      <c r="N124" s="258">
        <f t="shared" si="9"/>
        <v>211.3</v>
      </c>
    </row>
    <row r="125" spans="5:14" ht="15">
      <c r="E125" s="248">
        <v>39904</v>
      </c>
      <c r="F125" s="323">
        <f t="shared" si="5"/>
        <v>39933</v>
      </c>
      <c r="G125" s="159">
        <f t="shared" si="6"/>
        <v>2010</v>
      </c>
      <c r="H125" s="290">
        <v>87.5</v>
      </c>
      <c r="I125" s="249">
        <v>211.5</v>
      </c>
      <c r="J125" s="257" t="str">
        <f>IF($E125&lt;DATE(2018,7,1),"-",INDEX('Annual Inflation'!$AM$53:$BA$53, MATCH(YEAR(EOMONTH($E125,6)), 'Annual Inflation'!$AM$6:$BA$6, 0))/100)</f>
        <v>-</v>
      </c>
      <c r="K125" s="257" t="str">
        <f>IF($E125&lt;DATE(2018,7,1),"-",INDEX('Annual Inflation'!$AM$50:$BA$50, MATCH(YEAR(EOMONTH($E125,6)), 'Annual Inflation'!$AM$6:$BA$6, 0))/100)</f>
        <v>-</v>
      </c>
      <c r="L125" s="258">
        <f t="shared" si="7"/>
        <v>87.5</v>
      </c>
      <c r="M125" s="258">
        <f t="shared" si="8"/>
        <v>211.5</v>
      </c>
      <c r="N125" s="258">
        <f t="shared" si="9"/>
        <v>211.5</v>
      </c>
    </row>
    <row r="126" spans="5:14" ht="15">
      <c r="E126" s="248">
        <v>39934</v>
      </c>
      <c r="F126" s="323">
        <f t="shared" si="5"/>
        <v>39964</v>
      </c>
      <c r="G126" s="159">
        <f t="shared" si="6"/>
        <v>2010</v>
      </c>
      <c r="H126" s="290">
        <v>87.9</v>
      </c>
      <c r="I126" s="249">
        <v>212.8</v>
      </c>
      <c r="J126" s="257" t="str">
        <f>IF($E126&lt;DATE(2018,7,1),"-",INDEX('Annual Inflation'!$AM$53:$BA$53, MATCH(YEAR(EOMONTH($E126,6)), 'Annual Inflation'!$AM$6:$BA$6, 0))/100)</f>
        <v>-</v>
      </c>
      <c r="K126" s="257" t="str">
        <f>IF($E126&lt;DATE(2018,7,1),"-",INDEX('Annual Inflation'!$AM$50:$BA$50, MATCH(YEAR(EOMONTH($E126,6)), 'Annual Inflation'!$AM$6:$BA$6, 0))/100)</f>
        <v>-</v>
      </c>
      <c r="L126" s="258">
        <f t="shared" si="7"/>
        <v>87.9</v>
      </c>
      <c r="M126" s="258">
        <f t="shared" si="8"/>
        <v>212.8</v>
      </c>
      <c r="N126" s="258">
        <f t="shared" si="9"/>
        <v>212.8</v>
      </c>
    </row>
    <row r="127" spans="5:14" ht="15">
      <c r="E127" s="248">
        <v>39965</v>
      </c>
      <c r="F127" s="323">
        <f t="shared" si="5"/>
        <v>39994</v>
      </c>
      <c r="G127" s="159">
        <f t="shared" si="6"/>
        <v>2010</v>
      </c>
      <c r="H127" s="290">
        <v>88.1</v>
      </c>
      <c r="I127" s="249">
        <v>213.4</v>
      </c>
      <c r="J127" s="257" t="str">
        <f>IF($E127&lt;DATE(2018,7,1),"-",INDEX('Annual Inflation'!$AM$53:$BA$53, MATCH(YEAR(EOMONTH($E127,6)), 'Annual Inflation'!$AM$6:$BA$6, 0))/100)</f>
        <v>-</v>
      </c>
      <c r="K127" s="257" t="str">
        <f>IF($E127&lt;DATE(2018,7,1),"-",INDEX('Annual Inflation'!$AM$50:$BA$50, MATCH(YEAR(EOMONTH($E127,6)), 'Annual Inflation'!$AM$6:$BA$6, 0))/100)</f>
        <v>-</v>
      </c>
      <c r="L127" s="258">
        <f t="shared" si="7"/>
        <v>88.1</v>
      </c>
      <c r="M127" s="258">
        <f t="shared" si="8"/>
        <v>213.4</v>
      </c>
      <c r="N127" s="258">
        <f t="shared" si="9"/>
        <v>213.4</v>
      </c>
    </row>
    <row r="128" spans="5:14" ht="15">
      <c r="E128" s="248">
        <v>39995</v>
      </c>
      <c r="F128" s="323">
        <f t="shared" si="5"/>
        <v>40025</v>
      </c>
      <c r="G128" s="159">
        <f t="shared" si="6"/>
        <v>2010</v>
      </c>
      <c r="H128" s="290">
        <v>88</v>
      </c>
      <c r="I128" s="249">
        <v>213.4</v>
      </c>
      <c r="J128" s="257" t="str">
        <f>IF($E128&lt;DATE(2018,7,1),"-",INDEX('Annual Inflation'!$AM$53:$BA$53, MATCH(YEAR(EOMONTH($E128,6)), 'Annual Inflation'!$AM$6:$BA$6, 0))/100)</f>
        <v>-</v>
      </c>
      <c r="K128" s="257" t="str">
        <f>IF($E128&lt;DATE(2018,7,1),"-",INDEX('Annual Inflation'!$AM$50:$BA$50, MATCH(YEAR(EOMONTH($E128,6)), 'Annual Inflation'!$AM$6:$BA$6, 0))/100)</f>
        <v>-</v>
      </c>
      <c r="L128" s="258">
        <f t="shared" si="7"/>
        <v>88</v>
      </c>
      <c r="M128" s="258">
        <f t="shared" si="8"/>
        <v>213.4</v>
      </c>
      <c r="N128" s="258">
        <f t="shared" si="9"/>
        <v>213.4</v>
      </c>
    </row>
    <row r="129" spans="5:14" ht="15">
      <c r="E129" s="248">
        <v>40026</v>
      </c>
      <c r="F129" s="323">
        <f t="shared" si="5"/>
        <v>40056</v>
      </c>
      <c r="G129" s="159">
        <f t="shared" si="6"/>
        <v>2010</v>
      </c>
      <c r="H129" s="290">
        <v>88.3</v>
      </c>
      <c r="I129" s="249">
        <v>214.4</v>
      </c>
      <c r="J129" s="257" t="str">
        <f>IF($E129&lt;DATE(2018,7,1),"-",INDEX('Annual Inflation'!$AM$53:$BA$53, MATCH(YEAR(EOMONTH($E129,6)), 'Annual Inflation'!$AM$6:$BA$6, 0))/100)</f>
        <v>-</v>
      </c>
      <c r="K129" s="257" t="str">
        <f>IF($E129&lt;DATE(2018,7,1),"-",INDEX('Annual Inflation'!$AM$50:$BA$50, MATCH(YEAR(EOMONTH($E129,6)), 'Annual Inflation'!$AM$6:$BA$6, 0))/100)</f>
        <v>-</v>
      </c>
      <c r="L129" s="258">
        <f t="shared" si="7"/>
        <v>88.3</v>
      </c>
      <c r="M129" s="258">
        <f t="shared" si="8"/>
        <v>214.4</v>
      </c>
      <c r="N129" s="258">
        <f t="shared" si="9"/>
        <v>214.4</v>
      </c>
    </row>
    <row r="130" spans="5:14" ht="15">
      <c r="E130" s="248">
        <v>40057</v>
      </c>
      <c r="F130" s="323">
        <f t="shared" si="5"/>
        <v>40086</v>
      </c>
      <c r="G130" s="159">
        <f t="shared" si="6"/>
        <v>2010</v>
      </c>
      <c r="H130" s="290">
        <v>88.3</v>
      </c>
      <c r="I130" s="249">
        <v>215.3</v>
      </c>
      <c r="J130" s="257" t="str">
        <f>IF($E130&lt;DATE(2018,7,1),"-",INDEX('Annual Inflation'!$AM$53:$BA$53, MATCH(YEAR(EOMONTH($E130,6)), 'Annual Inflation'!$AM$6:$BA$6, 0))/100)</f>
        <v>-</v>
      </c>
      <c r="K130" s="257" t="str">
        <f>IF($E130&lt;DATE(2018,7,1),"-",INDEX('Annual Inflation'!$AM$50:$BA$50, MATCH(YEAR(EOMONTH($E130,6)), 'Annual Inflation'!$AM$6:$BA$6, 0))/100)</f>
        <v>-</v>
      </c>
      <c r="L130" s="258">
        <f t="shared" si="7"/>
        <v>88.3</v>
      </c>
      <c r="M130" s="258">
        <f t="shared" si="8"/>
        <v>215.3</v>
      </c>
      <c r="N130" s="258">
        <f t="shared" si="9"/>
        <v>215.3</v>
      </c>
    </row>
    <row r="131" spans="5:14" ht="15">
      <c r="E131" s="248">
        <v>40087</v>
      </c>
      <c r="F131" s="323">
        <f t="shared" si="5"/>
        <v>40117</v>
      </c>
      <c r="G131" s="159">
        <f t="shared" si="6"/>
        <v>2010</v>
      </c>
      <c r="H131" s="290">
        <v>88.4</v>
      </c>
      <c r="I131" s="249">
        <v>216</v>
      </c>
      <c r="J131" s="257" t="str">
        <f>IF($E131&lt;DATE(2018,7,1),"-",INDEX('Annual Inflation'!$AM$53:$BA$53, MATCH(YEAR(EOMONTH($E131,6)), 'Annual Inflation'!$AM$6:$BA$6, 0))/100)</f>
        <v>-</v>
      </c>
      <c r="K131" s="257" t="str">
        <f>IF($E131&lt;DATE(2018,7,1),"-",INDEX('Annual Inflation'!$AM$50:$BA$50, MATCH(YEAR(EOMONTH($E131,6)), 'Annual Inflation'!$AM$6:$BA$6, 0))/100)</f>
        <v>-</v>
      </c>
      <c r="L131" s="258">
        <f t="shared" si="7"/>
        <v>88.4</v>
      </c>
      <c r="M131" s="258">
        <f t="shared" si="8"/>
        <v>216</v>
      </c>
      <c r="N131" s="258">
        <f t="shared" si="9"/>
        <v>216</v>
      </c>
    </row>
    <row r="132" spans="5:14" ht="15">
      <c r="E132" s="248">
        <v>40118</v>
      </c>
      <c r="F132" s="323">
        <f t="shared" si="5"/>
        <v>40147</v>
      </c>
      <c r="G132" s="159">
        <f t="shared" si="6"/>
        <v>2010</v>
      </c>
      <c r="H132" s="290">
        <v>88.6</v>
      </c>
      <c r="I132" s="249">
        <v>216.6</v>
      </c>
      <c r="J132" s="257" t="str">
        <f>IF($E132&lt;DATE(2018,7,1),"-",INDEX('Annual Inflation'!$AM$53:$BA$53, MATCH(YEAR(EOMONTH($E132,6)), 'Annual Inflation'!$AM$6:$BA$6, 0))/100)</f>
        <v>-</v>
      </c>
      <c r="K132" s="257" t="str">
        <f>IF($E132&lt;DATE(2018,7,1),"-",INDEX('Annual Inflation'!$AM$50:$BA$50, MATCH(YEAR(EOMONTH($E132,6)), 'Annual Inflation'!$AM$6:$BA$6, 0))/100)</f>
        <v>-</v>
      </c>
      <c r="L132" s="258">
        <f t="shared" si="7"/>
        <v>88.6</v>
      </c>
      <c r="M132" s="258">
        <f t="shared" si="8"/>
        <v>216.6</v>
      </c>
      <c r="N132" s="258">
        <f t="shared" si="9"/>
        <v>216.6</v>
      </c>
    </row>
    <row r="133" spans="5:14" ht="15">
      <c r="E133" s="248">
        <v>40148</v>
      </c>
      <c r="F133" s="323">
        <f t="shared" si="5"/>
        <v>40178</v>
      </c>
      <c r="G133" s="159">
        <f t="shared" si="6"/>
        <v>2010</v>
      </c>
      <c r="H133" s="290">
        <v>88.9</v>
      </c>
      <c r="I133" s="249">
        <v>218</v>
      </c>
      <c r="J133" s="257" t="str">
        <f>IF($E133&lt;DATE(2018,7,1),"-",INDEX('Annual Inflation'!$AM$53:$BA$53, MATCH(YEAR(EOMONTH($E133,6)), 'Annual Inflation'!$AM$6:$BA$6, 0))/100)</f>
        <v>-</v>
      </c>
      <c r="K133" s="257" t="str">
        <f>IF($E133&lt;DATE(2018,7,1),"-",INDEX('Annual Inflation'!$AM$50:$BA$50, MATCH(YEAR(EOMONTH($E133,6)), 'Annual Inflation'!$AM$6:$BA$6, 0))/100)</f>
        <v>-</v>
      </c>
      <c r="L133" s="258">
        <f t="shared" si="7"/>
        <v>88.9</v>
      </c>
      <c r="M133" s="258">
        <f t="shared" si="8"/>
        <v>218</v>
      </c>
      <c r="N133" s="258">
        <f t="shared" si="9"/>
        <v>218</v>
      </c>
    </row>
    <row r="134" spans="5:14" ht="15">
      <c r="E134" s="248">
        <v>40179</v>
      </c>
      <c r="F134" s="323">
        <f t="shared" ref="F134:F197" si="10">EOMONTH(E134, 0)</f>
        <v>40209</v>
      </c>
      <c r="G134" s="159">
        <f t="shared" ref="G134:G197" si="11">IF(MONTH(E134)&gt;=4,YEAR(E134)+1,YEAR(E134))</f>
        <v>2010</v>
      </c>
      <c r="H134" s="290">
        <v>88.8</v>
      </c>
      <c r="I134" s="249">
        <v>217.9</v>
      </c>
      <c r="J134" s="257" t="str">
        <f>IF($E134&lt;DATE(2018,7,1),"-",INDEX('Annual Inflation'!$AM$53:$BA$53, MATCH(YEAR(EOMONTH($E134,6)), 'Annual Inflation'!$AM$6:$BA$6, 0))/100)</f>
        <v>-</v>
      </c>
      <c r="K134" s="257" t="str">
        <f>IF($E134&lt;DATE(2018,7,1),"-",INDEX('Annual Inflation'!$AM$50:$BA$50, MATCH(YEAR(EOMONTH($E134,6)), 'Annual Inflation'!$AM$6:$BA$6, 0))/100)</f>
        <v>-</v>
      </c>
      <c r="L134" s="258">
        <f t="shared" ref="L134:L197" si="12">IF(ISBLANK(H134),L133*((1+J134)^(1/12)),H134)</f>
        <v>88.8</v>
      </c>
      <c r="M134" s="258">
        <f t="shared" ref="M134:M197" si="13">IF(ISBLANK(I134),M133*((1+K134)^(1/12)),I134)</f>
        <v>217.9</v>
      </c>
      <c r="N134" s="258">
        <f t="shared" ref="N134:N197" si="14">IF($E134 &lt; DATE(2023,4,1),  M134,  IF($E134 = DATE(2023,4,1), N133 * ((0.5*L134/L133) + (0.5*M134/M133)), N133*(L134/L133)))</f>
        <v>217.9</v>
      </c>
    </row>
    <row r="135" spans="5:14" ht="15">
      <c r="E135" s="248">
        <v>40210</v>
      </c>
      <c r="F135" s="323">
        <f t="shared" si="10"/>
        <v>40237</v>
      </c>
      <c r="G135" s="159">
        <f t="shared" si="11"/>
        <v>2010</v>
      </c>
      <c r="H135" s="290">
        <v>89</v>
      </c>
      <c r="I135" s="249">
        <v>219.2</v>
      </c>
      <c r="J135" s="257" t="str">
        <f>IF($E135&lt;DATE(2018,7,1),"-",INDEX('Annual Inflation'!$AM$53:$BA$53, MATCH(YEAR(EOMONTH($E135,6)), 'Annual Inflation'!$AM$6:$BA$6, 0))/100)</f>
        <v>-</v>
      </c>
      <c r="K135" s="257" t="str">
        <f>IF($E135&lt;DATE(2018,7,1),"-",INDEX('Annual Inflation'!$AM$50:$BA$50, MATCH(YEAR(EOMONTH($E135,6)), 'Annual Inflation'!$AM$6:$BA$6, 0))/100)</f>
        <v>-</v>
      </c>
      <c r="L135" s="258">
        <f t="shared" si="12"/>
        <v>89</v>
      </c>
      <c r="M135" s="258">
        <f t="shared" si="13"/>
        <v>219.2</v>
      </c>
      <c r="N135" s="258">
        <f t="shared" si="14"/>
        <v>219.2</v>
      </c>
    </row>
    <row r="136" spans="5:14" ht="15">
      <c r="E136" s="248">
        <v>40238</v>
      </c>
      <c r="F136" s="323">
        <f t="shared" si="10"/>
        <v>40268</v>
      </c>
      <c r="G136" s="159">
        <f t="shared" si="11"/>
        <v>2010</v>
      </c>
      <c r="H136" s="290">
        <v>89.4</v>
      </c>
      <c r="I136" s="249">
        <v>220.7</v>
      </c>
      <c r="J136" s="257" t="str">
        <f>IF($E136&lt;DATE(2018,7,1),"-",INDEX('Annual Inflation'!$AM$53:$BA$53, MATCH(YEAR(EOMONTH($E136,6)), 'Annual Inflation'!$AM$6:$BA$6, 0))/100)</f>
        <v>-</v>
      </c>
      <c r="K136" s="257" t="str">
        <f>IF($E136&lt;DATE(2018,7,1),"-",INDEX('Annual Inflation'!$AM$50:$BA$50, MATCH(YEAR(EOMONTH($E136,6)), 'Annual Inflation'!$AM$6:$BA$6, 0))/100)</f>
        <v>-</v>
      </c>
      <c r="L136" s="258">
        <f t="shared" si="12"/>
        <v>89.4</v>
      </c>
      <c r="M136" s="258">
        <f t="shared" si="13"/>
        <v>220.7</v>
      </c>
      <c r="N136" s="258">
        <f t="shared" si="14"/>
        <v>220.7</v>
      </c>
    </row>
    <row r="137" spans="5:14" ht="15">
      <c r="E137" s="248">
        <v>40269</v>
      </c>
      <c r="F137" s="323">
        <f t="shared" si="10"/>
        <v>40298</v>
      </c>
      <c r="G137" s="159">
        <f t="shared" si="11"/>
        <v>2011</v>
      </c>
      <c r="H137" s="290">
        <v>89.9</v>
      </c>
      <c r="I137" s="249">
        <v>222.8</v>
      </c>
      <c r="J137" s="257" t="str">
        <f>IF($E137&lt;DATE(2018,7,1),"-",INDEX('Annual Inflation'!$AM$53:$BA$53, MATCH(YEAR(EOMONTH($E137,6)), 'Annual Inflation'!$AM$6:$BA$6, 0))/100)</f>
        <v>-</v>
      </c>
      <c r="K137" s="257" t="str">
        <f>IF($E137&lt;DATE(2018,7,1),"-",INDEX('Annual Inflation'!$AM$50:$BA$50, MATCH(YEAR(EOMONTH($E137,6)), 'Annual Inflation'!$AM$6:$BA$6, 0))/100)</f>
        <v>-</v>
      </c>
      <c r="L137" s="258">
        <f t="shared" si="12"/>
        <v>89.9</v>
      </c>
      <c r="M137" s="258">
        <f t="shared" si="13"/>
        <v>222.8</v>
      </c>
      <c r="N137" s="258">
        <f t="shared" si="14"/>
        <v>222.8</v>
      </c>
    </row>
    <row r="138" spans="5:14" ht="15">
      <c r="E138" s="248">
        <v>40299</v>
      </c>
      <c r="F138" s="323">
        <f t="shared" si="10"/>
        <v>40329</v>
      </c>
      <c r="G138" s="159">
        <f t="shared" si="11"/>
        <v>2011</v>
      </c>
      <c r="H138" s="290">
        <v>90.1</v>
      </c>
      <c r="I138" s="249">
        <v>223.6</v>
      </c>
      <c r="J138" s="257" t="str">
        <f>IF($E138&lt;DATE(2018,7,1),"-",INDEX('Annual Inflation'!$AM$53:$BA$53, MATCH(YEAR(EOMONTH($E138,6)), 'Annual Inflation'!$AM$6:$BA$6, 0))/100)</f>
        <v>-</v>
      </c>
      <c r="K138" s="257" t="str">
        <f>IF($E138&lt;DATE(2018,7,1),"-",INDEX('Annual Inflation'!$AM$50:$BA$50, MATCH(YEAR(EOMONTH($E138,6)), 'Annual Inflation'!$AM$6:$BA$6, 0))/100)</f>
        <v>-</v>
      </c>
      <c r="L138" s="258">
        <f t="shared" si="12"/>
        <v>90.1</v>
      </c>
      <c r="M138" s="258">
        <f t="shared" si="13"/>
        <v>223.6</v>
      </c>
      <c r="N138" s="258">
        <f t="shared" si="14"/>
        <v>223.6</v>
      </c>
    </row>
    <row r="139" spans="5:14" ht="15">
      <c r="E139" s="248">
        <v>40330</v>
      </c>
      <c r="F139" s="323">
        <f t="shared" si="10"/>
        <v>40359</v>
      </c>
      <c r="G139" s="159">
        <f t="shared" si="11"/>
        <v>2011</v>
      </c>
      <c r="H139" s="290">
        <v>90.2</v>
      </c>
      <c r="I139" s="249">
        <v>224.1</v>
      </c>
      <c r="J139" s="257" t="str">
        <f>IF($E139&lt;DATE(2018,7,1),"-",INDEX('Annual Inflation'!$AM$53:$BA$53, MATCH(YEAR(EOMONTH($E139,6)), 'Annual Inflation'!$AM$6:$BA$6, 0))/100)</f>
        <v>-</v>
      </c>
      <c r="K139" s="257" t="str">
        <f>IF($E139&lt;DATE(2018,7,1),"-",INDEX('Annual Inflation'!$AM$50:$BA$50, MATCH(YEAR(EOMONTH($E139,6)), 'Annual Inflation'!$AM$6:$BA$6, 0))/100)</f>
        <v>-</v>
      </c>
      <c r="L139" s="258">
        <f t="shared" si="12"/>
        <v>90.2</v>
      </c>
      <c r="M139" s="258">
        <f t="shared" si="13"/>
        <v>224.1</v>
      </c>
      <c r="N139" s="258">
        <f t="shared" si="14"/>
        <v>224.1</v>
      </c>
    </row>
    <row r="140" spans="5:14" ht="15">
      <c r="E140" s="248">
        <v>40360</v>
      </c>
      <c r="F140" s="323">
        <f t="shared" si="10"/>
        <v>40390</v>
      </c>
      <c r="G140" s="159">
        <f t="shared" si="11"/>
        <v>2011</v>
      </c>
      <c r="H140" s="290">
        <v>90</v>
      </c>
      <c r="I140" s="249">
        <v>223.6</v>
      </c>
      <c r="J140" s="257" t="str">
        <f>IF($E140&lt;DATE(2018,7,1),"-",INDEX('Annual Inflation'!$AM$53:$BA$53, MATCH(YEAR(EOMONTH($E140,6)), 'Annual Inflation'!$AM$6:$BA$6, 0))/100)</f>
        <v>-</v>
      </c>
      <c r="K140" s="257" t="str">
        <f>IF($E140&lt;DATE(2018,7,1),"-",INDEX('Annual Inflation'!$AM$50:$BA$50, MATCH(YEAR(EOMONTH($E140,6)), 'Annual Inflation'!$AM$6:$BA$6, 0))/100)</f>
        <v>-</v>
      </c>
      <c r="L140" s="258">
        <f t="shared" si="12"/>
        <v>90</v>
      </c>
      <c r="M140" s="258">
        <f t="shared" si="13"/>
        <v>223.6</v>
      </c>
      <c r="N140" s="258">
        <f t="shared" si="14"/>
        <v>223.6</v>
      </c>
    </row>
    <row r="141" spans="5:14" ht="15">
      <c r="E141" s="248">
        <v>40391</v>
      </c>
      <c r="F141" s="323">
        <f t="shared" si="10"/>
        <v>40421</v>
      </c>
      <c r="G141" s="159">
        <f t="shared" si="11"/>
        <v>2011</v>
      </c>
      <c r="H141" s="290">
        <v>90.4</v>
      </c>
      <c r="I141" s="249">
        <v>224.5</v>
      </c>
      <c r="J141" s="257" t="str">
        <f>IF($E141&lt;DATE(2018,7,1),"-",INDEX('Annual Inflation'!$AM$53:$BA$53, MATCH(YEAR(EOMONTH($E141,6)), 'Annual Inflation'!$AM$6:$BA$6, 0))/100)</f>
        <v>-</v>
      </c>
      <c r="K141" s="257" t="str">
        <f>IF($E141&lt;DATE(2018,7,1),"-",INDEX('Annual Inflation'!$AM$50:$BA$50, MATCH(YEAR(EOMONTH($E141,6)), 'Annual Inflation'!$AM$6:$BA$6, 0))/100)</f>
        <v>-</v>
      </c>
      <c r="L141" s="258">
        <f t="shared" si="12"/>
        <v>90.4</v>
      </c>
      <c r="M141" s="258">
        <f t="shared" si="13"/>
        <v>224.5</v>
      </c>
      <c r="N141" s="258">
        <f t="shared" si="14"/>
        <v>224.5</v>
      </c>
    </row>
    <row r="142" spans="5:14" ht="15">
      <c r="E142" s="248">
        <v>40422</v>
      </c>
      <c r="F142" s="323">
        <f t="shared" si="10"/>
        <v>40451</v>
      </c>
      <c r="G142" s="159">
        <f t="shared" si="11"/>
        <v>2011</v>
      </c>
      <c r="H142" s="290">
        <v>90.4</v>
      </c>
      <c r="I142" s="249">
        <v>225.3</v>
      </c>
      <c r="J142" s="257" t="str">
        <f>IF($E142&lt;DATE(2018,7,1),"-",INDEX('Annual Inflation'!$AM$53:$BA$53, MATCH(YEAR(EOMONTH($E142,6)), 'Annual Inflation'!$AM$6:$BA$6, 0))/100)</f>
        <v>-</v>
      </c>
      <c r="K142" s="257" t="str">
        <f>IF($E142&lt;DATE(2018,7,1),"-",INDEX('Annual Inflation'!$AM$50:$BA$50, MATCH(YEAR(EOMONTH($E142,6)), 'Annual Inflation'!$AM$6:$BA$6, 0))/100)</f>
        <v>-</v>
      </c>
      <c r="L142" s="258">
        <f t="shared" si="12"/>
        <v>90.4</v>
      </c>
      <c r="M142" s="258">
        <f t="shared" si="13"/>
        <v>225.3</v>
      </c>
      <c r="N142" s="258">
        <f t="shared" si="14"/>
        <v>225.3</v>
      </c>
    </row>
    <row r="143" spans="5:14" ht="15">
      <c r="E143" s="248">
        <v>40452</v>
      </c>
      <c r="F143" s="323">
        <f t="shared" si="10"/>
        <v>40482</v>
      </c>
      <c r="G143" s="159">
        <f t="shared" si="11"/>
        <v>2011</v>
      </c>
      <c r="H143" s="290">
        <v>90.6</v>
      </c>
      <c r="I143" s="249">
        <v>225.8</v>
      </c>
      <c r="J143" s="257" t="str">
        <f>IF($E143&lt;DATE(2018,7,1),"-",INDEX('Annual Inflation'!$AM$53:$BA$53, MATCH(YEAR(EOMONTH($E143,6)), 'Annual Inflation'!$AM$6:$BA$6, 0))/100)</f>
        <v>-</v>
      </c>
      <c r="K143" s="257" t="str">
        <f>IF($E143&lt;DATE(2018,7,1),"-",INDEX('Annual Inflation'!$AM$50:$BA$50, MATCH(YEAR(EOMONTH($E143,6)), 'Annual Inflation'!$AM$6:$BA$6, 0))/100)</f>
        <v>-</v>
      </c>
      <c r="L143" s="258">
        <f t="shared" si="12"/>
        <v>90.6</v>
      </c>
      <c r="M143" s="258">
        <f t="shared" si="13"/>
        <v>225.8</v>
      </c>
      <c r="N143" s="258">
        <f t="shared" si="14"/>
        <v>225.8</v>
      </c>
    </row>
    <row r="144" spans="5:14" ht="15">
      <c r="E144" s="248">
        <v>40483</v>
      </c>
      <c r="F144" s="323">
        <f t="shared" si="10"/>
        <v>40512</v>
      </c>
      <c r="G144" s="159">
        <f t="shared" si="11"/>
        <v>2011</v>
      </c>
      <c r="H144" s="290">
        <v>90.9</v>
      </c>
      <c r="I144" s="249">
        <v>226.8</v>
      </c>
      <c r="J144" s="257" t="str">
        <f>IF($E144&lt;DATE(2018,7,1),"-",INDEX('Annual Inflation'!$AM$53:$BA$53, MATCH(YEAR(EOMONTH($E144,6)), 'Annual Inflation'!$AM$6:$BA$6, 0))/100)</f>
        <v>-</v>
      </c>
      <c r="K144" s="257" t="str">
        <f>IF($E144&lt;DATE(2018,7,1),"-",INDEX('Annual Inflation'!$AM$50:$BA$50, MATCH(YEAR(EOMONTH($E144,6)), 'Annual Inflation'!$AM$6:$BA$6, 0))/100)</f>
        <v>-</v>
      </c>
      <c r="L144" s="258">
        <f t="shared" si="12"/>
        <v>90.9</v>
      </c>
      <c r="M144" s="258">
        <f t="shared" si="13"/>
        <v>226.8</v>
      </c>
      <c r="N144" s="258">
        <f t="shared" si="14"/>
        <v>226.8</v>
      </c>
    </row>
    <row r="145" spans="5:14" ht="15">
      <c r="E145" s="248">
        <v>40513</v>
      </c>
      <c r="F145" s="323">
        <f t="shared" si="10"/>
        <v>40543</v>
      </c>
      <c r="G145" s="159">
        <f t="shared" si="11"/>
        <v>2011</v>
      </c>
      <c r="H145" s="290">
        <v>91.7</v>
      </c>
      <c r="I145" s="249">
        <v>228.4</v>
      </c>
      <c r="J145" s="257" t="str">
        <f>IF($E145&lt;DATE(2018,7,1),"-",INDEX('Annual Inflation'!$AM$53:$BA$53, MATCH(YEAR(EOMONTH($E145,6)), 'Annual Inflation'!$AM$6:$BA$6, 0))/100)</f>
        <v>-</v>
      </c>
      <c r="K145" s="257" t="str">
        <f>IF($E145&lt;DATE(2018,7,1),"-",INDEX('Annual Inflation'!$AM$50:$BA$50, MATCH(YEAR(EOMONTH($E145,6)), 'Annual Inflation'!$AM$6:$BA$6, 0))/100)</f>
        <v>-</v>
      </c>
      <c r="L145" s="258">
        <f t="shared" si="12"/>
        <v>91.7</v>
      </c>
      <c r="M145" s="258">
        <f t="shared" si="13"/>
        <v>228.4</v>
      </c>
      <c r="N145" s="258">
        <f t="shared" si="14"/>
        <v>228.4</v>
      </c>
    </row>
    <row r="146" spans="5:14" ht="15">
      <c r="E146" s="248">
        <v>40544</v>
      </c>
      <c r="F146" s="323">
        <f t="shared" si="10"/>
        <v>40574</v>
      </c>
      <c r="G146" s="159">
        <f t="shared" si="11"/>
        <v>2011</v>
      </c>
      <c r="H146" s="290">
        <v>91.8</v>
      </c>
      <c r="I146" s="249">
        <v>229</v>
      </c>
      <c r="J146" s="257" t="str">
        <f>IF($E146&lt;DATE(2018,7,1),"-",INDEX('Annual Inflation'!$AM$53:$BA$53, MATCH(YEAR(EOMONTH($E146,6)), 'Annual Inflation'!$AM$6:$BA$6, 0))/100)</f>
        <v>-</v>
      </c>
      <c r="K146" s="257" t="str">
        <f>IF($E146&lt;DATE(2018,7,1),"-",INDEX('Annual Inflation'!$AM$50:$BA$50, MATCH(YEAR(EOMONTH($E146,6)), 'Annual Inflation'!$AM$6:$BA$6, 0))/100)</f>
        <v>-</v>
      </c>
      <c r="L146" s="258">
        <f t="shared" si="12"/>
        <v>91.8</v>
      </c>
      <c r="M146" s="258">
        <f t="shared" si="13"/>
        <v>229</v>
      </c>
      <c r="N146" s="258">
        <f t="shared" si="14"/>
        <v>229</v>
      </c>
    </row>
    <row r="147" spans="5:14" ht="15">
      <c r="E147" s="248">
        <v>40575</v>
      </c>
      <c r="F147" s="323">
        <f t="shared" si="10"/>
        <v>40602</v>
      </c>
      <c r="G147" s="159">
        <f t="shared" si="11"/>
        <v>2011</v>
      </c>
      <c r="H147" s="290">
        <v>92.3</v>
      </c>
      <c r="I147" s="249">
        <v>231.3</v>
      </c>
      <c r="J147" s="257" t="str">
        <f>IF($E147&lt;DATE(2018,7,1),"-",INDEX('Annual Inflation'!$AM$53:$BA$53, MATCH(YEAR(EOMONTH($E147,6)), 'Annual Inflation'!$AM$6:$BA$6, 0))/100)</f>
        <v>-</v>
      </c>
      <c r="K147" s="257" t="str">
        <f>IF($E147&lt;DATE(2018,7,1),"-",INDEX('Annual Inflation'!$AM$50:$BA$50, MATCH(YEAR(EOMONTH($E147,6)), 'Annual Inflation'!$AM$6:$BA$6, 0))/100)</f>
        <v>-</v>
      </c>
      <c r="L147" s="258">
        <f t="shared" si="12"/>
        <v>92.3</v>
      </c>
      <c r="M147" s="258">
        <f t="shared" si="13"/>
        <v>231.3</v>
      </c>
      <c r="N147" s="258">
        <f t="shared" si="14"/>
        <v>231.3</v>
      </c>
    </row>
    <row r="148" spans="5:14" ht="15">
      <c r="E148" s="248">
        <v>40603</v>
      </c>
      <c r="F148" s="323">
        <f t="shared" si="10"/>
        <v>40633</v>
      </c>
      <c r="G148" s="159">
        <f t="shared" si="11"/>
        <v>2011</v>
      </c>
      <c r="H148" s="290">
        <v>92.6</v>
      </c>
      <c r="I148" s="249">
        <v>232.5</v>
      </c>
      <c r="J148" s="257" t="str">
        <f>IF($E148&lt;DATE(2018,7,1),"-",INDEX('Annual Inflation'!$AM$53:$BA$53, MATCH(YEAR(EOMONTH($E148,6)), 'Annual Inflation'!$AM$6:$BA$6, 0))/100)</f>
        <v>-</v>
      </c>
      <c r="K148" s="257" t="str">
        <f>IF($E148&lt;DATE(2018,7,1),"-",INDEX('Annual Inflation'!$AM$50:$BA$50, MATCH(YEAR(EOMONTH($E148,6)), 'Annual Inflation'!$AM$6:$BA$6, 0))/100)</f>
        <v>-</v>
      </c>
      <c r="L148" s="258">
        <f t="shared" si="12"/>
        <v>92.6</v>
      </c>
      <c r="M148" s="258">
        <f t="shared" si="13"/>
        <v>232.5</v>
      </c>
      <c r="N148" s="258">
        <f t="shared" si="14"/>
        <v>232.5</v>
      </c>
    </row>
    <row r="149" spans="5:14" ht="15">
      <c r="E149" s="248">
        <v>40634</v>
      </c>
      <c r="F149" s="323">
        <f t="shared" si="10"/>
        <v>40663</v>
      </c>
      <c r="G149" s="159">
        <f t="shared" si="11"/>
        <v>2012</v>
      </c>
      <c r="H149" s="290">
        <v>93.3</v>
      </c>
      <c r="I149" s="249">
        <v>234.4</v>
      </c>
      <c r="J149" s="257" t="str">
        <f>IF($E149&lt;DATE(2018,7,1),"-",INDEX('Annual Inflation'!$AM$53:$BA$53, MATCH(YEAR(EOMONTH($E149,6)), 'Annual Inflation'!$AM$6:$BA$6, 0))/100)</f>
        <v>-</v>
      </c>
      <c r="K149" s="257" t="str">
        <f>IF($E149&lt;DATE(2018,7,1),"-",INDEX('Annual Inflation'!$AM$50:$BA$50, MATCH(YEAR(EOMONTH($E149,6)), 'Annual Inflation'!$AM$6:$BA$6, 0))/100)</f>
        <v>-</v>
      </c>
      <c r="L149" s="258">
        <f t="shared" si="12"/>
        <v>93.3</v>
      </c>
      <c r="M149" s="258">
        <f t="shared" si="13"/>
        <v>234.4</v>
      </c>
      <c r="N149" s="258">
        <f t="shared" si="14"/>
        <v>234.4</v>
      </c>
    </row>
    <row r="150" spans="5:14" ht="15">
      <c r="E150" s="248">
        <v>40664</v>
      </c>
      <c r="F150" s="323">
        <f t="shared" si="10"/>
        <v>40694</v>
      </c>
      <c r="G150" s="159">
        <f t="shared" si="11"/>
        <v>2012</v>
      </c>
      <c r="H150" s="290">
        <v>93.5</v>
      </c>
      <c r="I150" s="249">
        <v>235.2</v>
      </c>
      <c r="J150" s="257" t="str">
        <f>IF($E150&lt;DATE(2018,7,1),"-",INDEX('Annual Inflation'!$AM$53:$BA$53, MATCH(YEAR(EOMONTH($E150,6)), 'Annual Inflation'!$AM$6:$BA$6, 0))/100)</f>
        <v>-</v>
      </c>
      <c r="K150" s="257" t="str">
        <f>IF($E150&lt;DATE(2018,7,1),"-",INDEX('Annual Inflation'!$AM$50:$BA$50, MATCH(YEAR(EOMONTH($E150,6)), 'Annual Inflation'!$AM$6:$BA$6, 0))/100)</f>
        <v>-</v>
      </c>
      <c r="L150" s="258">
        <f t="shared" si="12"/>
        <v>93.5</v>
      </c>
      <c r="M150" s="258">
        <f t="shared" si="13"/>
        <v>235.2</v>
      </c>
      <c r="N150" s="258">
        <f t="shared" si="14"/>
        <v>235.2</v>
      </c>
    </row>
    <row r="151" spans="5:14" ht="15">
      <c r="E151" s="248">
        <v>40695</v>
      </c>
      <c r="F151" s="323">
        <f t="shared" si="10"/>
        <v>40724</v>
      </c>
      <c r="G151" s="159">
        <f t="shared" si="11"/>
        <v>2012</v>
      </c>
      <c r="H151" s="290">
        <v>93.5</v>
      </c>
      <c r="I151" s="249">
        <v>235.2</v>
      </c>
      <c r="J151" s="257" t="str">
        <f>IF($E151&lt;DATE(2018,7,1),"-",INDEX('Annual Inflation'!$AM$53:$BA$53, MATCH(YEAR(EOMONTH($E151,6)), 'Annual Inflation'!$AM$6:$BA$6, 0))/100)</f>
        <v>-</v>
      </c>
      <c r="K151" s="257" t="str">
        <f>IF($E151&lt;DATE(2018,7,1),"-",INDEX('Annual Inflation'!$AM$50:$BA$50, MATCH(YEAR(EOMONTH($E151,6)), 'Annual Inflation'!$AM$6:$BA$6, 0))/100)</f>
        <v>-</v>
      </c>
      <c r="L151" s="258">
        <f t="shared" si="12"/>
        <v>93.5</v>
      </c>
      <c r="M151" s="258">
        <f t="shared" si="13"/>
        <v>235.2</v>
      </c>
      <c r="N151" s="258">
        <f t="shared" si="14"/>
        <v>235.2</v>
      </c>
    </row>
    <row r="152" spans="5:14" ht="15">
      <c r="E152" s="248">
        <v>40725</v>
      </c>
      <c r="F152" s="323">
        <f t="shared" si="10"/>
        <v>40755</v>
      </c>
      <c r="G152" s="159">
        <f t="shared" si="11"/>
        <v>2012</v>
      </c>
      <c r="H152" s="290">
        <v>93.5</v>
      </c>
      <c r="I152" s="249">
        <v>234.7</v>
      </c>
      <c r="J152" s="257" t="str">
        <f>IF($E152&lt;DATE(2018,7,1),"-",INDEX('Annual Inflation'!$AM$53:$BA$53, MATCH(YEAR(EOMONTH($E152,6)), 'Annual Inflation'!$AM$6:$BA$6, 0))/100)</f>
        <v>-</v>
      </c>
      <c r="K152" s="257" t="str">
        <f>IF($E152&lt;DATE(2018,7,1),"-",INDEX('Annual Inflation'!$AM$50:$BA$50, MATCH(YEAR(EOMONTH($E152,6)), 'Annual Inflation'!$AM$6:$BA$6, 0))/100)</f>
        <v>-</v>
      </c>
      <c r="L152" s="258">
        <f t="shared" si="12"/>
        <v>93.5</v>
      </c>
      <c r="M152" s="258">
        <f t="shared" si="13"/>
        <v>234.7</v>
      </c>
      <c r="N152" s="258">
        <f t="shared" si="14"/>
        <v>234.7</v>
      </c>
    </row>
    <row r="153" spans="5:14" ht="15">
      <c r="E153" s="248">
        <v>40756</v>
      </c>
      <c r="F153" s="323">
        <f t="shared" si="10"/>
        <v>40786</v>
      </c>
      <c r="G153" s="159">
        <f t="shared" si="11"/>
        <v>2012</v>
      </c>
      <c r="H153" s="290">
        <v>93.9</v>
      </c>
      <c r="I153" s="249">
        <v>236.1</v>
      </c>
      <c r="J153" s="257" t="str">
        <f>IF($E153&lt;DATE(2018,7,1),"-",INDEX('Annual Inflation'!$AM$53:$BA$53, MATCH(YEAR(EOMONTH($E153,6)), 'Annual Inflation'!$AM$6:$BA$6, 0))/100)</f>
        <v>-</v>
      </c>
      <c r="K153" s="257" t="str">
        <f>IF($E153&lt;DATE(2018,7,1),"-",INDEX('Annual Inflation'!$AM$50:$BA$50, MATCH(YEAR(EOMONTH($E153,6)), 'Annual Inflation'!$AM$6:$BA$6, 0))/100)</f>
        <v>-</v>
      </c>
      <c r="L153" s="258">
        <f t="shared" si="12"/>
        <v>93.9</v>
      </c>
      <c r="M153" s="258">
        <f t="shared" si="13"/>
        <v>236.1</v>
      </c>
      <c r="N153" s="258">
        <f t="shared" si="14"/>
        <v>236.1</v>
      </c>
    </row>
    <row r="154" spans="5:14" ht="15">
      <c r="E154" s="248">
        <v>40787</v>
      </c>
      <c r="F154" s="323">
        <f t="shared" si="10"/>
        <v>40816</v>
      </c>
      <c r="G154" s="159">
        <f t="shared" si="11"/>
        <v>2012</v>
      </c>
      <c r="H154" s="290">
        <v>94.5</v>
      </c>
      <c r="I154" s="249">
        <v>237.9</v>
      </c>
      <c r="J154" s="257" t="str">
        <f>IF($E154&lt;DATE(2018,7,1),"-",INDEX('Annual Inflation'!$AM$53:$BA$53, MATCH(YEAR(EOMONTH($E154,6)), 'Annual Inflation'!$AM$6:$BA$6, 0))/100)</f>
        <v>-</v>
      </c>
      <c r="K154" s="257" t="str">
        <f>IF($E154&lt;DATE(2018,7,1),"-",INDEX('Annual Inflation'!$AM$50:$BA$50, MATCH(YEAR(EOMONTH($E154,6)), 'Annual Inflation'!$AM$6:$BA$6, 0))/100)</f>
        <v>-</v>
      </c>
      <c r="L154" s="258">
        <f t="shared" si="12"/>
        <v>94.5</v>
      </c>
      <c r="M154" s="258">
        <f t="shared" si="13"/>
        <v>237.9</v>
      </c>
      <c r="N154" s="258">
        <f t="shared" si="14"/>
        <v>237.9</v>
      </c>
    </row>
    <row r="155" spans="5:14" ht="15">
      <c r="E155" s="248">
        <v>40817</v>
      </c>
      <c r="F155" s="323">
        <f t="shared" si="10"/>
        <v>40847</v>
      </c>
      <c r="G155" s="159">
        <f t="shared" si="11"/>
        <v>2012</v>
      </c>
      <c r="H155" s="290">
        <v>94.5</v>
      </c>
      <c r="I155" s="249">
        <v>238</v>
      </c>
      <c r="J155" s="257" t="str">
        <f>IF($E155&lt;DATE(2018,7,1),"-",INDEX('Annual Inflation'!$AM$53:$BA$53, MATCH(YEAR(EOMONTH($E155,6)), 'Annual Inflation'!$AM$6:$BA$6, 0))/100)</f>
        <v>-</v>
      </c>
      <c r="K155" s="257" t="str">
        <f>IF($E155&lt;DATE(2018,7,1),"-",INDEX('Annual Inflation'!$AM$50:$BA$50, MATCH(YEAR(EOMONTH($E155,6)), 'Annual Inflation'!$AM$6:$BA$6, 0))/100)</f>
        <v>-</v>
      </c>
      <c r="L155" s="258">
        <f t="shared" si="12"/>
        <v>94.5</v>
      </c>
      <c r="M155" s="258">
        <f t="shared" si="13"/>
        <v>238</v>
      </c>
      <c r="N155" s="258">
        <f t="shared" si="14"/>
        <v>238</v>
      </c>
    </row>
    <row r="156" spans="5:14" ht="15">
      <c r="E156" s="248">
        <v>40848</v>
      </c>
      <c r="F156" s="323">
        <f t="shared" si="10"/>
        <v>40877</v>
      </c>
      <c r="G156" s="159">
        <f t="shared" si="11"/>
        <v>2012</v>
      </c>
      <c r="H156" s="290">
        <v>94.7</v>
      </c>
      <c r="I156" s="249">
        <v>238.5</v>
      </c>
      <c r="J156" s="257" t="str">
        <f>IF($E156&lt;DATE(2018,7,1),"-",INDEX('Annual Inflation'!$AM$53:$BA$53, MATCH(YEAR(EOMONTH($E156,6)), 'Annual Inflation'!$AM$6:$BA$6, 0))/100)</f>
        <v>-</v>
      </c>
      <c r="K156" s="257" t="str">
        <f>IF($E156&lt;DATE(2018,7,1),"-",INDEX('Annual Inflation'!$AM$50:$BA$50, MATCH(YEAR(EOMONTH($E156,6)), 'Annual Inflation'!$AM$6:$BA$6, 0))/100)</f>
        <v>-</v>
      </c>
      <c r="L156" s="258">
        <f t="shared" si="12"/>
        <v>94.7</v>
      </c>
      <c r="M156" s="258">
        <f t="shared" si="13"/>
        <v>238.5</v>
      </c>
      <c r="N156" s="258">
        <f t="shared" si="14"/>
        <v>238.5</v>
      </c>
    </row>
    <row r="157" spans="5:14" ht="15">
      <c r="E157" s="248">
        <v>40878</v>
      </c>
      <c r="F157" s="323">
        <f t="shared" si="10"/>
        <v>40908</v>
      </c>
      <c r="G157" s="159">
        <f t="shared" si="11"/>
        <v>2012</v>
      </c>
      <c r="H157" s="290">
        <v>95</v>
      </c>
      <c r="I157" s="249">
        <v>239.4</v>
      </c>
      <c r="J157" s="257" t="str">
        <f>IF($E157&lt;DATE(2018,7,1),"-",INDEX('Annual Inflation'!$AM$53:$BA$53, MATCH(YEAR(EOMONTH($E157,6)), 'Annual Inflation'!$AM$6:$BA$6, 0))/100)</f>
        <v>-</v>
      </c>
      <c r="K157" s="257" t="str">
        <f>IF($E157&lt;DATE(2018,7,1),"-",INDEX('Annual Inflation'!$AM$50:$BA$50, MATCH(YEAR(EOMONTH($E157,6)), 'Annual Inflation'!$AM$6:$BA$6, 0))/100)</f>
        <v>-</v>
      </c>
      <c r="L157" s="258">
        <f t="shared" si="12"/>
        <v>95</v>
      </c>
      <c r="M157" s="258">
        <f t="shared" si="13"/>
        <v>239.4</v>
      </c>
      <c r="N157" s="258">
        <f t="shared" si="14"/>
        <v>239.4</v>
      </c>
    </row>
    <row r="158" spans="5:14" ht="15">
      <c r="E158" s="248">
        <v>40909</v>
      </c>
      <c r="F158" s="323">
        <f t="shared" si="10"/>
        <v>40939</v>
      </c>
      <c r="G158" s="159">
        <f t="shared" si="11"/>
        <v>2012</v>
      </c>
      <c r="H158" s="290">
        <v>94.7</v>
      </c>
      <c r="I158" s="249">
        <v>238</v>
      </c>
      <c r="J158" s="257" t="str">
        <f>IF($E158&lt;DATE(2018,7,1),"-",INDEX('Annual Inflation'!$AM$53:$BA$53, MATCH(YEAR(EOMONTH($E158,6)), 'Annual Inflation'!$AM$6:$BA$6, 0))/100)</f>
        <v>-</v>
      </c>
      <c r="K158" s="257" t="str">
        <f>IF($E158&lt;DATE(2018,7,1),"-",INDEX('Annual Inflation'!$AM$50:$BA$50, MATCH(YEAR(EOMONTH($E158,6)), 'Annual Inflation'!$AM$6:$BA$6, 0))/100)</f>
        <v>-</v>
      </c>
      <c r="L158" s="258">
        <f t="shared" si="12"/>
        <v>94.7</v>
      </c>
      <c r="M158" s="258">
        <f t="shared" si="13"/>
        <v>238</v>
      </c>
      <c r="N158" s="258">
        <f t="shared" si="14"/>
        <v>238</v>
      </c>
    </row>
    <row r="159" spans="5:14" ht="15">
      <c r="E159" s="248">
        <v>40940</v>
      </c>
      <c r="F159" s="323">
        <f t="shared" si="10"/>
        <v>40968</v>
      </c>
      <c r="G159" s="159">
        <f t="shared" si="11"/>
        <v>2012</v>
      </c>
      <c r="H159" s="290">
        <v>95.2</v>
      </c>
      <c r="I159" s="249">
        <v>239.9</v>
      </c>
      <c r="J159" s="257" t="str">
        <f>IF($E159&lt;DATE(2018,7,1),"-",INDEX('Annual Inflation'!$AM$53:$BA$53, MATCH(YEAR(EOMONTH($E159,6)), 'Annual Inflation'!$AM$6:$BA$6, 0))/100)</f>
        <v>-</v>
      </c>
      <c r="K159" s="257" t="str">
        <f>IF($E159&lt;DATE(2018,7,1),"-",INDEX('Annual Inflation'!$AM$50:$BA$50, MATCH(YEAR(EOMONTH($E159,6)), 'Annual Inflation'!$AM$6:$BA$6, 0))/100)</f>
        <v>-</v>
      </c>
      <c r="L159" s="258">
        <f t="shared" si="12"/>
        <v>95.2</v>
      </c>
      <c r="M159" s="258">
        <f t="shared" si="13"/>
        <v>239.9</v>
      </c>
      <c r="N159" s="258">
        <f t="shared" si="14"/>
        <v>239.9</v>
      </c>
    </row>
    <row r="160" spans="5:14" ht="15">
      <c r="E160" s="248">
        <v>40969</v>
      </c>
      <c r="F160" s="323">
        <f t="shared" si="10"/>
        <v>40999</v>
      </c>
      <c r="G160" s="159">
        <f t="shared" si="11"/>
        <v>2012</v>
      </c>
      <c r="H160" s="290">
        <v>95.4</v>
      </c>
      <c r="I160" s="249">
        <v>240.8</v>
      </c>
      <c r="J160" s="257" t="str">
        <f>IF($E160&lt;DATE(2018,7,1),"-",INDEX('Annual Inflation'!$AM$53:$BA$53, MATCH(YEAR(EOMONTH($E160,6)), 'Annual Inflation'!$AM$6:$BA$6, 0))/100)</f>
        <v>-</v>
      </c>
      <c r="K160" s="257" t="str">
        <f>IF($E160&lt;DATE(2018,7,1),"-",INDEX('Annual Inflation'!$AM$50:$BA$50, MATCH(YEAR(EOMONTH($E160,6)), 'Annual Inflation'!$AM$6:$BA$6, 0))/100)</f>
        <v>-</v>
      </c>
      <c r="L160" s="258">
        <f t="shared" si="12"/>
        <v>95.4</v>
      </c>
      <c r="M160" s="258">
        <f t="shared" si="13"/>
        <v>240.8</v>
      </c>
      <c r="N160" s="258">
        <f t="shared" si="14"/>
        <v>240.8</v>
      </c>
    </row>
    <row r="161" spans="5:14" ht="15">
      <c r="E161" s="248">
        <v>41000</v>
      </c>
      <c r="F161" s="323">
        <f t="shared" si="10"/>
        <v>41029</v>
      </c>
      <c r="G161" s="159">
        <f t="shared" si="11"/>
        <v>2013</v>
      </c>
      <c r="H161" s="290">
        <v>95.9</v>
      </c>
      <c r="I161" s="249">
        <v>242.5</v>
      </c>
      <c r="J161" s="257" t="str">
        <f>IF($E161&lt;DATE(2018,7,1),"-",INDEX('Annual Inflation'!$AM$53:$BA$53, MATCH(YEAR(EOMONTH($E161,6)), 'Annual Inflation'!$AM$6:$BA$6, 0))/100)</f>
        <v>-</v>
      </c>
      <c r="K161" s="257" t="str">
        <f>IF($E161&lt;DATE(2018,7,1),"-",INDEX('Annual Inflation'!$AM$50:$BA$50, MATCH(YEAR(EOMONTH($E161,6)), 'Annual Inflation'!$AM$6:$BA$6, 0))/100)</f>
        <v>-</v>
      </c>
      <c r="L161" s="258">
        <f t="shared" si="12"/>
        <v>95.9</v>
      </c>
      <c r="M161" s="258">
        <f t="shared" si="13"/>
        <v>242.5</v>
      </c>
      <c r="N161" s="258">
        <f t="shared" si="14"/>
        <v>242.5</v>
      </c>
    </row>
    <row r="162" spans="5:14" ht="15">
      <c r="E162" s="248">
        <v>41030</v>
      </c>
      <c r="F162" s="323">
        <f t="shared" si="10"/>
        <v>41060</v>
      </c>
      <c r="G162" s="159">
        <f t="shared" si="11"/>
        <v>2013</v>
      </c>
      <c r="H162" s="290">
        <v>95.9</v>
      </c>
      <c r="I162" s="249">
        <v>242.4</v>
      </c>
      <c r="J162" s="257" t="str">
        <f>IF($E162&lt;DATE(2018,7,1),"-",INDEX('Annual Inflation'!$AM$53:$BA$53, MATCH(YEAR(EOMONTH($E162,6)), 'Annual Inflation'!$AM$6:$BA$6, 0))/100)</f>
        <v>-</v>
      </c>
      <c r="K162" s="257" t="str">
        <f>IF($E162&lt;DATE(2018,7,1),"-",INDEX('Annual Inflation'!$AM$50:$BA$50, MATCH(YEAR(EOMONTH($E162,6)), 'Annual Inflation'!$AM$6:$BA$6, 0))/100)</f>
        <v>-</v>
      </c>
      <c r="L162" s="258">
        <f t="shared" si="12"/>
        <v>95.9</v>
      </c>
      <c r="M162" s="258">
        <f t="shared" si="13"/>
        <v>242.4</v>
      </c>
      <c r="N162" s="258">
        <f t="shared" si="14"/>
        <v>242.4</v>
      </c>
    </row>
    <row r="163" spans="5:14" ht="15">
      <c r="E163" s="248">
        <v>41061</v>
      </c>
      <c r="F163" s="323">
        <f t="shared" si="10"/>
        <v>41090</v>
      </c>
      <c r="G163" s="159">
        <f t="shared" si="11"/>
        <v>2013</v>
      </c>
      <c r="H163" s="290">
        <v>95.6</v>
      </c>
      <c r="I163" s="249">
        <v>241.8</v>
      </c>
      <c r="J163" s="257" t="str">
        <f>IF($E163&lt;DATE(2018,7,1),"-",INDEX('Annual Inflation'!$AM$53:$BA$53, MATCH(YEAR(EOMONTH($E163,6)), 'Annual Inflation'!$AM$6:$BA$6, 0))/100)</f>
        <v>-</v>
      </c>
      <c r="K163" s="257" t="str">
        <f>IF($E163&lt;DATE(2018,7,1),"-",INDEX('Annual Inflation'!$AM$50:$BA$50, MATCH(YEAR(EOMONTH($E163,6)), 'Annual Inflation'!$AM$6:$BA$6, 0))/100)</f>
        <v>-</v>
      </c>
      <c r="L163" s="258">
        <f t="shared" si="12"/>
        <v>95.6</v>
      </c>
      <c r="M163" s="258">
        <f t="shared" si="13"/>
        <v>241.8</v>
      </c>
      <c r="N163" s="258">
        <f t="shared" si="14"/>
        <v>241.8</v>
      </c>
    </row>
    <row r="164" spans="5:14" ht="15">
      <c r="E164" s="248">
        <v>41091</v>
      </c>
      <c r="F164" s="323">
        <f t="shared" si="10"/>
        <v>41121</v>
      </c>
      <c r="G164" s="159">
        <f t="shared" si="11"/>
        <v>2013</v>
      </c>
      <c r="H164" s="290">
        <v>95.7</v>
      </c>
      <c r="I164" s="249">
        <v>242.1</v>
      </c>
      <c r="J164" s="257" t="str">
        <f>IF($E164&lt;DATE(2018,7,1),"-",INDEX('Annual Inflation'!$AM$53:$BA$53, MATCH(YEAR(EOMONTH($E164,6)), 'Annual Inflation'!$AM$6:$BA$6, 0))/100)</f>
        <v>-</v>
      </c>
      <c r="K164" s="257" t="str">
        <f>IF($E164&lt;DATE(2018,7,1),"-",INDEX('Annual Inflation'!$AM$50:$BA$50, MATCH(YEAR(EOMONTH($E164,6)), 'Annual Inflation'!$AM$6:$BA$6, 0))/100)</f>
        <v>-</v>
      </c>
      <c r="L164" s="258">
        <f t="shared" si="12"/>
        <v>95.7</v>
      </c>
      <c r="M164" s="258">
        <f t="shared" si="13"/>
        <v>242.1</v>
      </c>
      <c r="N164" s="258">
        <f t="shared" si="14"/>
        <v>242.1</v>
      </c>
    </row>
    <row r="165" spans="5:14" ht="15">
      <c r="E165" s="248">
        <v>41122</v>
      </c>
      <c r="F165" s="323">
        <f t="shared" si="10"/>
        <v>41152</v>
      </c>
      <c r="G165" s="159">
        <f t="shared" si="11"/>
        <v>2013</v>
      </c>
      <c r="H165" s="290">
        <v>96.1</v>
      </c>
      <c r="I165" s="249">
        <v>243</v>
      </c>
      <c r="J165" s="257" t="str">
        <f>IF($E165&lt;DATE(2018,7,1),"-",INDEX('Annual Inflation'!$AM$53:$BA$53, MATCH(YEAR(EOMONTH($E165,6)), 'Annual Inflation'!$AM$6:$BA$6, 0))/100)</f>
        <v>-</v>
      </c>
      <c r="K165" s="257" t="str">
        <f>IF($E165&lt;DATE(2018,7,1),"-",INDEX('Annual Inflation'!$AM$50:$BA$50, MATCH(YEAR(EOMONTH($E165,6)), 'Annual Inflation'!$AM$6:$BA$6, 0))/100)</f>
        <v>-</v>
      </c>
      <c r="L165" s="258">
        <f t="shared" si="12"/>
        <v>96.1</v>
      </c>
      <c r="M165" s="258">
        <f t="shared" si="13"/>
        <v>243</v>
      </c>
      <c r="N165" s="258">
        <f t="shared" si="14"/>
        <v>243</v>
      </c>
    </row>
    <row r="166" spans="5:14" ht="15">
      <c r="E166" s="248">
        <v>41153</v>
      </c>
      <c r="F166" s="323">
        <f t="shared" si="10"/>
        <v>41182</v>
      </c>
      <c r="G166" s="159">
        <f t="shared" si="11"/>
        <v>2013</v>
      </c>
      <c r="H166" s="290">
        <v>96.4</v>
      </c>
      <c r="I166" s="249">
        <v>244.2</v>
      </c>
      <c r="J166" s="257" t="str">
        <f>IF($E166&lt;DATE(2018,7,1),"-",INDEX('Annual Inflation'!$AM$53:$BA$53, MATCH(YEAR(EOMONTH($E166,6)), 'Annual Inflation'!$AM$6:$BA$6, 0))/100)</f>
        <v>-</v>
      </c>
      <c r="K166" s="257" t="str">
        <f>IF($E166&lt;DATE(2018,7,1),"-",INDEX('Annual Inflation'!$AM$50:$BA$50, MATCH(YEAR(EOMONTH($E166,6)), 'Annual Inflation'!$AM$6:$BA$6, 0))/100)</f>
        <v>-</v>
      </c>
      <c r="L166" s="258">
        <f t="shared" si="12"/>
        <v>96.4</v>
      </c>
      <c r="M166" s="258">
        <f t="shared" si="13"/>
        <v>244.2</v>
      </c>
      <c r="N166" s="258">
        <f t="shared" si="14"/>
        <v>244.2</v>
      </c>
    </row>
    <row r="167" spans="5:14" ht="15">
      <c r="E167" s="248">
        <v>41183</v>
      </c>
      <c r="F167" s="323">
        <f t="shared" si="10"/>
        <v>41213</v>
      </c>
      <c r="G167" s="159">
        <f t="shared" si="11"/>
        <v>2013</v>
      </c>
      <c r="H167" s="290">
        <v>96.8</v>
      </c>
      <c r="I167" s="249">
        <v>245.6</v>
      </c>
      <c r="J167" s="257" t="str">
        <f>IF($E167&lt;DATE(2018,7,1),"-",INDEX('Annual Inflation'!$AM$53:$BA$53, MATCH(YEAR(EOMONTH($E167,6)), 'Annual Inflation'!$AM$6:$BA$6, 0))/100)</f>
        <v>-</v>
      </c>
      <c r="K167" s="257" t="str">
        <f>IF($E167&lt;DATE(2018,7,1),"-",INDEX('Annual Inflation'!$AM$50:$BA$50, MATCH(YEAR(EOMONTH($E167,6)), 'Annual Inflation'!$AM$6:$BA$6, 0))/100)</f>
        <v>-</v>
      </c>
      <c r="L167" s="258">
        <f t="shared" si="12"/>
        <v>96.8</v>
      </c>
      <c r="M167" s="258">
        <f t="shared" si="13"/>
        <v>245.6</v>
      </c>
      <c r="N167" s="258">
        <f t="shared" si="14"/>
        <v>245.6</v>
      </c>
    </row>
    <row r="168" spans="5:14" ht="15">
      <c r="E168" s="248">
        <v>41214</v>
      </c>
      <c r="F168" s="323">
        <f t="shared" si="10"/>
        <v>41243</v>
      </c>
      <c r="G168" s="159">
        <f t="shared" si="11"/>
        <v>2013</v>
      </c>
      <c r="H168" s="290">
        <v>97</v>
      </c>
      <c r="I168" s="249">
        <v>245.6</v>
      </c>
      <c r="J168" s="257" t="str">
        <f>IF($E168&lt;DATE(2018,7,1),"-",INDEX('Annual Inflation'!$AM$53:$BA$53, MATCH(YEAR(EOMONTH($E168,6)), 'Annual Inflation'!$AM$6:$BA$6, 0))/100)</f>
        <v>-</v>
      </c>
      <c r="K168" s="257" t="str">
        <f>IF($E168&lt;DATE(2018,7,1),"-",INDEX('Annual Inflation'!$AM$50:$BA$50, MATCH(YEAR(EOMONTH($E168,6)), 'Annual Inflation'!$AM$6:$BA$6, 0))/100)</f>
        <v>-</v>
      </c>
      <c r="L168" s="258">
        <f t="shared" si="12"/>
        <v>97</v>
      </c>
      <c r="M168" s="258">
        <f t="shared" si="13"/>
        <v>245.6</v>
      </c>
      <c r="N168" s="258">
        <f t="shared" si="14"/>
        <v>245.6</v>
      </c>
    </row>
    <row r="169" spans="5:14" ht="15">
      <c r="E169" s="248">
        <v>41244</v>
      </c>
      <c r="F169" s="323">
        <f t="shared" si="10"/>
        <v>41274</v>
      </c>
      <c r="G169" s="159">
        <f t="shared" si="11"/>
        <v>2013</v>
      </c>
      <c r="H169" s="290">
        <v>97.3</v>
      </c>
      <c r="I169" s="249">
        <v>246.8</v>
      </c>
      <c r="J169" s="257" t="str">
        <f>IF($E169&lt;DATE(2018,7,1),"-",INDEX('Annual Inflation'!$AM$53:$BA$53, MATCH(YEAR(EOMONTH($E169,6)), 'Annual Inflation'!$AM$6:$BA$6, 0))/100)</f>
        <v>-</v>
      </c>
      <c r="K169" s="257" t="str">
        <f>IF($E169&lt;DATE(2018,7,1),"-",INDEX('Annual Inflation'!$AM$50:$BA$50, MATCH(YEAR(EOMONTH($E169,6)), 'Annual Inflation'!$AM$6:$BA$6, 0))/100)</f>
        <v>-</v>
      </c>
      <c r="L169" s="258">
        <f t="shared" si="12"/>
        <v>97.3</v>
      </c>
      <c r="M169" s="258">
        <f t="shared" si="13"/>
        <v>246.8</v>
      </c>
      <c r="N169" s="258">
        <f t="shared" si="14"/>
        <v>246.8</v>
      </c>
    </row>
    <row r="170" spans="5:14" ht="15">
      <c r="E170" s="248">
        <v>41275</v>
      </c>
      <c r="F170" s="323">
        <f t="shared" si="10"/>
        <v>41305</v>
      </c>
      <c r="G170" s="159">
        <f t="shared" si="11"/>
        <v>2013</v>
      </c>
      <c r="H170" s="290">
        <v>97</v>
      </c>
      <c r="I170" s="249">
        <v>245.8</v>
      </c>
      <c r="J170" s="257" t="str">
        <f>IF($E170&lt;DATE(2018,7,1),"-",INDEX('Annual Inflation'!$AM$53:$BA$53, MATCH(YEAR(EOMONTH($E170,6)), 'Annual Inflation'!$AM$6:$BA$6, 0))/100)</f>
        <v>-</v>
      </c>
      <c r="K170" s="257" t="str">
        <f>IF($E170&lt;DATE(2018,7,1),"-",INDEX('Annual Inflation'!$AM$50:$BA$50, MATCH(YEAR(EOMONTH($E170,6)), 'Annual Inflation'!$AM$6:$BA$6, 0))/100)</f>
        <v>-</v>
      </c>
      <c r="L170" s="258">
        <f t="shared" si="12"/>
        <v>97</v>
      </c>
      <c r="M170" s="258">
        <f t="shared" si="13"/>
        <v>245.8</v>
      </c>
      <c r="N170" s="258">
        <f t="shared" si="14"/>
        <v>245.8</v>
      </c>
    </row>
    <row r="171" spans="5:14" ht="15">
      <c r="E171" s="248">
        <v>41306</v>
      </c>
      <c r="F171" s="323">
        <f t="shared" si="10"/>
        <v>41333</v>
      </c>
      <c r="G171" s="159">
        <f t="shared" si="11"/>
        <v>2013</v>
      </c>
      <c r="H171" s="290">
        <v>97.5</v>
      </c>
      <c r="I171" s="249">
        <v>247.6</v>
      </c>
      <c r="J171" s="257" t="str">
        <f>IF($E171&lt;DATE(2018,7,1),"-",INDEX('Annual Inflation'!$AM$53:$BA$53, MATCH(YEAR(EOMONTH($E171,6)), 'Annual Inflation'!$AM$6:$BA$6, 0))/100)</f>
        <v>-</v>
      </c>
      <c r="K171" s="257" t="str">
        <f>IF($E171&lt;DATE(2018,7,1),"-",INDEX('Annual Inflation'!$AM$50:$BA$50, MATCH(YEAR(EOMONTH($E171,6)), 'Annual Inflation'!$AM$6:$BA$6, 0))/100)</f>
        <v>-</v>
      </c>
      <c r="L171" s="258">
        <f t="shared" si="12"/>
        <v>97.5</v>
      </c>
      <c r="M171" s="258">
        <f t="shared" si="13"/>
        <v>247.6</v>
      </c>
      <c r="N171" s="258">
        <f t="shared" si="14"/>
        <v>247.6</v>
      </c>
    </row>
    <row r="172" spans="5:14" ht="15">
      <c r="E172" s="248">
        <v>41334</v>
      </c>
      <c r="F172" s="323">
        <f t="shared" si="10"/>
        <v>41364</v>
      </c>
      <c r="G172" s="159">
        <f t="shared" si="11"/>
        <v>2013</v>
      </c>
      <c r="H172" s="290">
        <v>97.8</v>
      </c>
      <c r="I172" s="249">
        <v>248.7</v>
      </c>
      <c r="J172" s="257" t="str">
        <f>IF($E172&lt;DATE(2018,7,1),"-",INDEX('Annual Inflation'!$AM$53:$BA$53, MATCH(YEAR(EOMONTH($E172,6)), 'Annual Inflation'!$AM$6:$BA$6, 0))/100)</f>
        <v>-</v>
      </c>
      <c r="K172" s="257" t="str">
        <f>IF($E172&lt;DATE(2018,7,1),"-",INDEX('Annual Inflation'!$AM$50:$BA$50, MATCH(YEAR(EOMONTH($E172,6)), 'Annual Inflation'!$AM$6:$BA$6, 0))/100)</f>
        <v>-</v>
      </c>
      <c r="L172" s="258">
        <f t="shared" si="12"/>
        <v>97.8</v>
      </c>
      <c r="M172" s="258">
        <f t="shared" si="13"/>
        <v>248.7</v>
      </c>
      <c r="N172" s="258">
        <f t="shared" si="14"/>
        <v>248.7</v>
      </c>
    </row>
    <row r="173" spans="5:14" ht="15">
      <c r="E173" s="248">
        <v>41365</v>
      </c>
      <c r="F173" s="323">
        <f t="shared" si="10"/>
        <v>41394</v>
      </c>
      <c r="G173" s="159">
        <f t="shared" si="11"/>
        <v>2014</v>
      </c>
      <c r="H173" s="290">
        <v>98</v>
      </c>
      <c r="I173" s="249">
        <v>249.5</v>
      </c>
      <c r="J173" s="257" t="str">
        <f>IF($E173&lt;DATE(2018,7,1),"-",INDEX('Annual Inflation'!$AM$53:$BA$53, MATCH(YEAR(EOMONTH($E173,6)), 'Annual Inflation'!$AM$6:$BA$6, 0))/100)</f>
        <v>-</v>
      </c>
      <c r="K173" s="257" t="str">
        <f>IF($E173&lt;DATE(2018,7,1),"-",INDEX('Annual Inflation'!$AM$50:$BA$50, MATCH(YEAR(EOMONTH($E173,6)), 'Annual Inflation'!$AM$6:$BA$6, 0))/100)</f>
        <v>-</v>
      </c>
      <c r="L173" s="258">
        <f t="shared" si="12"/>
        <v>98</v>
      </c>
      <c r="M173" s="258">
        <f t="shared" si="13"/>
        <v>249.5</v>
      </c>
      <c r="N173" s="258">
        <f t="shared" si="14"/>
        <v>249.5</v>
      </c>
    </row>
    <row r="174" spans="5:14" ht="15">
      <c r="E174" s="248">
        <v>41395</v>
      </c>
      <c r="F174" s="323">
        <f t="shared" si="10"/>
        <v>41425</v>
      </c>
      <c r="G174" s="159">
        <f t="shared" si="11"/>
        <v>2014</v>
      </c>
      <c r="H174" s="290">
        <v>98.2</v>
      </c>
      <c r="I174" s="249">
        <v>250</v>
      </c>
      <c r="J174" s="257" t="str">
        <f>IF($E174&lt;DATE(2018,7,1),"-",INDEX('Annual Inflation'!$AM$53:$BA$53, MATCH(YEAR(EOMONTH($E174,6)), 'Annual Inflation'!$AM$6:$BA$6, 0))/100)</f>
        <v>-</v>
      </c>
      <c r="K174" s="257" t="str">
        <f>IF($E174&lt;DATE(2018,7,1),"-",INDEX('Annual Inflation'!$AM$50:$BA$50, MATCH(YEAR(EOMONTH($E174,6)), 'Annual Inflation'!$AM$6:$BA$6, 0))/100)</f>
        <v>-</v>
      </c>
      <c r="L174" s="258">
        <f t="shared" si="12"/>
        <v>98.2</v>
      </c>
      <c r="M174" s="258">
        <f t="shared" si="13"/>
        <v>250</v>
      </c>
      <c r="N174" s="258">
        <f t="shared" si="14"/>
        <v>250</v>
      </c>
    </row>
    <row r="175" spans="5:14" ht="15">
      <c r="E175" s="248">
        <v>41426</v>
      </c>
      <c r="F175" s="323">
        <f t="shared" si="10"/>
        <v>41455</v>
      </c>
      <c r="G175" s="159">
        <f t="shared" si="11"/>
        <v>2014</v>
      </c>
      <c r="H175" s="290">
        <v>98</v>
      </c>
      <c r="I175" s="249">
        <v>249.7</v>
      </c>
      <c r="J175" s="257" t="str">
        <f>IF($E175&lt;DATE(2018,7,1),"-",INDEX('Annual Inflation'!$AM$53:$BA$53, MATCH(YEAR(EOMONTH($E175,6)), 'Annual Inflation'!$AM$6:$BA$6, 0))/100)</f>
        <v>-</v>
      </c>
      <c r="K175" s="257" t="str">
        <f>IF($E175&lt;DATE(2018,7,1),"-",INDEX('Annual Inflation'!$AM$50:$BA$50, MATCH(YEAR(EOMONTH($E175,6)), 'Annual Inflation'!$AM$6:$BA$6, 0))/100)</f>
        <v>-</v>
      </c>
      <c r="L175" s="258">
        <f t="shared" si="12"/>
        <v>98</v>
      </c>
      <c r="M175" s="258">
        <f t="shared" si="13"/>
        <v>249.7</v>
      </c>
      <c r="N175" s="258">
        <f t="shared" si="14"/>
        <v>249.7</v>
      </c>
    </row>
    <row r="176" spans="5:14" ht="15">
      <c r="E176" s="248">
        <v>41456</v>
      </c>
      <c r="F176" s="323">
        <f t="shared" si="10"/>
        <v>41486</v>
      </c>
      <c r="G176" s="159">
        <f t="shared" si="11"/>
        <v>2014</v>
      </c>
      <c r="H176" s="290">
        <v>98</v>
      </c>
      <c r="I176" s="249">
        <v>249.7</v>
      </c>
      <c r="J176" s="257" t="str">
        <f>IF($E176&lt;DATE(2018,7,1),"-",INDEX('Annual Inflation'!$AM$53:$BA$53, MATCH(YEAR(EOMONTH($E176,6)), 'Annual Inflation'!$AM$6:$BA$6, 0))/100)</f>
        <v>-</v>
      </c>
      <c r="K176" s="257" t="str">
        <f>IF($E176&lt;DATE(2018,7,1),"-",INDEX('Annual Inflation'!$AM$50:$BA$50, MATCH(YEAR(EOMONTH($E176,6)), 'Annual Inflation'!$AM$6:$BA$6, 0))/100)</f>
        <v>-</v>
      </c>
      <c r="L176" s="258">
        <f t="shared" si="12"/>
        <v>98</v>
      </c>
      <c r="M176" s="258">
        <f t="shared" si="13"/>
        <v>249.7</v>
      </c>
      <c r="N176" s="258">
        <f t="shared" si="14"/>
        <v>249.7</v>
      </c>
    </row>
    <row r="177" spans="5:14" ht="15">
      <c r="E177" s="248">
        <v>41487</v>
      </c>
      <c r="F177" s="323">
        <f t="shared" si="10"/>
        <v>41517</v>
      </c>
      <c r="G177" s="159">
        <f t="shared" si="11"/>
        <v>2014</v>
      </c>
      <c r="H177" s="290">
        <v>98.4</v>
      </c>
      <c r="I177" s="249">
        <v>251</v>
      </c>
      <c r="J177" s="257" t="str">
        <f>IF($E177&lt;DATE(2018,7,1),"-",INDEX('Annual Inflation'!$AM$53:$BA$53, MATCH(YEAR(EOMONTH($E177,6)), 'Annual Inflation'!$AM$6:$BA$6, 0))/100)</f>
        <v>-</v>
      </c>
      <c r="K177" s="257" t="str">
        <f>IF($E177&lt;DATE(2018,7,1),"-",INDEX('Annual Inflation'!$AM$50:$BA$50, MATCH(YEAR(EOMONTH($E177,6)), 'Annual Inflation'!$AM$6:$BA$6, 0))/100)</f>
        <v>-</v>
      </c>
      <c r="L177" s="258">
        <f t="shared" si="12"/>
        <v>98.4</v>
      </c>
      <c r="M177" s="258">
        <f t="shared" si="13"/>
        <v>251</v>
      </c>
      <c r="N177" s="258">
        <f t="shared" si="14"/>
        <v>251</v>
      </c>
    </row>
    <row r="178" spans="5:14" ht="15">
      <c r="E178" s="248">
        <v>41518</v>
      </c>
      <c r="F178" s="323">
        <f t="shared" si="10"/>
        <v>41547</v>
      </c>
      <c r="G178" s="159">
        <f t="shared" si="11"/>
        <v>2014</v>
      </c>
      <c r="H178" s="290">
        <v>98.7</v>
      </c>
      <c r="I178" s="249">
        <v>251.9</v>
      </c>
      <c r="J178" s="257" t="str">
        <f>IF($E178&lt;DATE(2018,7,1),"-",INDEX('Annual Inflation'!$AM$53:$BA$53, MATCH(YEAR(EOMONTH($E178,6)), 'Annual Inflation'!$AM$6:$BA$6, 0))/100)</f>
        <v>-</v>
      </c>
      <c r="K178" s="257" t="str">
        <f>IF($E178&lt;DATE(2018,7,1),"-",INDEX('Annual Inflation'!$AM$50:$BA$50, MATCH(YEAR(EOMONTH($E178,6)), 'Annual Inflation'!$AM$6:$BA$6, 0))/100)</f>
        <v>-</v>
      </c>
      <c r="L178" s="258">
        <f t="shared" si="12"/>
        <v>98.7</v>
      </c>
      <c r="M178" s="258">
        <f t="shared" si="13"/>
        <v>251.9</v>
      </c>
      <c r="N178" s="258">
        <f t="shared" si="14"/>
        <v>251.9</v>
      </c>
    </row>
    <row r="179" spans="5:14" ht="15">
      <c r="E179" s="248">
        <v>41548</v>
      </c>
      <c r="F179" s="323">
        <f t="shared" si="10"/>
        <v>41578</v>
      </c>
      <c r="G179" s="159">
        <f t="shared" si="11"/>
        <v>2014</v>
      </c>
      <c r="H179" s="290">
        <v>98.8</v>
      </c>
      <c r="I179" s="249">
        <v>251.9</v>
      </c>
      <c r="J179" s="257" t="str">
        <f>IF($E179&lt;DATE(2018,7,1),"-",INDEX('Annual Inflation'!$AM$53:$BA$53, MATCH(YEAR(EOMONTH($E179,6)), 'Annual Inflation'!$AM$6:$BA$6, 0))/100)</f>
        <v>-</v>
      </c>
      <c r="K179" s="257" t="str">
        <f>IF($E179&lt;DATE(2018,7,1),"-",INDEX('Annual Inflation'!$AM$50:$BA$50, MATCH(YEAR(EOMONTH($E179,6)), 'Annual Inflation'!$AM$6:$BA$6, 0))/100)</f>
        <v>-</v>
      </c>
      <c r="L179" s="258">
        <f t="shared" si="12"/>
        <v>98.8</v>
      </c>
      <c r="M179" s="258">
        <f t="shared" si="13"/>
        <v>251.9</v>
      </c>
      <c r="N179" s="258">
        <f t="shared" si="14"/>
        <v>251.9</v>
      </c>
    </row>
    <row r="180" spans="5:14" ht="15">
      <c r="E180" s="248">
        <v>41579</v>
      </c>
      <c r="F180" s="323">
        <f t="shared" si="10"/>
        <v>41608</v>
      </c>
      <c r="G180" s="159">
        <f t="shared" si="11"/>
        <v>2014</v>
      </c>
      <c r="H180" s="290">
        <v>98.8</v>
      </c>
      <c r="I180" s="249">
        <v>252.1</v>
      </c>
      <c r="J180" s="257" t="str">
        <f>IF($E180&lt;DATE(2018,7,1),"-",INDEX('Annual Inflation'!$AM$53:$BA$53, MATCH(YEAR(EOMONTH($E180,6)), 'Annual Inflation'!$AM$6:$BA$6, 0))/100)</f>
        <v>-</v>
      </c>
      <c r="K180" s="257" t="str">
        <f>IF($E180&lt;DATE(2018,7,1),"-",INDEX('Annual Inflation'!$AM$50:$BA$50, MATCH(YEAR(EOMONTH($E180,6)), 'Annual Inflation'!$AM$6:$BA$6, 0))/100)</f>
        <v>-</v>
      </c>
      <c r="L180" s="258">
        <f t="shared" si="12"/>
        <v>98.8</v>
      </c>
      <c r="M180" s="258">
        <f t="shared" si="13"/>
        <v>252.1</v>
      </c>
      <c r="N180" s="258">
        <f t="shared" si="14"/>
        <v>252.1</v>
      </c>
    </row>
    <row r="181" spans="5:14" ht="15">
      <c r="E181" s="248">
        <v>41609</v>
      </c>
      <c r="F181" s="323">
        <f t="shared" si="10"/>
        <v>41639</v>
      </c>
      <c r="G181" s="159">
        <f t="shared" si="11"/>
        <v>2014</v>
      </c>
      <c r="H181" s="290">
        <v>99.2</v>
      </c>
      <c r="I181" s="249">
        <v>253.4</v>
      </c>
      <c r="J181" s="257" t="str">
        <f>IF($E181&lt;DATE(2018,7,1),"-",INDEX('Annual Inflation'!$AM$53:$BA$53, MATCH(YEAR(EOMONTH($E181,6)), 'Annual Inflation'!$AM$6:$BA$6, 0))/100)</f>
        <v>-</v>
      </c>
      <c r="K181" s="257" t="str">
        <f>IF($E181&lt;DATE(2018,7,1),"-",INDEX('Annual Inflation'!$AM$50:$BA$50, MATCH(YEAR(EOMONTH($E181,6)), 'Annual Inflation'!$AM$6:$BA$6, 0))/100)</f>
        <v>-</v>
      </c>
      <c r="L181" s="258">
        <f t="shared" si="12"/>
        <v>99.2</v>
      </c>
      <c r="M181" s="258">
        <f t="shared" si="13"/>
        <v>253.4</v>
      </c>
      <c r="N181" s="258">
        <f t="shared" si="14"/>
        <v>253.4</v>
      </c>
    </row>
    <row r="182" spans="5:14" ht="15">
      <c r="E182" s="248">
        <v>41640</v>
      </c>
      <c r="F182" s="323">
        <f t="shared" si="10"/>
        <v>41670</v>
      </c>
      <c r="G182" s="159">
        <f t="shared" si="11"/>
        <v>2014</v>
      </c>
      <c r="H182" s="290">
        <v>98.7</v>
      </c>
      <c r="I182" s="249">
        <v>252.6</v>
      </c>
      <c r="J182" s="257" t="str">
        <f>IF($E182&lt;DATE(2018,7,1),"-",INDEX('Annual Inflation'!$AM$53:$BA$53, MATCH(YEAR(EOMONTH($E182,6)), 'Annual Inflation'!$AM$6:$BA$6, 0))/100)</f>
        <v>-</v>
      </c>
      <c r="K182" s="257" t="str">
        <f>IF($E182&lt;DATE(2018,7,1),"-",INDEX('Annual Inflation'!$AM$50:$BA$50, MATCH(YEAR(EOMONTH($E182,6)), 'Annual Inflation'!$AM$6:$BA$6, 0))/100)</f>
        <v>-</v>
      </c>
      <c r="L182" s="258">
        <f t="shared" si="12"/>
        <v>98.7</v>
      </c>
      <c r="M182" s="258">
        <f t="shared" si="13"/>
        <v>252.6</v>
      </c>
      <c r="N182" s="258">
        <f t="shared" si="14"/>
        <v>252.6</v>
      </c>
    </row>
    <row r="183" spans="5:14" ht="15">
      <c r="E183" s="248">
        <v>41671</v>
      </c>
      <c r="F183" s="323">
        <f t="shared" si="10"/>
        <v>41698</v>
      </c>
      <c r="G183" s="159">
        <f t="shared" si="11"/>
        <v>2014</v>
      </c>
      <c r="H183" s="290">
        <v>99.1</v>
      </c>
      <c r="I183" s="249">
        <v>254.2</v>
      </c>
      <c r="J183" s="257" t="str">
        <f>IF($E183&lt;DATE(2018,7,1),"-",INDEX('Annual Inflation'!$AM$53:$BA$53, MATCH(YEAR(EOMONTH($E183,6)), 'Annual Inflation'!$AM$6:$BA$6, 0))/100)</f>
        <v>-</v>
      </c>
      <c r="K183" s="257" t="str">
        <f>IF($E183&lt;DATE(2018,7,1),"-",INDEX('Annual Inflation'!$AM$50:$BA$50, MATCH(YEAR(EOMONTH($E183,6)), 'Annual Inflation'!$AM$6:$BA$6, 0))/100)</f>
        <v>-</v>
      </c>
      <c r="L183" s="258">
        <f t="shared" si="12"/>
        <v>99.1</v>
      </c>
      <c r="M183" s="258">
        <f t="shared" si="13"/>
        <v>254.2</v>
      </c>
      <c r="N183" s="258">
        <f t="shared" si="14"/>
        <v>254.2</v>
      </c>
    </row>
    <row r="184" spans="5:14" ht="15">
      <c r="E184" s="248">
        <v>41699</v>
      </c>
      <c r="F184" s="323">
        <f t="shared" si="10"/>
        <v>41729</v>
      </c>
      <c r="G184" s="159">
        <f t="shared" si="11"/>
        <v>2014</v>
      </c>
      <c r="H184" s="290">
        <v>99.3</v>
      </c>
      <c r="I184" s="249">
        <v>254.8</v>
      </c>
      <c r="J184" s="257" t="str">
        <f>IF($E184&lt;DATE(2018,7,1),"-",INDEX('Annual Inflation'!$AM$53:$BA$53, MATCH(YEAR(EOMONTH($E184,6)), 'Annual Inflation'!$AM$6:$BA$6, 0))/100)</f>
        <v>-</v>
      </c>
      <c r="K184" s="257" t="str">
        <f>IF($E184&lt;DATE(2018,7,1),"-",INDEX('Annual Inflation'!$AM$50:$BA$50, MATCH(YEAR(EOMONTH($E184,6)), 'Annual Inflation'!$AM$6:$BA$6, 0))/100)</f>
        <v>-</v>
      </c>
      <c r="L184" s="258">
        <f t="shared" si="12"/>
        <v>99.3</v>
      </c>
      <c r="M184" s="258">
        <f t="shared" si="13"/>
        <v>254.8</v>
      </c>
      <c r="N184" s="258">
        <f t="shared" si="14"/>
        <v>254.8</v>
      </c>
    </row>
    <row r="185" spans="5:14" ht="15">
      <c r="E185" s="248">
        <v>41730</v>
      </c>
      <c r="F185" s="323">
        <f t="shared" si="10"/>
        <v>41759</v>
      </c>
      <c r="G185" s="159">
        <f t="shared" si="11"/>
        <v>2015</v>
      </c>
      <c r="H185" s="290">
        <v>99.6</v>
      </c>
      <c r="I185" s="249">
        <v>255.7</v>
      </c>
      <c r="J185" s="257" t="str">
        <f>IF($E185&lt;DATE(2018,7,1),"-",INDEX('Annual Inflation'!$AM$53:$BA$53, MATCH(YEAR(EOMONTH($E185,6)), 'Annual Inflation'!$AM$6:$BA$6, 0))/100)</f>
        <v>-</v>
      </c>
      <c r="K185" s="257" t="str">
        <f>IF($E185&lt;DATE(2018,7,1),"-",INDEX('Annual Inflation'!$AM$50:$BA$50, MATCH(YEAR(EOMONTH($E185,6)), 'Annual Inflation'!$AM$6:$BA$6, 0))/100)</f>
        <v>-</v>
      </c>
      <c r="L185" s="258">
        <f t="shared" si="12"/>
        <v>99.6</v>
      </c>
      <c r="M185" s="258">
        <f t="shared" si="13"/>
        <v>255.7</v>
      </c>
      <c r="N185" s="258">
        <f t="shared" si="14"/>
        <v>255.7</v>
      </c>
    </row>
    <row r="186" spans="5:14" ht="15">
      <c r="E186" s="248">
        <v>41760</v>
      </c>
      <c r="F186" s="323">
        <f t="shared" si="10"/>
        <v>41790</v>
      </c>
      <c r="G186" s="159">
        <f t="shared" si="11"/>
        <v>2015</v>
      </c>
      <c r="H186" s="290">
        <v>99.6</v>
      </c>
      <c r="I186" s="249">
        <v>255.9</v>
      </c>
      <c r="J186" s="257" t="str">
        <f>IF($E186&lt;DATE(2018,7,1),"-",INDEX('Annual Inflation'!$AM$53:$BA$53, MATCH(YEAR(EOMONTH($E186,6)), 'Annual Inflation'!$AM$6:$BA$6, 0))/100)</f>
        <v>-</v>
      </c>
      <c r="K186" s="257" t="str">
        <f>IF($E186&lt;DATE(2018,7,1),"-",INDEX('Annual Inflation'!$AM$50:$BA$50, MATCH(YEAR(EOMONTH($E186,6)), 'Annual Inflation'!$AM$6:$BA$6, 0))/100)</f>
        <v>-</v>
      </c>
      <c r="L186" s="258">
        <f t="shared" si="12"/>
        <v>99.6</v>
      </c>
      <c r="M186" s="258">
        <f t="shared" si="13"/>
        <v>255.9</v>
      </c>
      <c r="N186" s="258">
        <f t="shared" si="14"/>
        <v>255.9</v>
      </c>
    </row>
    <row r="187" spans="5:14" ht="15">
      <c r="E187" s="248">
        <v>41791</v>
      </c>
      <c r="F187" s="323">
        <f t="shared" si="10"/>
        <v>41820</v>
      </c>
      <c r="G187" s="159">
        <f t="shared" si="11"/>
        <v>2015</v>
      </c>
      <c r="H187" s="290">
        <v>99.8</v>
      </c>
      <c r="I187" s="249">
        <v>256.3</v>
      </c>
      <c r="J187" s="257" t="str">
        <f>IF($E187&lt;DATE(2018,7,1),"-",INDEX('Annual Inflation'!$AM$53:$BA$53, MATCH(YEAR(EOMONTH($E187,6)), 'Annual Inflation'!$AM$6:$BA$6, 0))/100)</f>
        <v>-</v>
      </c>
      <c r="K187" s="257" t="str">
        <f>IF($E187&lt;DATE(2018,7,1),"-",INDEX('Annual Inflation'!$AM$50:$BA$50, MATCH(YEAR(EOMONTH($E187,6)), 'Annual Inflation'!$AM$6:$BA$6, 0))/100)</f>
        <v>-</v>
      </c>
      <c r="L187" s="258">
        <f t="shared" si="12"/>
        <v>99.8</v>
      </c>
      <c r="M187" s="258">
        <f t="shared" si="13"/>
        <v>256.3</v>
      </c>
      <c r="N187" s="258">
        <f t="shared" si="14"/>
        <v>256.3</v>
      </c>
    </row>
    <row r="188" spans="5:14" ht="15">
      <c r="E188" s="248">
        <v>41821</v>
      </c>
      <c r="F188" s="323">
        <f t="shared" si="10"/>
        <v>41851</v>
      </c>
      <c r="G188" s="159">
        <f t="shared" si="11"/>
        <v>2015</v>
      </c>
      <c r="H188" s="290">
        <v>99.6</v>
      </c>
      <c r="I188" s="249">
        <v>256</v>
      </c>
      <c r="J188" s="257" t="str">
        <f>IF($E188&lt;DATE(2018,7,1),"-",INDEX('Annual Inflation'!$AM$53:$BA$53, MATCH(YEAR(EOMONTH($E188,6)), 'Annual Inflation'!$AM$6:$BA$6, 0))/100)</f>
        <v>-</v>
      </c>
      <c r="K188" s="257" t="str">
        <f>IF($E188&lt;DATE(2018,7,1),"-",INDEX('Annual Inflation'!$AM$50:$BA$50, MATCH(YEAR(EOMONTH($E188,6)), 'Annual Inflation'!$AM$6:$BA$6, 0))/100)</f>
        <v>-</v>
      </c>
      <c r="L188" s="258">
        <f t="shared" si="12"/>
        <v>99.6</v>
      </c>
      <c r="M188" s="258">
        <f t="shared" si="13"/>
        <v>256</v>
      </c>
      <c r="N188" s="258">
        <f t="shared" si="14"/>
        <v>256</v>
      </c>
    </row>
    <row r="189" spans="5:14" ht="15">
      <c r="E189" s="248">
        <v>41852</v>
      </c>
      <c r="F189" s="323">
        <f t="shared" si="10"/>
        <v>41882</v>
      </c>
      <c r="G189" s="159">
        <f t="shared" si="11"/>
        <v>2015</v>
      </c>
      <c r="H189" s="290">
        <v>99.9</v>
      </c>
      <c r="I189" s="249">
        <v>257</v>
      </c>
      <c r="J189" s="257" t="str">
        <f>IF($E189&lt;DATE(2018,7,1),"-",INDEX('Annual Inflation'!$AM$53:$BA$53, MATCH(YEAR(EOMONTH($E189,6)), 'Annual Inflation'!$AM$6:$BA$6, 0))/100)</f>
        <v>-</v>
      </c>
      <c r="K189" s="257" t="str">
        <f>IF($E189&lt;DATE(2018,7,1),"-",INDEX('Annual Inflation'!$AM$50:$BA$50, MATCH(YEAR(EOMONTH($E189,6)), 'Annual Inflation'!$AM$6:$BA$6, 0))/100)</f>
        <v>-</v>
      </c>
      <c r="L189" s="258">
        <f t="shared" si="12"/>
        <v>99.9</v>
      </c>
      <c r="M189" s="258">
        <f t="shared" si="13"/>
        <v>257</v>
      </c>
      <c r="N189" s="258">
        <f t="shared" si="14"/>
        <v>257</v>
      </c>
    </row>
    <row r="190" spans="5:14" ht="15">
      <c r="E190" s="248">
        <v>41883</v>
      </c>
      <c r="F190" s="323">
        <f t="shared" si="10"/>
        <v>41912</v>
      </c>
      <c r="G190" s="159">
        <f t="shared" si="11"/>
        <v>2015</v>
      </c>
      <c r="H190" s="290">
        <v>100</v>
      </c>
      <c r="I190" s="249">
        <v>257.60000000000002</v>
      </c>
      <c r="J190" s="257" t="str">
        <f>IF($E190&lt;DATE(2018,7,1),"-",INDEX('Annual Inflation'!$AM$53:$BA$53, MATCH(YEAR(EOMONTH($E190,6)), 'Annual Inflation'!$AM$6:$BA$6, 0))/100)</f>
        <v>-</v>
      </c>
      <c r="K190" s="257" t="str">
        <f>IF($E190&lt;DATE(2018,7,1),"-",INDEX('Annual Inflation'!$AM$50:$BA$50, MATCH(YEAR(EOMONTH($E190,6)), 'Annual Inflation'!$AM$6:$BA$6, 0))/100)</f>
        <v>-</v>
      </c>
      <c r="L190" s="258">
        <f t="shared" si="12"/>
        <v>100</v>
      </c>
      <c r="M190" s="258">
        <f t="shared" si="13"/>
        <v>257.60000000000002</v>
      </c>
      <c r="N190" s="258">
        <f t="shared" si="14"/>
        <v>257.60000000000002</v>
      </c>
    </row>
    <row r="191" spans="5:14" ht="15">
      <c r="E191" s="248">
        <v>41913</v>
      </c>
      <c r="F191" s="323">
        <f t="shared" si="10"/>
        <v>41943</v>
      </c>
      <c r="G191" s="159">
        <f t="shared" si="11"/>
        <v>2015</v>
      </c>
      <c r="H191" s="290">
        <v>100.1</v>
      </c>
      <c r="I191" s="249">
        <v>257.7</v>
      </c>
      <c r="J191" s="257" t="str">
        <f>IF($E191&lt;DATE(2018,7,1),"-",INDEX('Annual Inflation'!$AM$53:$BA$53, MATCH(YEAR(EOMONTH($E191,6)), 'Annual Inflation'!$AM$6:$BA$6, 0))/100)</f>
        <v>-</v>
      </c>
      <c r="K191" s="257" t="str">
        <f>IF($E191&lt;DATE(2018,7,1),"-",INDEX('Annual Inflation'!$AM$50:$BA$50, MATCH(YEAR(EOMONTH($E191,6)), 'Annual Inflation'!$AM$6:$BA$6, 0))/100)</f>
        <v>-</v>
      </c>
      <c r="L191" s="258">
        <f t="shared" si="12"/>
        <v>100.1</v>
      </c>
      <c r="M191" s="258">
        <f t="shared" si="13"/>
        <v>257.7</v>
      </c>
      <c r="N191" s="258">
        <f t="shared" si="14"/>
        <v>257.7</v>
      </c>
    </row>
    <row r="192" spans="5:14" ht="15">
      <c r="E192" s="248">
        <v>41944</v>
      </c>
      <c r="F192" s="323">
        <f t="shared" si="10"/>
        <v>41973</v>
      </c>
      <c r="G192" s="159">
        <f t="shared" si="11"/>
        <v>2015</v>
      </c>
      <c r="H192" s="290">
        <v>99.9</v>
      </c>
      <c r="I192" s="249">
        <v>257.10000000000002</v>
      </c>
      <c r="J192" s="257" t="str">
        <f>IF($E192&lt;DATE(2018,7,1),"-",INDEX('Annual Inflation'!$AM$53:$BA$53, MATCH(YEAR(EOMONTH($E192,6)), 'Annual Inflation'!$AM$6:$BA$6, 0))/100)</f>
        <v>-</v>
      </c>
      <c r="K192" s="257" t="str">
        <f>IF($E192&lt;DATE(2018,7,1),"-",INDEX('Annual Inflation'!$AM$50:$BA$50, MATCH(YEAR(EOMONTH($E192,6)), 'Annual Inflation'!$AM$6:$BA$6, 0))/100)</f>
        <v>-</v>
      </c>
      <c r="L192" s="258">
        <f t="shared" si="12"/>
        <v>99.9</v>
      </c>
      <c r="M192" s="258">
        <f t="shared" si="13"/>
        <v>257.10000000000002</v>
      </c>
      <c r="N192" s="258">
        <f t="shared" si="14"/>
        <v>257.10000000000002</v>
      </c>
    </row>
    <row r="193" spans="5:14" ht="15">
      <c r="E193" s="248">
        <v>41974</v>
      </c>
      <c r="F193" s="323">
        <f t="shared" si="10"/>
        <v>42004</v>
      </c>
      <c r="G193" s="159">
        <f t="shared" si="11"/>
        <v>2015</v>
      </c>
      <c r="H193" s="290">
        <v>99.9</v>
      </c>
      <c r="I193" s="249">
        <v>257.5</v>
      </c>
      <c r="J193" s="257" t="str">
        <f>IF($E193&lt;DATE(2018,7,1),"-",INDEX('Annual Inflation'!$AM$53:$BA$53, MATCH(YEAR(EOMONTH($E193,6)), 'Annual Inflation'!$AM$6:$BA$6, 0))/100)</f>
        <v>-</v>
      </c>
      <c r="K193" s="257" t="str">
        <f>IF($E193&lt;DATE(2018,7,1),"-",INDEX('Annual Inflation'!$AM$50:$BA$50, MATCH(YEAR(EOMONTH($E193,6)), 'Annual Inflation'!$AM$6:$BA$6, 0))/100)</f>
        <v>-</v>
      </c>
      <c r="L193" s="258">
        <f t="shared" si="12"/>
        <v>99.9</v>
      </c>
      <c r="M193" s="258">
        <f t="shared" si="13"/>
        <v>257.5</v>
      </c>
      <c r="N193" s="258">
        <f t="shared" si="14"/>
        <v>257.5</v>
      </c>
    </row>
    <row r="194" spans="5:14" ht="15">
      <c r="E194" s="248">
        <v>42005</v>
      </c>
      <c r="F194" s="323">
        <f t="shared" si="10"/>
        <v>42035</v>
      </c>
      <c r="G194" s="159">
        <f t="shared" si="11"/>
        <v>2015</v>
      </c>
      <c r="H194" s="290">
        <v>99.2</v>
      </c>
      <c r="I194" s="249">
        <v>255.4</v>
      </c>
      <c r="J194" s="257" t="str">
        <f>IF($E194&lt;DATE(2018,7,1),"-",INDEX('Annual Inflation'!$AM$53:$BA$53, MATCH(YEAR(EOMONTH($E194,6)), 'Annual Inflation'!$AM$6:$BA$6, 0))/100)</f>
        <v>-</v>
      </c>
      <c r="K194" s="257" t="str">
        <f>IF($E194&lt;DATE(2018,7,1),"-",INDEX('Annual Inflation'!$AM$50:$BA$50, MATCH(YEAR(EOMONTH($E194,6)), 'Annual Inflation'!$AM$6:$BA$6, 0))/100)</f>
        <v>-</v>
      </c>
      <c r="L194" s="258">
        <f t="shared" si="12"/>
        <v>99.2</v>
      </c>
      <c r="M194" s="258">
        <f t="shared" si="13"/>
        <v>255.4</v>
      </c>
      <c r="N194" s="258">
        <f t="shared" si="14"/>
        <v>255.4</v>
      </c>
    </row>
    <row r="195" spans="5:14" ht="15">
      <c r="E195" s="248">
        <v>42036</v>
      </c>
      <c r="F195" s="323">
        <f t="shared" si="10"/>
        <v>42063</v>
      </c>
      <c r="G195" s="159">
        <f t="shared" si="11"/>
        <v>2015</v>
      </c>
      <c r="H195" s="290">
        <v>99.5</v>
      </c>
      <c r="I195" s="249">
        <v>256.7</v>
      </c>
      <c r="J195" s="257" t="str">
        <f>IF($E195&lt;DATE(2018,7,1),"-",INDEX('Annual Inflation'!$AM$53:$BA$53, MATCH(YEAR(EOMONTH($E195,6)), 'Annual Inflation'!$AM$6:$BA$6, 0))/100)</f>
        <v>-</v>
      </c>
      <c r="K195" s="257" t="str">
        <f>IF($E195&lt;DATE(2018,7,1),"-",INDEX('Annual Inflation'!$AM$50:$BA$50, MATCH(YEAR(EOMONTH($E195,6)), 'Annual Inflation'!$AM$6:$BA$6, 0))/100)</f>
        <v>-</v>
      </c>
      <c r="L195" s="258">
        <f t="shared" si="12"/>
        <v>99.5</v>
      </c>
      <c r="M195" s="258">
        <f t="shared" si="13"/>
        <v>256.7</v>
      </c>
      <c r="N195" s="258">
        <f t="shared" si="14"/>
        <v>256.7</v>
      </c>
    </row>
    <row r="196" spans="5:14" ht="15">
      <c r="E196" s="248">
        <v>42064</v>
      </c>
      <c r="F196" s="323">
        <f t="shared" si="10"/>
        <v>42094</v>
      </c>
      <c r="G196" s="159">
        <f t="shared" si="11"/>
        <v>2015</v>
      </c>
      <c r="H196" s="290">
        <v>99.6</v>
      </c>
      <c r="I196" s="249">
        <v>257.10000000000002</v>
      </c>
      <c r="J196" s="257" t="str">
        <f>IF($E196&lt;DATE(2018,7,1),"-",INDEX('Annual Inflation'!$AM$53:$BA$53, MATCH(YEAR(EOMONTH($E196,6)), 'Annual Inflation'!$AM$6:$BA$6, 0))/100)</f>
        <v>-</v>
      </c>
      <c r="K196" s="257" t="str">
        <f>IF($E196&lt;DATE(2018,7,1),"-",INDEX('Annual Inflation'!$AM$50:$BA$50, MATCH(YEAR(EOMONTH($E196,6)), 'Annual Inflation'!$AM$6:$BA$6, 0))/100)</f>
        <v>-</v>
      </c>
      <c r="L196" s="258">
        <f t="shared" si="12"/>
        <v>99.6</v>
      </c>
      <c r="M196" s="258">
        <f t="shared" si="13"/>
        <v>257.10000000000002</v>
      </c>
      <c r="N196" s="258">
        <f t="shared" si="14"/>
        <v>257.10000000000002</v>
      </c>
    </row>
    <row r="197" spans="5:14" ht="15">
      <c r="E197" s="248">
        <v>42095</v>
      </c>
      <c r="F197" s="323">
        <f t="shared" si="10"/>
        <v>42124</v>
      </c>
      <c r="G197" s="159">
        <f t="shared" si="11"/>
        <v>2016</v>
      </c>
      <c r="H197" s="290">
        <v>99.9</v>
      </c>
      <c r="I197" s="249">
        <v>258</v>
      </c>
      <c r="J197" s="257" t="str">
        <f>IF($E197&lt;DATE(2018,7,1),"-",INDEX('Annual Inflation'!$AM$53:$BA$53, MATCH(YEAR(EOMONTH($E197,6)), 'Annual Inflation'!$AM$6:$BA$6, 0))/100)</f>
        <v>-</v>
      </c>
      <c r="K197" s="257" t="str">
        <f>IF($E197&lt;DATE(2018,7,1),"-",INDEX('Annual Inflation'!$AM$50:$BA$50, MATCH(YEAR(EOMONTH($E197,6)), 'Annual Inflation'!$AM$6:$BA$6, 0))/100)</f>
        <v>-</v>
      </c>
      <c r="L197" s="258">
        <f t="shared" si="12"/>
        <v>99.9</v>
      </c>
      <c r="M197" s="258">
        <f t="shared" si="13"/>
        <v>258</v>
      </c>
      <c r="N197" s="258">
        <f t="shared" si="14"/>
        <v>258</v>
      </c>
    </row>
    <row r="198" spans="5:14" ht="15">
      <c r="E198" s="248">
        <v>42125</v>
      </c>
      <c r="F198" s="323">
        <f t="shared" ref="F198:F261" si="15">EOMONTH(E198, 0)</f>
        <v>42155</v>
      </c>
      <c r="G198" s="159">
        <f t="shared" ref="G198:G261" si="16">IF(MONTH(E198)&gt;=4,YEAR(E198)+1,YEAR(E198))</f>
        <v>2016</v>
      </c>
      <c r="H198" s="290">
        <v>100.1</v>
      </c>
      <c r="I198" s="249">
        <v>258.5</v>
      </c>
      <c r="J198" s="257" t="str">
        <f>IF($E198&lt;DATE(2018,7,1),"-",INDEX('Annual Inflation'!$AM$53:$BA$53, MATCH(YEAR(EOMONTH($E198,6)), 'Annual Inflation'!$AM$6:$BA$6, 0))/100)</f>
        <v>-</v>
      </c>
      <c r="K198" s="257" t="str">
        <f>IF($E198&lt;DATE(2018,7,1),"-",INDEX('Annual Inflation'!$AM$50:$BA$50, MATCH(YEAR(EOMONTH($E198,6)), 'Annual Inflation'!$AM$6:$BA$6, 0))/100)</f>
        <v>-</v>
      </c>
      <c r="L198" s="258">
        <f t="shared" ref="L198:L261" si="17">IF(ISBLANK(H198),L197*((1+J198)^(1/12)),H198)</f>
        <v>100.1</v>
      </c>
      <c r="M198" s="258">
        <f t="shared" ref="M198:M261" si="18">IF(ISBLANK(I198),M197*((1+K198)^(1/12)),I198)</f>
        <v>258.5</v>
      </c>
      <c r="N198" s="258">
        <f t="shared" ref="N198:N261" si="19">IF($E198 &lt; DATE(2023,4,1),  M198,  IF($E198 = DATE(2023,4,1), N197 * ((0.5*L198/L197) + (0.5*M198/M197)), N197*(L198/L197)))</f>
        <v>258.5</v>
      </c>
    </row>
    <row r="199" spans="5:14" ht="15">
      <c r="E199" s="248">
        <v>42156</v>
      </c>
      <c r="F199" s="323">
        <f t="shared" si="15"/>
        <v>42185</v>
      </c>
      <c r="G199" s="159">
        <f t="shared" si="16"/>
        <v>2016</v>
      </c>
      <c r="H199" s="290">
        <v>100.1</v>
      </c>
      <c r="I199" s="249">
        <v>258.89999999999998</v>
      </c>
      <c r="J199" s="257" t="str">
        <f>IF($E199&lt;DATE(2018,7,1),"-",INDEX('Annual Inflation'!$AM$53:$BA$53, MATCH(YEAR(EOMONTH($E199,6)), 'Annual Inflation'!$AM$6:$BA$6, 0))/100)</f>
        <v>-</v>
      </c>
      <c r="K199" s="257" t="str">
        <f>IF($E199&lt;DATE(2018,7,1),"-",INDEX('Annual Inflation'!$AM$50:$BA$50, MATCH(YEAR(EOMONTH($E199,6)), 'Annual Inflation'!$AM$6:$BA$6, 0))/100)</f>
        <v>-</v>
      </c>
      <c r="L199" s="258">
        <f t="shared" si="17"/>
        <v>100.1</v>
      </c>
      <c r="M199" s="258">
        <f t="shared" si="18"/>
        <v>258.89999999999998</v>
      </c>
      <c r="N199" s="258">
        <f t="shared" si="19"/>
        <v>258.89999999999998</v>
      </c>
    </row>
    <row r="200" spans="5:14" ht="15">
      <c r="E200" s="248">
        <v>42186</v>
      </c>
      <c r="F200" s="323">
        <f t="shared" si="15"/>
        <v>42216</v>
      </c>
      <c r="G200" s="159">
        <f t="shared" si="16"/>
        <v>2016</v>
      </c>
      <c r="H200" s="290">
        <v>100</v>
      </c>
      <c r="I200" s="249">
        <v>258.60000000000002</v>
      </c>
      <c r="J200" s="257" t="str">
        <f>IF($E200&lt;DATE(2018,7,1),"-",INDEX('Annual Inflation'!$AM$53:$BA$53, MATCH(YEAR(EOMONTH($E200,6)), 'Annual Inflation'!$AM$6:$BA$6, 0))/100)</f>
        <v>-</v>
      </c>
      <c r="K200" s="257" t="str">
        <f>IF($E200&lt;DATE(2018,7,1),"-",INDEX('Annual Inflation'!$AM$50:$BA$50, MATCH(YEAR(EOMONTH($E200,6)), 'Annual Inflation'!$AM$6:$BA$6, 0))/100)</f>
        <v>-</v>
      </c>
      <c r="L200" s="258">
        <f t="shared" si="17"/>
        <v>100</v>
      </c>
      <c r="M200" s="258">
        <f t="shared" si="18"/>
        <v>258.60000000000002</v>
      </c>
      <c r="N200" s="258">
        <f t="shared" si="19"/>
        <v>258.60000000000002</v>
      </c>
    </row>
    <row r="201" spans="5:14" ht="15">
      <c r="E201" s="248">
        <v>42217</v>
      </c>
      <c r="F201" s="323">
        <f t="shared" si="15"/>
        <v>42247</v>
      </c>
      <c r="G201" s="159">
        <f t="shared" si="16"/>
        <v>2016</v>
      </c>
      <c r="H201" s="290">
        <v>100.3</v>
      </c>
      <c r="I201" s="249">
        <v>259.8</v>
      </c>
      <c r="J201" s="257" t="str">
        <f>IF($E201&lt;DATE(2018,7,1),"-",INDEX('Annual Inflation'!$AM$53:$BA$53, MATCH(YEAR(EOMONTH($E201,6)), 'Annual Inflation'!$AM$6:$BA$6, 0))/100)</f>
        <v>-</v>
      </c>
      <c r="K201" s="257" t="str">
        <f>IF($E201&lt;DATE(2018,7,1),"-",INDEX('Annual Inflation'!$AM$50:$BA$50, MATCH(YEAR(EOMONTH($E201,6)), 'Annual Inflation'!$AM$6:$BA$6, 0))/100)</f>
        <v>-</v>
      </c>
      <c r="L201" s="258">
        <f t="shared" si="17"/>
        <v>100.3</v>
      </c>
      <c r="M201" s="258">
        <f t="shared" si="18"/>
        <v>259.8</v>
      </c>
      <c r="N201" s="258">
        <f t="shared" si="19"/>
        <v>259.8</v>
      </c>
    </row>
    <row r="202" spans="5:14" ht="15">
      <c r="E202" s="248">
        <v>42248</v>
      </c>
      <c r="F202" s="323">
        <f t="shared" si="15"/>
        <v>42277</v>
      </c>
      <c r="G202" s="159">
        <f t="shared" si="16"/>
        <v>2016</v>
      </c>
      <c r="H202" s="290">
        <v>100.2</v>
      </c>
      <c r="I202" s="249">
        <v>259.60000000000002</v>
      </c>
      <c r="J202" s="257" t="str">
        <f>IF($E202&lt;DATE(2018,7,1),"-",INDEX('Annual Inflation'!$AM$53:$BA$53, MATCH(YEAR(EOMONTH($E202,6)), 'Annual Inflation'!$AM$6:$BA$6, 0))/100)</f>
        <v>-</v>
      </c>
      <c r="K202" s="257" t="str">
        <f>IF($E202&lt;DATE(2018,7,1),"-",INDEX('Annual Inflation'!$AM$50:$BA$50, MATCH(YEAR(EOMONTH($E202,6)), 'Annual Inflation'!$AM$6:$BA$6, 0))/100)</f>
        <v>-</v>
      </c>
      <c r="L202" s="258">
        <f t="shared" si="17"/>
        <v>100.2</v>
      </c>
      <c r="M202" s="258">
        <f t="shared" si="18"/>
        <v>259.60000000000002</v>
      </c>
      <c r="N202" s="258">
        <f t="shared" si="19"/>
        <v>259.60000000000002</v>
      </c>
    </row>
    <row r="203" spans="5:14" ht="15">
      <c r="E203" s="248">
        <v>42278</v>
      </c>
      <c r="F203" s="323">
        <f t="shared" si="15"/>
        <v>42308</v>
      </c>
      <c r="G203" s="159">
        <f t="shared" si="16"/>
        <v>2016</v>
      </c>
      <c r="H203" s="290">
        <v>100.3</v>
      </c>
      <c r="I203" s="249">
        <v>259.5</v>
      </c>
      <c r="J203" s="257" t="str">
        <f>IF($E203&lt;DATE(2018,7,1),"-",INDEX('Annual Inflation'!$AM$53:$BA$53, MATCH(YEAR(EOMONTH($E203,6)), 'Annual Inflation'!$AM$6:$BA$6, 0))/100)</f>
        <v>-</v>
      </c>
      <c r="K203" s="257" t="str">
        <f>IF($E203&lt;DATE(2018,7,1),"-",INDEX('Annual Inflation'!$AM$50:$BA$50, MATCH(YEAR(EOMONTH($E203,6)), 'Annual Inflation'!$AM$6:$BA$6, 0))/100)</f>
        <v>-</v>
      </c>
      <c r="L203" s="258">
        <f t="shared" si="17"/>
        <v>100.3</v>
      </c>
      <c r="M203" s="258">
        <f t="shared" si="18"/>
        <v>259.5</v>
      </c>
      <c r="N203" s="258">
        <f t="shared" si="19"/>
        <v>259.5</v>
      </c>
    </row>
    <row r="204" spans="5:14" ht="15">
      <c r="E204" s="248">
        <v>42309</v>
      </c>
      <c r="F204" s="323">
        <f t="shared" si="15"/>
        <v>42338</v>
      </c>
      <c r="G204" s="159">
        <f t="shared" si="16"/>
        <v>2016</v>
      </c>
      <c r="H204" s="290">
        <v>100.3</v>
      </c>
      <c r="I204" s="249">
        <v>259.8</v>
      </c>
      <c r="J204" s="257" t="str">
        <f>IF($E204&lt;DATE(2018,7,1),"-",INDEX('Annual Inflation'!$AM$53:$BA$53, MATCH(YEAR(EOMONTH($E204,6)), 'Annual Inflation'!$AM$6:$BA$6, 0))/100)</f>
        <v>-</v>
      </c>
      <c r="K204" s="257" t="str">
        <f>IF($E204&lt;DATE(2018,7,1),"-",INDEX('Annual Inflation'!$AM$50:$BA$50, MATCH(YEAR(EOMONTH($E204,6)), 'Annual Inflation'!$AM$6:$BA$6, 0))/100)</f>
        <v>-</v>
      </c>
      <c r="L204" s="258">
        <f t="shared" si="17"/>
        <v>100.3</v>
      </c>
      <c r="M204" s="258">
        <f t="shared" si="18"/>
        <v>259.8</v>
      </c>
      <c r="N204" s="258">
        <f t="shared" si="19"/>
        <v>259.8</v>
      </c>
    </row>
    <row r="205" spans="5:14" ht="15">
      <c r="E205" s="248">
        <v>42339</v>
      </c>
      <c r="F205" s="323">
        <f t="shared" si="15"/>
        <v>42369</v>
      </c>
      <c r="G205" s="159">
        <f t="shared" si="16"/>
        <v>2016</v>
      </c>
      <c r="H205" s="290">
        <v>100.4</v>
      </c>
      <c r="I205" s="249">
        <v>260.60000000000002</v>
      </c>
      <c r="J205" s="257" t="str">
        <f>IF($E205&lt;DATE(2018,7,1),"-",INDEX('Annual Inflation'!$AM$53:$BA$53, MATCH(YEAR(EOMONTH($E205,6)), 'Annual Inflation'!$AM$6:$BA$6, 0))/100)</f>
        <v>-</v>
      </c>
      <c r="K205" s="257" t="str">
        <f>IF($E205&lt;DATE(2018,7,1),"-",INDEX('Annual Inflation'!$AM$50:$BA$50, MATCH(YEAR(EOMONTH($E205,6)), 'Annual Inflation'!$AM$6:$BA$6, 0))/100)</f>
        <v>-</v>
      </c>
      <c r="L205" s="258">
        <f t="shared" si="17"/>
        <v>100.4</v>
      </c>
      <c r="M205" s="258">
        <f t="shared" si="18"/>
        <v>260.60000000000002</v>
      </c>
      <c r="N205" s="258">
        <f t="shared" si="19"/>
        <v>260.60000000000002</v>
      </c>
    </row>
    <row r="206" spans="5:14" ht="15">
      <c r="E206" s="248">
        <v>42370</v>
      </c>
      <c r="F206" s="323">
        <f t="shared" si="15"/>
        <v>42400</v>
      </c>
      <c r="G206" s="159">
        <f t="shared" si="16"/>
        <v>2016</v>
      </c>
      <c r="H206" s="290">
        <v>99.9</v>
      </c>
      <c r="I206" s="249">
        <v>258.8</v>
      </c>
      <c r="J206" s="257" t="str">
        <f>IF($E206&lt;DATE(2018,7,1),"-",INDEX('Annual Inflation'!$AM$53:$BA$53, MATCH(YEAR(EOMONTH($E206,6)), 'Annual Inflation'!$AM$6:$BA$6, 0))/100)</f>
        <v>-</v>
      </c>
      <c r="K206" s="257" t="str">
        <f>IF($E206&lt;DATE(2018,7,1),"-",INDEX('Annual Inflation'!$AM$50:$BA$50, MATCH(YEAR(EOMONTH($E206,6)), 'Annual Inflation'!$AM$6:$BA$6, 0))/100)</f>
        <v>-</v>
      </c>
      <c r="L206" s="258">
        <f t="shared" si="17"/>
        <v>99.9</v>
      </c>
      <c r="M206" s="258">
        <f t="shared" si="18"/>
        <v>258.8</v>
      </c>
      <c r="N206" s="258">
        <f t="shared" si="19"/>
        <v>258.8</v>
      </c>
    </row>
    <row r="207" spans="5:14" ht="15">
      <c r="E207" s="248">
        <v>42401</v>
      </c>
      <c r="F207" s="323">
        <f t="shared" si="15"/>
        <v>42429</v>
      </c>
      <c r="G207" s="159">
        <f t="shared" si="16"/>
        <v>2016</v>
      </c>
      <c r="H207" s="290">
        <v>100.1</v>
      </c>
      <c r="I207" s="249">
        <v>260</v>
      </c>
      <c r="J207" s="257" t="str">
        <f>IF($E207&lt;DATE(2018,7,1),"-",INDEX('Annual Inflation'!$AM$53:$BA$53, MATCH(YEAR(EOMONTH($E207,6)), 'Annual Inflation'!$AM$6:$BA$6, 0))/100)</f>
        <v>-</v>
      </c>
      <c r="K207" s="257" t="str">
        <f>IF($E207&lt;DATE(2018,7,1),"-",INDEX('Annual Inflation'!$AM$50:$BA$50, MATCH(YEAR(EOMONTH($E207,6)), 'Annual Inflation'!$AM$6:$BA$6, 0))/100)</f>
        <v>-</v>
      </c>
      <c r="L207" s="258">
        <f t="shared" si="17"/>
        <v>100.1</v>
      </c>
      <c r="M207" s="258">
        <f t="shared" si="18"/>
        <v>260</v>
      </c>
      <c r="N207" s="258">
        <f t="shared" si="19"/>
        <v>260</v>
      </c>
    </row>
    <row r="208" spans="5:14" ht="15">
      <c r="E208" s="248">
        <v>42430</v>
      </c>
      <c r="F208" s="323">
        <f t="shared" si="15"/>
        <v>42460</v>
      </c>
      <c r="G208" s="159">
        <f t="shared" si="16"/>
        <v>2016</v>
      </c>
      <c r="H208" s="290">
        <v>100.4</v>
      </c>
      <c r="I208" s="249">
        <v>261.10000000000002</v>
      </c>
      <c r="J208" s="257" t="str">
        <f>IF($E208&lt;DATE(2018,7,1),"-",INDEX('Annual Inflation'!$AM$53:$BA$53, MATCH(YEAR(EOMONTH($E208,6)), 'Annual Inflation'!$AM$6:$BA$6, 0))/100)</f>
        <v>-</v>
      </c>
      <c r="K208" s="257" t="str">
        <f>IF($E208&lt;DATE(2018,7,1),"-",INDEX('Annual Inflation'!$AM$50:$BA$50, MATCH(YEAR(EOMONTH($E208,6)), 'Annual Inflation'!$AM$6:$BA$6, 0))/100)</f>
        <v>-</v>
      </c>
      <c r="L208" s="258">
        <f t="shared" si="17"/>
        <v>100.4</v>
      </c>
      <c r="M208" s="258">
        <f t="shared" si="18"/>
        <v>261.10000000000002</v>
      </c>
      <c r="N208" s="258">
        <f t="shared" si="19"/>
        <v>261.10000000000002</v>
      </c>
    </row>
    <row r="209" spans="5:14" ht="15">
      <c r="E209" s="248">
        <v>42461</v>
      </c>
      <c r="F209" s="323">
        <f t="shared" si="15"/>
        <v>42490</v>
      </c>
      <c r="G209" s="159">
        <f t="shared" si="16"/>
        <v>2017</v>
      </c>
      <c r="H209" s="290">
        <v>100.6</v>
      </c>
      <c r="I209" s="249">
        <v>261.39999999999998</v>
      </c>
      <c r="J209" s="257" t="str">
        <f>IF($E209&lt;DATE(2018,7,1),"-",INDEX('Annual Inflation'!$AM$53:$BA$53, MATCH(YEAR(EOMONTH($E209,6)), 'Annual Inflation'!$AM$6:$BA$6, 0))/100)</f>
        <v>-</v>
      </c>
      <c r="K209" s="257" t="str">
        <f>IF($E209&lt;DATE(2018,7,1),"-",INDEX('Annual Inflation'!$AM$50:$BA$50, MATCH(YEAR(EOMONTH($E209,6)), 'Annual Inflation'!$AM$6:$BA$6, 0))/100)</f>
        <v>-</v>
      </c>
      <c r="L209" s="258">
        <f t="shared" si="17"/>
        <v>100.6</v>
      </c>
      <c r="M209" s="258">
        <f t="shared" si="18"/>
        <v>261.39999999999998</v>
      </c>
      <c r="N209" s="258">
        <f t="shared" si="19"/>
        <v>261.39999999999998</v>
      </c>
    </row>
    <row r="210" spans="5:14" ht="15">
      <c r="E210" s="248">
        <v>42491</v>
      </c>
      <c r="F210" s="323">
        <f t="shared" si="15"/>
        <v>42521</v>
      </c>
      <c r="G210" s="159">
        <f t="shared" si="16"/>
        <v>2017</v>
      </c>
      <c r="H210" s="290">
        <v>100.8</v>
      </c>
      <c r="I210" s="249">
        <v>262.10000000000002</v>
      </c>
      <c r="J210" s="257" t="str">
        <f>IF($E210&lt;DATE(2018,7,1),"-",INDEX('Annual Inflation'!$AM$53:$BA$53, MATCH(YEAR(EOMONTH($E210,6)), 'Annual Inflation'!$AM$6:$BA$6, 0))/100)</f>
        <v>-</v>
      </c>
      <c r="K210" s="257" t="str">
        <f>IF($E210&lt;DATE(2018,7,1),"-",INDEX('Annual Inflation'!$AM$50:$BA$50, MATCH(YEAR(EOMONTH($E210,6)), 'Annual Inflation'!$AM$6:$BA$6, 0))/100)</f>
        <v>-</v>
      </c>
      <c r="L210" s="258">
        <f t="shared" si="17"/>
        <v>100.8</v>
      </c>
      <c r="M210" s="258">
        <f t="shared" si="18"/>
        <v>262.10000000000002</v>
      </c>
      <c r="N210" s="258">
        <f t="shared" si="19"/>
        <v>262.10000000000002</v>
      </c>
    </row>
    <row r="211" spans="5:14" ht="15">
      <c r="E211" s="248">
        <v>42522</v>
      </c>
      <c r="F211" s="323">
        <f t="shared" si="15"/>
        <v>42551</v>
      </c>
      <c r="G211" s="159">
        <f t="shared" si="16"/>
        <v>2017</v>
      </c>
      <c r="H211" s="290">
        <v>101</v>
      </c>
      <c r="I211" s="249">
        <v>263.10000000000002</v>
      </c>
      <c r="J211" s="257" t="str">
        <f>IF($E211&lt;DATE(2018,7,1),"-",INDEX('Annual Inflation'!$AM$53:$BA$53, MATCH(YEAR(EOMONTH($E211,6)), 'Annual Inflation'!$AM$6:$BA$6, 0))/100)</f>
        <v>-</v>
      </c>
      <c r="K211" s="257" t="str">
        <f>IF($E211&lt;DATE(2018,7,1),"-",INDEX('Annual Inflation'!$AM$50:$BA$50, MATCH(YEAR(EOMONTH($E211,6)), 'Annual Inflation'!$AM$6:$BA$6, 0))/100)</f>
        <v>-</v>
      </c>
      <c r="L211" s="258">
        <f t="shared" si="17"/>
        <v>101</v>
      </c>
      <c r="M211" s="258">
        <f t="shared" si="18"/>
        <v>263.10000000000002</v>
      </c>
      <c r="N211" s="258">
        <f t="shared" si="19"/>
        <v>263.10000000000002</v>
      </c>
    </row>
    <row r="212" spans="5:14" ht="15">
      <c r="E212" s="248">
        <v>42552</v>
      </c>
      <c r="F212" s="323">
        <f t="shared" si="15"/>
        <v>42582</v>
      </c>
      <c r="G212" s="159">
        <f t="shared" si="16"/>
        <v>2017</v>
      </c>
      <c r="H212" s="290">
        <v>100.9</v>
      </c>
      <c r="I212" s="249">
        <v>263.39999999999998</v>
      </c>
      <c r="J212" s="257" t="str">
        <f>IF($E212&lt;DATE(2018,7,1),"-",INDEX('Annual Inflation'!$AM$53:$BA$53, MATCH(YEAR(EOMONTH($E212,6)), 'Annual Inflation'!$AM$6:$BA$6, 0))/100)</f>
        <v>-</v>
      </c>
      <c r="K212" s="257" t="str">
        <f>IF($E212&lt;DATE(2018,7,1),"-",INDEX('Annual Inflation'!$AM$50:$BA$50, MATCH(YEAR(EOMONTH($E212,6)), 'Annual Inflation'!$AM$6:$BA$6, 0))/100)</f>
        <v>-</v>
      </c>
      <c r="L212" s="258">
        <f t="shared" si="17"/>
        <v>100.9</v>
      </c>
      <c r="M212" s="258">
        <f t="shared" si="18"/>
        <v>263.39999999999998</v>
      </c>
      <c r="N212" s="258">
        <f t="shared" si="19"/>
        <v>263.39999999999998</v>
      </c>
    </row>
    <row r="213" spans="5:14" ht="15">
      <c r="E213" s="248">
        <v>42583</v>
      </c>
      <c r="F213" s="323">
        <f t="shared" si="15"/>
        <v>42613</v>
      </c>
      <c r="G213" s="159">
        <f t="shared" si="16"/>
        <v>2017</v>
      </c>
      <c r="H213" s="290">
        <v>101.2</v>
      </c>
      <c r="I213" s="249">
        <v>264.39999999999998</v>
      </c>
      <c r="J213" s="257" t="str">
        <f>IF($E213&lt;DATE(2018,7,1),"-",INDEX('Annual Inflation'!$AM$53:$BA$53, MATCH(YEAR(EOMONTH($E213,6)), 'Annual Inflation'!$AM$6:$BA$6, 0))/100)</f>
        <v>-</v>
      </c>
      <c r="K213" s="257" t="str">
        <f>IF($E213&lt;DATE(2018,7,1),"-",INDEX('Annual Inflation'!$AM$50:$BA$50, MATCH(YEAR(EOMONTH($E213,6)), 'Annual Inflation'!$AM$6:$BA$6, 0))/100)</f>
        <v>-</v>
      </c>
      <c r="L213" s="258">
        <f t="shared" si="17"/>
        <v>101.2</v>
      </c>
      <c r="M213" s="258">
        <f t="shared" si="18"/>
        <v>264.39999999999998</v>
      </c>
      <c r="N213" s="258">
        <f t="shared" si="19"/>
        <v>264.39999999999998</v>
      </c>
    </row>
    <row r="214" spans="5:14" ht="15">
      <c r="E214" s="248">
        <v>42614</v>
      </c>
      <c r="F214" s="323">
        <f t="shared" si="15"/>
        <v>42643</v>
      </c>
      <c r="G214" s="159">
        <f t="shared" si="16"/>
        <v>2017</v>
      </c>
      <c r="H214" s="290">
        <v>101.5</v>
      </c>
      <c r="I214" s="249">
        <v>264.89999999999998</v>
      </c>
      <c r="J214" s="257" t="str">
        <f>IF($E214&lt;DATE(2018,7,1),"-",INDEX('Annual Inflation'!$AM$53:$BA$53, MATCH(YEAR(EOMONTH($E214,6)), 'Annual Inflation'!$AM$6:$BA$6, 0))/100)</f>
        <v>-</v>
      </c>
      <c r="K214" s="257" t="str">
        <f>IF($E214&lt;DATE(2018,7,1),"-",INDEX('Annual Inflation'!$AM$50:$BA$50, MATCH(YEAR(EOMONTH($E214,6)), 'Annual Inflation'!$AM$6:$BA$6, 0))/100)</f>
        <v>-</v>
      </c>
      <c r="L214" s="258">
        <f t="shared" si="17"/>
        <v>101.5</v>
      </c>
      <c r="M214" s="258">
        <f t="shared" si="18"/>
        <v>264.89999999999998</v>
      </c>
      <c r="N214" s="258">
        <f t="shared" si="19"/>
        <v>264.89999999999998</v>
      </c>
    </row>
    <row r="215" spans="5:14" ht="15">
      <c r="E215" s="248">
        <v>42644</v>
      </c>
      <c r="F215" s="323">
        <f t="shared" si="15"/>
        <v>42674</v>
      </c>
      <c r="G215" s="159">
        <f t="shared" si="16"/>
        <v>2017</v>
      </c>
      <c r="H215" s="290">
        <v>101.6</v>
      </c>
      <c r="I215" s="249">
        <v>264.8</v>
      </c>
      <c r="J215" s="257" t="str">
        <f>IF($E215&lt;DATE(2018,7,1),"-",INDEX('Annual Inflation'!$AM$53:$BA$53, MATCH(YEAR(EOMONTH($E215,6)), 'Annual Inflation'!$AM$6:$BA$6, 0))/100)</f>
        <v>-</v>
      </c>
      <c r="K215" s="257" t="str">
        <f>IF($E215&lt;DATE(2018,7,1),"-",INDEX('Annual Inflation'!$AM$50:$BA$50, MATCH(YEAR(EOMONTH($E215,6)), 'Annual Inflation'!$AM$6:$BA$6, 0))/100)</f>
        <v>-</v>
      </c>
      <c r="L215" s="258">
        <f t="shared" si="17"/>
        <v>101.6</v>
      </c>
      <c r="M215" s="258">
        <f t="shared" si="18"/>
        <v>264.8</v>
      </c>
      <c r="N215" s="258">
        <f t="shared" si="19"/>
        <v>264.8</v>
      </c>
    </row>
    <row r="216" spans="5:14" ht="15">
      <c r="E216" s="248">
        <v>42675</v>
      </c>
      <c r="F216" s="323">
        <f t="shared" si="15"/>
        <v>42704</v>
      </c>
      <c r="G216" s="159">
        <f t="shared" si="16"/>
        <v>2017</v>
      </c>
      <c r="H216" s="290">
        <v>101.8</v>
      </c>
      <c r="I216" s="249">
        <v>265.5</v>
      </c>
      <c r="J216" s="257" t="str">
        <f>IF($E216&lt;DATE(2018,7,1),"-",INDEX('Annual Inflation'!$AM$53:$BA$53, MATCH(YEAR(EOMONTH($E216,6)), 'Annual Inflation'!$AM$6:$BA$6, 0))/100)</f>
        <v>-</v>
      </c>
      <c r="K216" s="257" t="str">
        <f>IF($E216&lt;DATE(2018,7,1),"-",INDEX('Annual Inflation'!$AM$50:$BA$50, MATCH(YEAR(EOMONTH($E216,6)), 'Annual Inflation'!$AM$6:$BA$6, 0))/100)</f>
        <v>-</v>
      </c>
      <c r="L216" s="258">
        <f t="shared" si="17"/>
        <v>101.8</v>
      </c>
      <c r="M216" s="258">
        <f t="shared" si="18"/>
        <v>265.5</v>
      </c>
      <c r="N216" s="258">
        <f t="shared" si="19"/>
        <v>265.5</v>
      </c>
    </row>
    <row r="217" spans="5:14" ht="15">
      <c r="E217" s="248">
        <v>42705</v>
      </c>
      <c r="F217" s="323">
        <f t="shared" si="15"/>
        <v>42735</v>
      </c>
      <c r="G217" s="159">
        <f t="shared" si="16"/>
        <v>2017</v>
      </c>
      <c r="H217" s="290">
        <v>102.2</v>
      </c>
      <c r="I217" s="249">
        <v>267.10000000000002</v>
      </c>
      <c r="J217" s="257" t="str">
        <f>IF($E217&lt;DATE(2018,7,1),"-",INDEX('Annual Inflation'!$AM$53:$BA$53, MATCH(YEAR(EOMONTH($E217,6)), 'Annual Inflation'!$AM$6:$BA$6, 0))/100)</f>
        <v>-</v>
      </c>
      <c r="K217" s="257" t="str">
        <f>IF($E217&lt;DATE(2018,7,1),"-",INDEX('Annual Inflation'!$AM$50:$BA$50, MATCH(YEAR(EOMONTH($E217,6)), 'Annual Inflation'!$AM$6:$BA$6, 0))/100)</f>
        <v>-</v>
      </c>
      <c r="L217" s="258">
        <f t="shared" si="17"/>
        <v>102.2</v>
      </c>
      <c r="M217" s="258">
        <f t="shared" si="18"/>
        <v>267.10000000000002</v>
      </c>
      <c r="N217" s="258">
        <f t="shared" si="19"/>
        <v>267.10000000000002</v>
      </c>
    </row>
    <row r="218" spans="5:14" ht="15">
      <c r="E218" s="248">
        <v>42736</v>
      </c>
      <c r="F218" s="323">
        <f t="shared" si="15"/>
        <v>42766</v>
      </c>
      <c r="G218" s="159">
        <f t="shared" si="16"/>
        <v>2017</v>
      </c>
      <c r="H218" s="290">
        <v>101.8</v>
      </c>
      <c r="I218" s="249">
        <v>265.5</v>
      </c>
      <c r="J218" s="257" t="str">
        <f>IF($E218&lt;DATE(2018,7,1),"-",INDEX('Annual Inflation'!$AM$53:$BA$53, MATCH(YEAR(EOMONTH($E218,6)), 'Annual Inflation'!$AM$6:$BA$6, 0))/100)</f>
        <v>-</v>
      </c>
      <c r="K218" s="257" t="str">
        <f>IF($E218&lt;DATE(2018,7,1),"-",INDEX('Annual Inflation'!$AM$50:$BA$50, MATCH(YEAR(EOMONTH($E218,6)), 'Annual Inflation'!$AM$6:$BA$6, 0))/100)</f>
        <v>-</v>
      </c>
      <c r="L218" s="258">
        <f t="shared" si="17"/>
        <v>101.8</v>
      </c>
      <c r="M218" s="258">
        <f t="shared" si="18"/>
        <v>265.5</v>
      </c>
      <c r="N218" s="258">
        <f t="shared" si="19"/>
        <v>265.5</v>
      </c>
    </row>
    <row r="219" spans="5:14" ht="15">
      <c r="E219" s="248">
        <v>42767</v>
      </c>
      <c r="F219" s="323">
        <f t="shared" si="15"/>
        <v>42794</v>
      </c>
      <c r="G219" s="159">
        <f t="shared" si="16"/>
        <v>2017</v>
      </c>
      <c r="H219" s="290">
        <v>102.4</v>
      </c>
      <c r="I219" s="249">
        <v>268.39999999999998</v>
      </c>
      <c r="J219" s="257" t="str">
        <f>IF($E219&lt;DATE(2018,7,1),"-",INDEX('Annual Inflation'!$AM$53:$BA$53, MATCH(YEAR(EOMONTH($E219,6)), 'Annual Inflation'!$AM$6:$BA$6, 0))/100)</f>
        <v>-</v>
      </c>
      <c r="K219" s="257" t="str">
        <f>IF($E219&lt;DATE(2018,7,1),"-",INDEX('Annual Inflation'!$AM$50:$BA$50, MATCH(YEAR(EOMONTH($E219,6)), 'Annual Inflation'!$AM$6:$BA$6, 0))/100)</f>
        <v>-</v>
      </c>
      <c r="L219" s="258">
        <f t="shared" si="17"/>
        <v>102.4</v>
      </c>
      <c r="M219" s="258">
        <f t="shared" si="18"/>
        <v>268.39999999999998</v>
      </c>
      <c r="N219" s="258">
        <f t="shared" si="19"/>
        <v>268.39999999999998</v>
      </c>
    </row>
    <row r="220" spans="5:14" ht="15">
      <c r="E220" s="248">
        <v>42795</v>
      </c>
      <c r="F220" s="323">
        <f t="shared" si="15"/>
        <v>42825</v>
      </c>
      <c r="G220" s="159">
        <f t="shared" si="16"/>
        <v>2017</v>
      </c>
      <c r="H220" s="290">
        <v>102.7</v>
      </c>
      <c r="I220" s="249">
        <v>269.3</v>
      </c>
      <c r="J220" s="257" t="str">
        <f>IF($E220&lt;DATE(2018,7,1),"-",INDEX('Annual Inflation'!$AM$53:$BA$53, MATCH(YEAR(EOMONTH($E220,6)), 'Annual Inflation'!$AM$6:$BA$6, 0))/100)</f>
        <v>-</v>
      </c>
      <c r="K220" s="257" t="str">
        <f>IF($E220&lt;DATE(2018,7,1),"-",INDEX('Annual Inflation'!$AM$50:$BA$50, MATCH(YEAR(EOMONTH($E220,6)), 'Annual Inflation'!$AM$6:$BA$6, 0))/100)</f>
        <v>-</v>
      </c>
      <c r="L220" s="258">
        <f t="shared" si="17"/>
        <v>102.7</v>
      </c>
      <c r="M220" s="258">
        <f t="shared" si="18"/>
        <v>269.3</v>
      </c>
      <c r="N220" s="258">
        <f t="shared" si="19"/>
        <v>269.3</v>
      </c>
    </row>
    <row r="221" spans="5:14" ht="15">
      <c r="E221" s="248">
        <v>42826</v>
      </c>
      <c r="F221" s="323">
        <f t="shared" si="15"/>
        <v>42855</v>
      </c>
      <c r="G221" s="159">
        <f t="shared" si="16"/>
        <v>2018</v>
      </c>
      <c r="H221" s="290">
        <v>103.2</v>
      </c>
      <c r="I221" s="249">
        <v>270.60000000000002</v>
      </c>
      <c r="J221" s="257" t="str">
        <f>IF($E221&lt;DATE(2018,7,1),"-",INDEX('Annual Inflation'!$AM$53:$BA$53, MATCH(YEAR(EOMONTH($E221,6)), 'Annual Inflation'!$AM$6:$BA$6, 0))/100)</f>
        <v>-</v>
      </c>
      <c r="K221" s="257" t="str">
        <f>IF($E221&lt;DATE(2018,7,1),"-",INDEX('Annual Inflation'!$AM$50:$BA$50, MATCH(YEAR(EOMONTH($E221,6)), 'Annual Inflation'!$AM$6:$BA$6, 0))/100)</f>
        <v>-</v>
      </c>
      <c r="L221" s="258">
        <f t="shared" si="17"/>
        <v>103.2</v>
      </c>
      <c r="M221" s="258">
        <f t="shared" si="18"/>
        <v>270.60000000000002</v>
      </c>
      <c r="N221" s="258">
        <f t="shared" si="19"/>
        <v>270.60000000000002</v>
      </c>
    </row>
    <row r="222" spans="5:14" ht="15">
      <c r="E222" s="248">
        <v>42856</v>
      </c>
      <c r="F222" s="323">
        <f t="shared" si="15"/>
        <v>42886</v>
      </c>
      <c r="G222" s="159">
        <f t="shared" si="16"/>
        <v>2018</v>
      </c>
      <c r="H222" s="290">
        <v>103.5</v>
      </c>
      <c r="I222" s="249">
        <v>271.7</v>
      </c>
      <c r="J222" s="257" t="str">
        <f>IF($E222&lt;DATE(2018,7,1),"-",INDEX('Annual Inflation'!$AM$53:$BA$53, MATCH(YEAR(EOMONTH($E222,6)), 'Annual Inflation'!$AM$6:$BA$6, 0))/100)</f>
        <v>-</v>
      </c>
      <c r="K222" s="257" t="str">
        <f>IF($E222&lt;DATE(2018,7,1),"-",INDEX('Annual Inflation'!$AM$50:$BA$50, MATCH(YEAR(EOMONTH($E222,6)), 'Annual Inflation'!$AM$6:$BA$6, 0))/100)</f>
        <v>-</v>
      </c>
      <c r="L222" s="258">
        <f t="shared" si="17"/>
        <v>103.5</v>
      </c>
      <c r="M222" s="258">
        <f t="shared" si="18"/>
        <v>271.7</v>
      </c>
      <c r="N222" s="258">
        <f t="shared" si="19"/>
        <v>271.7</v>
      </c>
    </row>
    <row r="223" spans="5:14" ht="15">
      <c r="E223" s="248">
        <v>42887</v>
      </c>
      <c r="F223" s="323">
        <f t="shared" si="15"/>
        <v>42916</v>
      </c>
      <c r="G223" s="159">
        <f t="shared" si="16"/>
        <v>2018</v>
      </c>
      <c r="H223" s="290">
        <v>103.5</v>
      </c>
      <c r="I223" s="249">
        <v>272.3</v>
      </c>
      <c r="J223" s="257" t="str">
        <f>IF($E223&lt;DATE(2018,7,1),"-",INDEX('Annual Inflation'!$AM$53:$BA$53, MATCH(YEAR(EOMONTH($E223,6)), 'Annual Inflation'!$AM$6:$BA$6, 0))/100)</f>
        <v>-</v>
      </c>
      <c r="K223" s="257" t="str">
        <f>IF($E223&lt;DATE(2018,7,1),"-",INDEX('Annual Inflation'!$AM$50:$BA$50, MATCH(YEAR(EOMONTH($E223,6)), 'Annual Inflation'!$AM$6:$BA$6, 0))/100)</f>
        <v>-</v>
      </c>
      <c r="L223" s="258">
        <f t="shared" si="17"/>
        <v>103.5</v>
      </c>
      <c r="M223" s="258">
        <f t="shared" si="18"/>
        <v>272.3</v>
      </c>
      <c r="N223" s="258">
        <f t="shared" si="19"/>
        <v>272.3</v>
      </c>
    </row>
    <row r="224" spans="5:14" ht="15">
      <c r="E224" s="248">
        <v>42917</v>
      </c>
      <c r="F224" s="323">
        <f t="shared" si="15"/>
        <v>42947</v>
      </c>
      <c r="G224" s="159">
        <f t="shared" si="16"/>
        <v>2018</v>
      </c>
      <c r="H224" s="290">
        <v>103.5</v>
      </c>
      <c r="I224" s="249">
        <v>272.89999999999998</v>
      </c>
      <c r="J224" s="257" t="str">
        <f>IF($E224&lt;DATE(2018,7,1),"-",INDEX('Annual Inflation'!$AM$53:$BA$53, MATCH(YEAR(EOMONTH($E224,6)), 'Annual Inflation'!$AM$6:$BA$6, 0))/100)</f>
        <v>-</v>
      </c>
      <c r="K224" s="257" t="str">
        <f>IF($E224&lt;DATE(2018,7,1),"-",INDEX('Annual Inflation'!$AM$50:$BA$50, MATCH(YEAR(EOMONTH($E224,6)), 'Annual Inflation'!$AM$6:$BA$6, 0))/100)</f>
        <v>-</v>
      </c>
      <c r="L224" s="258">
        <f t="shared" si="17"/>
        <v>103.5</v>
      </c>
      <c r="M224" s="258">
        <f t="shared" si="18"/>
        <v>272.89999999999998</v>
      </c>
      <c r="N224" s="258">
        <f t="shared" si="19"/>
        <v>272.89999999999998</v>
      </c>
    </row>
    <row r="225" spans="5:14" ht="15">
      <c r="E225" s="248">
        <v>42948</v>
      </c>
      <c r="F225" s="323">
        <f t="shared" si="15"/>
        <v>42978</v>
      </c>
      <c r="G225" s="159">
        <f t="shared" si="16"/>
        <v>2018</v>
      </c>
      <c r="H225" s="290">
        <v>104</v>
      </c>
      <c r="I225" s="249">
        <v>274.7</v>
      </c>
      <c r="J225" s="257" t="str">
        <f>IF($E225&lt;DATE(2018,7,1),"-",INDEX('Annual Inflation'!$AM$53:$BA$53, MATCH(YEAR(EOMONTH($E225,6)), 'Annual Inflation'!$AM$6:$BA$6, 0))/100)</f>
        <v>-</v>
      </c>
      <c r="K225" s="257" t="str">
        <f>IF($E225&lt;DATE(2018,7,1),"-",INDEX('Annual Inflation'!$AM$50:$BA$50, MATCH(YEAR(EOMONTH($E225,6)), 'Annual Inflation'!$AM$6:$BA$6, 0))/100)</f>
        <v>-</v>
      </c>
      <c r="L225" s="258">
        <f t="shared" si="17"/>
        <v>104</v>
      </c>
      <c r="M225" s="258">
        <f t="shared" si="18"/>
        <v>274.7</v>
      </c>
      <c r="N225" s="258">
        <f t="shared" si="19"/>
        <v>274.7</v>
      </c>
    </row>
    <row r="226" spans="5:14" ht="15">
      <c r="E226" s="248">
        <v>42979</v>
      </c>
      <c r="F226" s="323">
        <f t="shared" si="15"/>
        <v>43008</v>
      </c>
      <c r="G226" s="159">
        <f t="shared" si="16"/>
        <v>2018</v>
      </c>
      <c r="H226" s="290">
        <v>104.3</v>
      </c>
      <c r="I226" s="249">
        <v>275.10000000000002</v>
      </c>
      <c r="J226" s="257" t="str">
        <f>IF($E226&lt;DATE(2018,7,1),"-",INDEX('Annual Inflation'!$AM$53:$BA$53, MATCH(YEAR(EOMONTH($E226,6)), 'Annual Inflation'!$AM$6:$BA$6, 0))/100)</f>
        <v>-</v>
      </c>
      <c r="K226" s="257" t="str">
        <f>IF($E226&lt;DATE(2018,7,1),"-",INDEX('Annual Inflation'!$AM$50:$BA$50, MATCH(YEAR(EOMONTH($E226,6)), 'Annual Inflation'!$AM$6:$BA$6, 0))/100)</f>
        <v>-</v>
      </c>
      <c r="L226" s="258">
        <f t="shared" si="17"/>
        <v>104.3</v>
      </c>
      <c r="M226" s="258">
        <f t="shared" si="18"/>
        <v>275.10000000000002</v>
      </c>
      <c r="N226" s="258">
        <f t="shared" si="19"/>
        <v>275.10000000000002</v>
      </c>
    </row>
    <row r="227" spans="5:14" ht="15">
      <c r="E227" s="248">
        <v>43009</v>
      </c>
      <c r="F227" s="323">
        <f t="shared" si="15"/>
        <v>43039</v>
      </c>
      <c r="G227" s="159">
        <f t="shared" si="16"/>
        <v>2018</v>
      </c>
      <c r="H227" s="290">
        <v>104.4</v>
      </c>
      <c r="I227" s="249">
        <v>275.3</v>
      </c>
      <c r="J227" s="257" t="str">
        <f>IF($E227&lt;DATE(2018,7,1),"-",INDEX('Annual Inflation'!$AM$53:$BA$53, MATCH(YEAR(EOMONTH($E227,6)), 'Annual Inflation'!$AM$6:$BA$6, 0))/100)</f>
        <v>-</v>
      </c>
      <c r="K227" s="257" t="str">
        <f>IF($E227&lt;DATE(2018,7,1),"-",INDEX('Annual Inflation'!$AM$50:$BA$50, MATCH(YEAR(EOMONTH($E227,6)), 'Annual Inflation'!$AM$6:$BA$6, 0))/100)</f>
        <v>-</v>
      </c>
      <c r="L227" s="258">
        <f t="shared" si="17"/>
        <v>104.4</v>
      </c>
      <c r="M227" s="258">
        <f t="shared" si="18"/>
        <v>275.3</v>
      </c>
      <c r="N227" s="258">
        <f t="shared" si="19"/>
        <v>275.3</v>
      </c>
    </row>
    <row r="228" spans="5:14" ht="15">
      <c r="E228" s="248">
        <v>43040</v>
      </c>
      <c r="F228" s="323">
        <f t="shared" si="15"/>
        <v>43069</v>
      </c>
      <c r="G228" s="159">
        <f t="shared" si="16"/>
        <v>2018</v>
      </c>
      <c r="H228" s="290">
        <v>104.7</v>
      </c>
      <c r="I228" s="249">
        <v>275.8</v>
      </c>
      <c r="J228" s="257" t="str">
        <f>IF($E228&lt;DATE(2018,7,1),"-",INDEX('Annual Inflation'!$AM$53:$BA$53, MATCH(YEAR(EOMONTH($E228,6)), 'Annual Inflation'!$AM$6:$BA$6, 0))/100)</f>
        <v>-</v>
      </c>
      <c r="K228" s="257" t="str">
        <f>IF($E228&lt;DATE(2018,7,1),"-",INDEX('Annual Inflation'!$AM$50:$BA$50, MATCH(YEAR(EOMONTH($E228,6)), 'Annual Inflation'!$AM$6:$BA$6, 0))/100)</f>
        <v>-</v>
      </c>
      <c r="L228" s="258">
        <f t="shared" si="17"/>
        <v>104.7</v>
      </c>
      <c r="M228" s="258">
        <f t="shared" si="18"/>
        <v>275.8</v>
      </c>
      <c r="N228" s="258">
        <f t="shared" si="19"/>
        <v>275.8</v>
      </c>
    </row>
    <row r="229" spans="5:14" ht="15">
      <c r="E229" s="248">
        <v>43070</v>
      </c>
      <c r="F229" s="323">
        <f t="shared" si="15"/>
        <v>43100</v>
      </c>
      <c r="G229" s="159">
        <f t="shared" si="16"/>
        <v>2018</v>
      </c>
      <c r="H229" s="290">
        <v>105</v>
      </c>
      <c r="I229" s="249">
        <v>278.10000000000002</v>
      </c>
      <c r="J229" s="257" t="str">
        <f>IF($E229&lt;DATE(2018,7,1),"-",INDEX('Annual Inflation'!$AM$53:$BA$53, MATCH(YEAR(EOMONTH($E229,6)), 'Annual Inflation'!$AM$6:$BA$6, 0))/100)</f>
        <v>-</v>
      </c>
      <c r="K229" s="257" t="str">
        <f>IF($E229&lt;DATE(2018,7,1),"-",INDEX('Annual Inflation'!$AM$50:$BA$50, MATCH(YEAR(EOMONTH($E229,6)), 'Annual Inflation'!$AM$6:$BA$6, 0))/100)</f>
        <v>-</v>
      </c>
      <c r="L229" s="258">
        <f t="shared" si="17"/>
        <v>105</v>
      </c>
      <c r="M229" s="258">
        <f t="shared" si="18"/>
        <v>278.10000000000002</v>
      </c>
      <c r="N229" s="258">
        <f t="shared" si="19"/>
        <v>278.10000000000002</v>
      </c>
    </row>
    <row r="230" spans="5:14" ht="15">
      <c r="E230" s="248">
        <v>43101</v>
      </c>
      <c r="F230" s="323">
        <f t="shared" si="15"/>
        <v>43131</v>
      </c>
      <c r="G230" s="159">
        <f t="shared" si="16"/>
        <v>2018</v>
      </c>
      <c r="H230" s="290">
        <v>104.5</v>
      </c>
      <c r="I230" s="249">
        <v>276</v>
      </c>
      <c r="J230" s="257" t="str">
        <f>IF($E230&lt;DATE(2018,7,1),"-",INDEX('Annual Inflation'!$AM$53:$BA$53, MATCH(YEAR(EOMONTH($E230,6)), 'Annual Inflation'!$AM$6:$BA$6, 0))/100)</f>
        <v>-</v>
      </c>
      <c r="K230" s="257" t="str">
        <f>IF($E230&lt;DATE(2018,7,1),"-",INDEX('Annual Inflation'!$AM$50:$BA$50, MATCH(YEAR(EOMONTH($E230,6)), 'Annual Inflation'!$AM$6:$BA$6, 0))/100)</f>
        <v>-</v>
      </c>
      <c r="L230" s="258">
        <f t="shared" si="17"/>
        <v>104.5</v>
      </c>
      <c r="M230" s="258">
        <f t="shared" si="18"/>
        <v>276</v>
      </c>
      <c r="N230" s="258">
        <f t="shared" si="19"/>
        <v>276</v>
      </c>
    </row>
    <row r="231" spans="5:14" ht="15">
      <c r="E231" s="248">
        <v>43132</v>
      </c>
      <c r="F231" s="323">
        <f t="shared" si="15"/>
        <v>43159</v>
      </c>
      <c r="G231" s="159">
        <f t="shared" si="16"/>
        <v>2018</v>
      </c>
      <c r="H231" s="290">
        <v>104.9</v>
      </c>
      <c r="I231" s="249">
        <v>278.10000000000002</v>
      </c>
      <c r="J231" s="257" t="str">
        <f>IF($E231&lt;DATE(2018,7,1),"-",INDEX('Annual Inflation'!$AM$53:$BA$53, MATCH(YEAR(EOMONTH($E231,6)), 'Annual Inflation'!$AM$6:$BA$6, 0))/100)</f>
        <v>-</v>
      </c>
      <c r="K231" s="257" t="str">
        <f>IF($E231&lt;DATE(2018,7,1),"-",INDEX('Annual Inflation'!$AM$50:$BA$50, MATCH(YEAR(EOMONTH($E231,6)), 'Annual Inflation'!$AM$6:$BA$6, 0))/100)</f>
        <v>-</v>
      </c>
      <c r="L231" s="258">
        <f t="shared" si="17"/>
        <v>104.9</v>
      </c>
      <c r="M231" s="258">
        <f t="shared" si="18"/>
        <v>278.10000000000002</v>
      </c>
      <c r="N231" s="258">
        <f t="shared" si="19"/>
        <v>278.10000000000002</v>
      </c>
    </row>
    <row r="232" spans="5:14" ht="15">
      <c r="E232" s="248">
        <v>43160</v>
      </c>
      <c r="F232" s="323">
        <f t="shared" si="15"/>
        <v>43190</v>
      </c>
      <c r="G232" s="159">
        <f t="shared" si="16"/>
        <v>2018</v>
      </c>
      <c r="H232" s="290">
        <v>105.1</v>
      </c>
      <c r="I232" s="249">
        <v>278.3</v>
      </c>
      <c r="J232" s="257" t="str">
        <f>IF($E232&lt;DATE(2018,7,1),"-",INDEX('Annual Inflation'!$AM$53:$BA$53, MATCH(YEAR(EOMONTH($E232,6)), 'Annual Inflation'!$AM$6:$BA$6, 0))/100)</f>
        <v>-</v>
      </c>
      <c r="K232" s="257" t="str">
        <f>IF($E232&lt;DATE(2018,7,1),"-",INDEX('Annual Inflation'!$AM$50:$BA$50, MATCH(YEAR(EOMONTH($E232,6)), 'Annual Inflation'!$AM$6:$BA$6, 0))/100)</f>
        <v>-</v>
      </c>
      <c r="L232" s="258">
        <f t="shared" si="17"/>
        <v>105.1</v>
      </c>
      <c r="M232" s="258">
        <f t="shared" si="18"/>
        <v>278.3</v>
      </c>
      <c r="N232" s="258">
        <f t="shared" si="19"/>
        <v>278.3</v>
      </c>
    </row>
    <row r="233" spans="5:14" ht="15">
      <c r="E233" s="248">
        <v>43191</v>
      </c>
      <c r="F233" s="323">
        <f t="shared" si="15"/>
        <v>43220</v>
      </c>
      <c r="G233" s="159">
        <f t="shared" si="16"/>
        <v>2019</v>
      </c>
      <c r="H233" s="290">
        <v>105.5</v>
      </c>
      <c r="I233" s="249">
        <v>279.7</v>
      </c>
      <c r="J233" s="257" t="str">
        <f>IF($E233&lt;DATE(2018,7,1),"-",INDEX('Annual Inflation'!$AM$53:$BA$53, MATCH(YEAR(EOMONTH($E233,6)), 'Annual Inflation'!$AM$6:$BA$6, 0))/100)</f>
        <v>-</v>
      </c>
      <c r="K233" s="257" t="str">
        <f>IF($E233&lt;DATE(2018,7,1),"-",INDEX('Annual Inflation'!$AM$50:$BA$50, MATCH(YEAR(EOMONTH($E233,6)), 'Annual Inflation'!$AM$6:$BA$6, 0))/100)</f>
        <v>-</v>
      </c>
      <c r="L233" s="258">
        <f t="shared" si="17"/>
        <v>105.5</v>
      </c>
      <c r="M233" s="258">
        <f t="shared" si="18"/>
        <v>279.7</v>
      </c>
      <c r="N233" s="258">
        <f t="shared" si="19"/>
        <v>279.7</v>
      </c>
    </row>
    <row r="234" spans="5:14" ht="15">
      <c r="E234" s="248">
        <v>43221</v>
      </c>
      <c r="F234" s="323">
        <f t="shared" si="15"/>
        <v>43251</v>
      </c>
      <c r="G234" s="159">
        <f t="shared" si="16"/>
        <v>2019</v>
      </c>
      <c r="H234" s="290">
        <v>105.9</v>
      </c>
      <c r="I234" s="249">
        <v>280.7</v>
      </c>
      <c r="J234" s="257" t="str">
        <f>IF($E234&lt;DATE(2018,7,1),"-",INDEX('Annual Inflation'!$AM$53:$BA$53, MATCH(YEAR(EOMONTH($E234,6)), 'Annual Inflation'!$AM$6:$BA$6, 0))/100)</f>
        <v>-</v>
      </c>
      <c r="K234" s="257" t="str">
        <f>IF($E234&lt;DATE(2018,7,1),"-",INDEX('Annual Inflation'!$AM$50:$BA$50, MATCH(YEAR(EOMONTH($E234,6)), 'Annual Inflation'!$AM$6:$BA$6, 0))/100)</f>
        <v>-</v>
      </c>
      <c r="L234" s="258">
        <f t="shared" si="17"/>
        <v>105.9</v>
      </c>
      <c r="M234" s="258">
        <f t="shared" si="18"/>
        <v>280.7</v>
      </c>
      <c r="N234" s="258">
        <f t="shared" si="19"/>
        <v>280.7</v>
      </c>
    </row>
    <row r="235" spans="5:14" ht="15">
      <c r="E235" s="248">
        <v>43252</v>
      </c>
      <c r="F235" s="323">
        <f t="shared" si="15"/>
        <v>43281</v>
      </c>
      <c r="G235" s="159">
        <f t="shared" si="16"/>
        <v>2019</v>
      </c>
      <c r="H235" s="290">
        <v>105.9</v>
      </c>
      <c r="I235" s="249">
        <v>281.5</v>
      </c>
      <c r="J235" s="257" t="str">
        <f>IF($E235&lt;DATE(2018,7,1),"-",INDEX('Annual Inflation'!$AM$53:$BA$53, MATCH(YEAR(EOMONTH($E235,6)), 'Annual Inflation'!$AM$6:$BA$6, 0))/100)</f>
        <v>-</v>
      </c>
      <c r="K235" s="257" t="str">
        <f>IF($E235&lt;DATE(2018,7,1),"-",INDEX('Annual Inflation'!$AM$50:$BA$50, MATCH(YEAR(EOMONTH($E235,6)), 'Annual Inflation'!$AM$6:$BA$6, 0))/100)</f>
        <v>-</v>
      </c>
      <c r="L235" s="258">
        <f t="shared" si="17"/>
        <v>105.9</v>
      </c>
      <c r="M235" s="258">
        <f t="shared" si="18"/>
        <v>281.5</v>
      </c>
      <c r="N235" s="258">
        <f t="shared" si="19"/>
        <v>281.5</v>
      </c>
    </row>
    <row r="236" spans="5:14" ht="15">
      <c r="E236" s="248">
        <v>43282</v>
      </c>
      <c r="F236" s="323">
        <f t="shared" si="15"/>
        <v>43312</v>
      </c>
      <c r="G236" s="159">
        <f t="shared" si="16"/>
        <v>2019</v>
      </c>
      <c r="H236" s="290">
        <v>105.9</v>
      </c>
      <c r="I236" s="249">
        <v>281.7</v>
      </c>
      <c r="J236" s="257">
        <f>IF($E236&lt;DATE(2018,7,1),"-",INDEX('Annual Inflation'!$AM$53:$BA$53, MATCH(YEAR(EOMONTH($E236,6)), 'Annual Inflation'!$AM$6:$BA$6, 0))/100)</f>
        <v>1.7910205867057716E-2</v>
      </c>
      <c r="K236" s="257">
        <f>IF($E236&lt;DATE(2018,7,1),"-",INDEX('Annual Inflation'!$AM$50:$BA$50, MATCH(YEAR(EOMONTH($E236,6)), 'Annual Inflation'!$AM$6:$BA$6, 0))/100)</f>
        <v>2.5628884588821732E-2</v>
      </c>
      <c r="L236" s="258">
        <f t="shared" si="17"/>
        <v>105.9</v>
      </c>
      <c r="M236" s="258">
        <f t="shared" si="18"/>
        <v>281.7</v>
      </c>
      <c r="N236" s="258">
        <f t="shared" si="19"/>
        <v>281.7</v>
      </c>
    </row>
    <row r="237" spans="5:14" ht="15">
      <c r="E237" s="248">
        <v>43313</v>
      </c>
      <c r="F237" s="323">
        <f t="shared" si="15"/>
        <v>43343</v>
      </c>
      <c r="G237" s="159">
        <f t="shared" si="16"/>
        <v>2019</v>
      </c>
      <c r="H237" s="290">
        <v>106.5</v>
      </c>
      <c r="I237" s="249">
        <v>284.2</v>
      </c>
      <c r="J237" s="257">
        <f>IF($E237&lt;DATE(2018,7,1),"-",INDEX('Annual Inflation'!$AM$53:$BA$53, MATCH(YEAR(EOMONTH($E237,6)), 'Annual Inflation'!$AM$6:$BA$6, 0))/100)</f>
        <v>1.7910205867057716E-2</v>
      </c>
      <c r="K237" s="257">
        <f>IF($E237&lt;DATE(2018,7,1),"-",INDEX('Annual Inflation'!$AM$50:$BA$50, MATCH(YEAR(EOMONTH($E237,6)), 'Annual Inflation'!$AM$6:$BA$6, 0))/100)</f>
        <v>2.5628884588821732E-2</v>
      </c>
      <c r="L237" s="258">
        <f t="shared" si="17"/>
        <v>106.5</v>
      </c>
      <c r="M237" s="258">
        <f t="shared" si="18"/>
        <v>284.2</v>
      </c>
      <c r="N237" s="258">
        <f t="shared" si="19"/>
        <v>284.2</v>
      </c>
    </row>
    <row r="238" spans="5:14" ht="15">
      <c r="E238" s="248">
        <v>43344</v>
      </c>
      <c r="F238" s="323">
        <f t="shared" si="15"/>
        <v>43373</v>
      </c>
      <c r="G238" s="159">
        <f t="shared" si="16"/>
        <v>2019</v>
      </c>
      <c r="H238" s="290">
        <v>106.6</v>
      </c>
      <c r="I238" s="249">
        <v>284.10000000000002</v>
      </c>
      <c r="J238" s="257">
        <f>IF($E238&lt;DATE(2018,7,1),"-",INDEX('Annual Inflation'!$AM$53:$BA$53, MATCH(YEAR(EOMONTH($E238,6)), 'Annual Inflation'!$AM$6:$BA$6, 0))/100)</f>
        <v>1.7910205867057716E-2</v>
      </c>
      <c r="K238" s="257">
        <f>IF($E238&lt;DATE(2018,7,1),"-",INDEX('Annual Inflation'!$AM$50:$BA$50, MATCH(YEAR(EOMONTH($E238,6)), 'Annual Inflation'!$AM$6:$BA$6, 0))/100)</f>
        <v>2.5628884588821732E-2</v>
      </c>
      <c r="L238" s="258">
        <f t="shared" si="17"/>
        <v>106.6</v>
      </c>
      <c r="M238" s="258">
        <f t="shared" si="18"/>
        <v>284.10000000000002</v>
      </c>
      <c r="N238" s="258">
        <f t="shared" si="19"/>
        <v>284.10000000000002</v>
      </c>
    </row>
    <row r="239" spans="5:14" ht="15">
      <c r="E239" s="248">
        <v>43374</v>
      </c>
      <c r="F239" s="323">
        <f t="shared" si="15"/>
        <v>43404</v>
      </c>
      <c r="G239" s="159">
        <f t="shared" si="16"/>
        <v>2019</v>
      </c>
      <c r="H239" s="290">
        <v>106.7</v>
      </c>
      <c r="I239" s="249">
        <v>284.5</v>
      </c>
      <c r="J239" s="257">
        <f>IF($E239&lt;DATE(2018,7,1),"-",INDEX('Annual Inflation'!$AM$53:$BA$53, MATCH(YEAR(EOMONTH($E239,6)), 'Annual Inflation'!$AM$6:$BA$6, 0))/100)</f>
        <v>1.7910205867057716E-2</v>
      </c>
      <c r="K239" s="257">
        <f>IF($E239&lt;DATE(2018,7,1),"-",INDEX('Annual Inflation'!$AM$50:$BA$50, MATCH(YEAR(EOMONTH($E239,6)), 'Annual Inflation'!$AM$6:$BA$6, 0))/100)</f>
        <v>2.5628884588821732E-2</v>
      </c>
      <c r="L239" s="258">
        <f t="shared" si="17"/>
        <v>106.7</v>
      </c>
      <c r="M239" s="258">
        <f t="shared" si="18"/>
        <v>284.5</v>
      </c>
      <c r="N239" s="258">
        <f t="shared" si="19"/>
        <v>284.5</v>
      </c>
    </row>
    <row r="240" spans="5:14" ht="15">
      <c r="E240" s="248">
        <v>43405</v>
      </c>
      <c r="F240" s="323">
        <f t="shared" si="15"/>
        <v>43434</v>
      </c>
      <c r="G240" s="159">
        <f t="shared" si="16"/>
        <v>2019</v>
      </c>
      <c r="H240" s="290">
        <v>106.9</v>
      </c>
      <c r="I240" s="249">
        <v>284.60000000000002</v>
      </c>
      <c r="J240" s="257">
        <f>IF($E240&lt;DATE(2018,7,1),"-",INDEX('Annual Inflation'!$AM$53:$BA$53, MATCH(YEAR(EOMONTH($E240,6)), 'Annual Inflation'!$AM$6:$BA$6, 0))/100)</f>
        <v>1.7910205867057716E-2</v>
      </c>
      <c r="K240" s="257">
        <f>IF($E240&lt;DATE(2018,7,1),"-",INDEX('Annual Inflation'!$AM$50:$BA$50, MATCH(YEAR(EOMONTH($E240,6)), 'Annual Inflation'!$AM$6:$BA$6, 0))/100)</f>
        <v>2.5628884588821732E-2</v>
      </c>
      <c r="L240" s="258">
        <f t="shared" si="17"/>
        <v>106.9</v>
      </c>
      <c r="M240" s="258">
        <f t="shared" si="18"/>
        <v>284.60000000000002</v>
      </c>
      <c r="N240" s="258">
        <f t="shared" si="19"/>
        <v>284.60000000000002</v>
      </c>
    </row>
    <row r="241" spans="5:14" ht="15">
      <c r="E241" s="248">
        <v>43435</v>
      </c>
      <c r="F241" s="323">
        <f t="shared" si="15"/>
        <v>43465</v>
      </c>
      <c r="G241" s="159">
        <f t="shared" si="16"/>
        <v>2019</v>
      </c>
      <c r="H241" s="290">
        <v>107.1</v>
      </c>
      <c r="I241" s="249">
        <v>285.60000000000002</v>
      </c>
      <c r="J241" s="257">
        <f>IF($E241&lt;DATE(2018,7,1),"-",INDEX('Annual Inflation'!$AM$53:$BA$53, MATCH(YEAR(EOMONTH($E241,6)), 'Annual Inflation'!$AM$6:$BA$6, 0))/100)</f>
        <v>1.7910205867057716E-2</v>
      </c>
      <c r="K241" s="257">
        <f>IF($E241&lt;DATE(2018,7,1),"-",INDEX('Annual Inflation'!$AM$50:$BA$50, MATCH(YEAR(EOMONTH($E241,6)), 'Annual Inflation'!$AM$6:$BA$6, 0))/100)</f>
        <v>2.5628884588821732E-2</v>
      </c>
      <c r="L241" s="258">
        <f t="shared" si="17"/>
        <v>107.1</v>
      </c>
      <c r="M241" s="258">
        <f t="shared" si="18"/>
        <v>285.60000000000002</v>
      </c>
      <c r="N241" s="258">
        <f t="shared" si="19"/>
        <v>285.60000000000002</v>
      </c>
    </row>
    <row r="242" spans="5:14" ht="15">
      <c r="E242" s="248">
        <v>43466</v>
      </c>
      <c r="F242" s="323">
        <f t="shared" si="15"/>
        <v>43496</v>
      </c>
      <c r="G242" s="159">
        <f t="shared" si="16"/>
        <v>2019</v>
      </c>
      <c r="H242" s="290">
        <v>106.4</v>
      </c>
      <c r="I242" s="249">
        <v>283</v>
      </c>
      <c r="J242" s="257">
        <f>IF($E242&lt;DATE(2018,7,1),"-",INDEX('Annual Inflation'!$AM$53:$BA$53, MATCH(YEAR(EOMONTH($E242,6)), 'Annual Inflation'!$AM$6:$BA$6, 0))/100)</f>
        <v>1.7910205867057716E-2</v>
      </c>
      <c r="K242" s="257">
        <f>IF($E242&lt;DATE(2018,7,1),"-",INDEX('Annual Inflation'!$AM$50:$BA$50, MATCH(YEAR(EOMONTH($E242,6)), 'Annual Inflation'!$AM$6:$BA$6, 0))/100)</f>
        <v>2.5628884588821732E-2</v>
      </c>
      <c r="L242" s="258">
        <f t="shared" si="17"/>
        <v>106.4</v>
      </c>
      <c r="M242" s="258">
        <f t="shared" si="18"/>
        <v>283</v>
      </c>
      <c r="N242" s="258">
        <f t="shared" si="19"/>
        <v>283</v>
      </c>
    </row>
    <row r="243" spans="5:14" ht="15">
      <c r="E243" s="248">
        <v>43497</v>
      </c>
      <c r="F243" s="323">
        <f t="shared" si="15"/>
        <v>43524</v>
      </c>
      <c r="G243" s="159">
        <f t="shared" si="16"/>
        <v>2019</v>
      </c>
      <c r="H243" s="290">
        <v>106.8</v>
      </c>
      <c r="I243" s="249">
        <v>285</v>
      </c>
      <c r="J243" s="257">
        <f>IF($E243&lt;DATE(2018,7,1),"-",INDEX('Annual Inflation'!$AM$53:$BA$53, MATCH(YEAR(EOMONTH($E243,6)), 'Annual Inflation'!$AM$6:$BA$6, 0))/100)</f>
        <v>1.7910205867057716E-2</v>
      </c>
      <c r="K243" s="257">
        <f>IF($E243&lt;DATE(2018,7,1),"-",INDEX('Annual Inflation'!$AM$50:$BA$50, MATCH(YEAR(EOMONTH($E243,6)), 'Annual Inflation'!$AM$6:$BA$6, 0))/100)</f>
        <v>2.5628884588821732E-2</v>
      </c>
      <c r="L243" s="258">
        <f t="shared" si="17"/>
        <v>106.8</v>
      </c>
      <c r="M243" s="258">
        <f t="shared" si="18"/>
        <v>285</v>
      </c>
      <c r="N243" s="258">
        <f t="shared" si="19"/>
        <v>285</v>
      </c>
    </row>
    <row r="244" spans="5:14" ht="15">
      <c r="E244" s="248">
        <v>43525</v>
      </c>
      <c r="F244" s="323">
        <f t="shared" si="15"/>
        <v>43555</v>
      </c>
      <c r="G244" s="159">
        <f t="shared" si="16"/>
        <v>2019</v>
      </c>
      <c r="H244" s="290">
        <v>107</v>
      </c>
      <c r="I244" s="249">
        <v>285.10000000000002</v>
      </c>
      <c r="J244" s="257">
        <f>IF($E244&lt;DATE(2018,7,1),"-",INDEX('Annual Inflation'!$AM$53:$BA$53, MATCH(YEAR(EOMONTH($E244,6)), 'Annual Inflation'!$AM$6:$BA$6, 0))/100)</f>
        <v>1.7910205867057716E-2</v>
      </c>
      <c r="K244" s="257">
        <f>IF($E244&lt;DATE(2018,7,1),"-",INDEX('Annual Inflation'!$AM$50:$BA$50, MATCH(YEAR(EOMONTH($E244,6)), 'Annual Inflation'!$AM$6:$BA$6, 0))/100)</f>
        <v>2.5628884588821732E-2</v>
      </c>
      <c r="L244" s="258">
        <f t="shared" si="17"/>
        <v>107</v>
      </c>
      <c r="M244" s="258">
        <f t="shared" si="18"/>
        <v>285.10000000000002</v>
      </c>
      <c r="N244" s="258">
        <f t="shared" si="19"/>
        <v>285.10000000000002</v>
      </c>
    </row>
    <row r="245" spans="5:14" ht="15">
      <c r="E245" s="248">
        <v>43556</v>
      </c>
      <c r="F245" s="323">
        <f t="shared" si="15"/>
        <v>43585</v>
      </c>
      <c r="G245" s="159">
        <f t="shared" si="16"/>
        <v>2020</v>
      </c>
      <c r="H245" s="290">
        <v>107.6</v>
      </c>
      <c r="I245" s="249">
        <v>288.2</v>
      </c>
      <c r="J245" s="257">
        <f>IF($E245&lt;DATE(2018,7,1),"-",INDEX('Annual Inflation'!$AM$53:$BA$53, MATCH(YEAR(EOMONTH($E245,6)), 'Annual Inflation'!$AM$6:$BA$6, 0))/100)</f>
        <v>1.7910205867057716E-2</v>
      </c>
      <c r="K245" s="257">
        <f>IF($E245&lt;DATE(2018,7,1),"-",INDEX('Annual Inflation'!$AM$50:$BA$50, MATCH(YEAR(EOMONTH($E245,6)), 'Annual Inflation'!$AM$6:$BA$6, 0))/100)</f>
        <v>2.5628884588821732E-2</v>
      </c>
      <c r="L245" s="258">
        <f t="shared" si="17"/>
        <v>107.6</v>
      </c>
      <c r="M245" s="258">
        <f t="shared" si="18"/>
        <v>288.2</v>
      </c>
      <c r="N245" s="258">
        <f t="shared" si="19"/>
        <v>288.2</v>
      </c>
    </row>
    <row r="246" spans="5:14" ht="15">
      <c r="E246" s="248">
        <v>43586</v>
      </c>
      <c r="F246" s="323">
        <f t="shared" si="15"/>
        <v>43616</v>
      </c>
      <c r="G246" s="159">
        <f t="shared" si="16"/>
        <v>2020</v>
      </c>
      <c r="H246" s="290">
        <v>107.9</v>
      </c>
      <c r="I246" s="249">
        <v>289.2</v>
      </c>
      <c r="J246" s="257">
        <f>IF($E246&lt;DATE(2018,7,1),"-",INDEX('Annual Inflation'!$AM$53:$BA$53, MATCH(YEAR(EOMONTH($E246,6)), 'Annual Inflation'!$AM$6:$BA$6, 0))/100)</f>
        <v>1.7910205867057716E-2</v>
      </c>
      <c r="K246" s="257">
        <f>IF($E246&lt;DATE(2018,7,1),"-",INDEX('Annual Inflation'!$AM$50:$BA$50, MATCH(YEAR(EOMONTH($E246,6)), 'Annual Inflation'!$AM$6:$BA$6, 0))/100)</f>
        <v>2.5628884588821732E-2</v>
      </c>
      <c r="L246" s="258">
        <f t="shared" si="17"/>
        <v>107.9</v>
      </c>
      <c r="M246" s="258">
        <f t="shared" si="18"/>
        <v>289.2</v>
      </c>
      <c r="N246" s="258">
        <f t="shared" si="19"/>
        <v>289.2</v>
      </c>
    </row>
    <row r="247" spans="5:14" ht="15">
      <c r="E247" s="248">
        <v>43617</v>
      </c>
      <c r="F247" s="323">
        <f t="shared" si="15"/>
        <v>43646</v>
      </c>
      <c r="G247" s="159">
        <f t="shared" si="16"/>
        <v>2020</v>
      </c>
      <c r="H247" s="290">
        <v>107.9</v>
      </c>
      <c r="I247" s="249">
        <v>289.60000000000002</v>
      </c>
      <c r="J247" s="257">
        <f>IF($E247&lt;DATE(2018,7,1),"-",INDEX('Annual Inflation'!$AM$53:$BA$53, MATCH(YEAR(EOMONTH($E247,6)), 'Annual Inflation'!$AM$6:$BA$6, 0))/100)</f>
        <v>1.7910205867057716E-2</v>
      </c>
      <c r="K247" s="257">
        <f>IF($E247&lt;DATE(2018,7,1),"-",INDEX('Annual Inflation'!$AM$50:$BA$50, MATCH(YEAR(EOMONTH($E247,6)), 'Annual Inflation'!$AM$6:$BA$6, 0))/100)</f>
        <v>2.5628884588821732E-2</v>
      </c>
      <c r="L247" s="258">
        <f t="shared" si="17"/>
        <v>107.9</v>
      </c>
      <c r="M247" s="258">
        <f t="shared" si="18"/>
        <v>289.60000000000002</v>
      </c>
      <c r="N247" s="258">
        <f t="shared" si="19"/>
        <v>289.60000000000002</v>
      </c>
    </row>
    <row r="248" spans="5:14" ht="15">
      <c r="E248" s="248">
        <v>43647</v>
      </c>
      <c r="F248" s="323">
        <f t="shared" si="15"/>
        <v>43677</v>
      </c>
      <c r="G248" s="159">
        <f t="shared" si="16"/>
        <v>2020</v>
      </c>
      <c r="H248" s="290">
        <v>108</v>
      </c>
      <c r="I248" s="249">
        <v>289.5</v>
      </c>
      <c r="J248" s="257">
        <f>IF($E248&lt;DATE(2018,7,1),"-",INDEX('Annual Inflation'!$AM$53:$BA$53, MATCH(YEAR(EOMONTH($E248,6)), 'Annual Inflation'!$AM$6:$BA$6, 0))/100)</f>
        <v>8.5065402820157007E-3</v>
      </c>
      <c r="K248" s="257">
        <f>IF($E248&lt;DATE(2018,7,1),"-",INDEX('Annual Inflation'!$AM$50:$BA$50, MATCH(YEAR(EOMONTH($E248,6)), 'Annual Inflation'!$AM$6:$BA$6, 0))/100)</f>
        <v>1.50334712603879E-2</v>
      </c>
      <c r="L248" s="258">
        <f t="shared" si="17"/>
        <v>108</v>
      </c>
      <c r="M248" s="258">
        <f t="shared" si="18"/>
        <v>289.5</v>
      </c>
      <c r="N248" s="258">
        <f t="shared" si="19"/>
        <v>289.5</v>
      </c>
    </row>
    <row r="249" spans="5:14" ht="15">
      <c r="E249" s="248">
        <v>43678</v>
      </c>
      <c r="F249" s="323">
        <f t="shared" si="15"/>
        <v>43708</v>
      </c>
      <c r="G249" s="159">
        <f t="shared" si="16"/>
        <v>2020</v>
      </c>
      <c r="H249" s="290">
        <v>108.3</v>
      </c>
      <c r="I249" s="249">
        <v>291.7</v>
      </c>
      <c r="J249" s="257">
        <f>IF($E249&lt;DATE(2018,7,1),"-",INDEX('Annual Inflation'!$AM$53:$BA$53, MATCH(YEAR(EOMONTH($E249,6)), 'Annual Inflation'!$AM$6:$BA$6, 0))/100)</f>
        <v>8.5065402820157007E-3</v>
      </c>
      <c r="K249" s="257">
        <f>IF($E249&lt;DATE(2018,7,1),"-",INDEX('Annual Inflation'!$AM$50:$BA$50, MATCH(YEAR(EOMONTH($E249,6)), 'Annual Inflation'!$AM$6:$BA$6, 0))/100)</f>
        <v>1.50334712603879E-2</v>
      </c>
      <c r="L249" s="258">
        <f t="shared" si="17"/>
        <v>108.3</v>
      </c>
      <c r="M249" s="258">
        <f t="shared" si="18"/>
        <v>291.7</v>
      </c>
      <c r="N249" s="258">
        <f t="shared" si="19"/>
        <v>291.7</v>
      </c>
    </row>
    <row r="250" spans="5:14" ht="15">
      <c r="E250" s="248">
        <v>43709</v>
      </c>
      <c r="F250" s="323">
        <f t="shared" si="15"/>
        <v>43738</v>
      </c>
      <c r="G250" s="159">
        <f t="shared" si="16"/>
        <v>2020</v>
      </c>
      <c r="H250" s="290">
        <v>108.4</v>
      </c>
      <c r="I250" s="249">
        <v>291</v>
      </c>
      <c r="J250" s="257">
        <f>IF($E250&lt;DATE(2018,7,1),"-",INDEX('Annual Inflation'!$AM$53:$BA$53, MATCH(YEAR(EOMONTH($E250,6)), 'Annual Inflation'!$AM$6:$BA$6, 0))/100)</f>
        <v>8.5065402820157007E-3</v>
      </c>
      <c r="K250" s="257">
        <f>IF($E250&lt;DATE(2018,7,1),"-",INDEX('Annual Inflation'!$AM$50:$BA$50, MATCH(YEAR(EOMONTH($E250,6)), 'Annual Inflation'!$AM$6:$BA$6, 0))/100)</f>
        <v>1.50334712603879E-2</v>
      </c>
      <c r="L250" s="258">
        <f t="shared" si="17"/>
        <v>108.4</v>
      </c>
      <c r="M250" s="258">
        <f t="shared" si="18"/>
        <v>291</v>
      </c>
      <c r="N250" s="258">
        <f t="shared" si="19"/>
        <v>291</v>
      </c>
    </row>
    <row r="251" spans="5:14" ht="15">
      <c r="E251" s="248">
        <v>43739</v>
      </c>
      <c r="F251" s="323">
        <f t="shared" si="15"/>
        <v>43769</v>
      </c>
      <c r="G251" s="159">
        <f t="shared" si="16"/>
        <v>2020</v>
      </c>
      <c r="H251" s="290">
        <v>108.3</v>
      </c>
      <c r="I251" s="249">
        <v>290.39999999999998</v>
      </c>
      <c r="J251" s="257">
        <f>IF($E251&lt;DATE(2018,7,1),"-",INDEX('Annual Inflation'!$AM$53:$BA$53, MATCH(YEAR(EOMONTH($E251,6)), 'Annual Inflation'!$AM$6:$BA$6, 0))/100)</f>
        <v>8.5065402820157007E-3</v>
      </c>
      <c r="K251" s="257">
        <f>IF($E251&lt;DATE(2018,7,1),"-",INDEX('Annual Inflation'!$AM$50:$BA$50, MATCH(YEAR(EOMONTH($E251,6)), 'Annual Inflation'!$AM$6:$BA$6, 0))/100)</f>
        <v>1.50334712603879E-2</v>
      </c>
      <c r="L251" s="258">
        <f t="shared" si="17"/>
        <v>108.3</v>
      </c>
      <c r="M251" s="258">
        <f t="shared" si="18"/>
        <v>290.39999999999998</v>
      </c>
      <c r="N251" s="258">
        <f t="shared" si="19"/>
        <v>290.39999999999998</v>
      </c>
    </row>
    <row r="252" spans="5:14" ht="15">
      <c r="E252" s="248">
        <v>43770</v>
      </c>
      <c r="F252" s="323">
        <f t="shared" si="15"/>
        <v>43799</v>
      </c>
      <c r="G252" s="159">
        <f t="shared" si="16"/>
        <v>2020</v>
      </c>
      <c r="H252" s="290">
        <v>108.5</v>
      </c>
      <c r="I252" s="249">
        <v>291</v>
      </c>
      <c r="J252" s="257">
        <f>IF($E252&lt;DATE(2018,7,1),"-",INDEX('Annual Inflation'!$AM$53:$BA$53, MATCH(YEAR(EOMONTH($E252,6)), 'Annual Inflation'!$AM$6:$BA$6, 0))/100)</f>
        <v>8.5065402820157007E-3</v>
      </c>
      <c r="K252" s="257">
        <f>IF($E252&lt;DATE(2018,7,1),"-",INDEX('Annual Inflation'!$AM$50:$BA$50, MATCH(YEAR(EOMONTH($E252,6)), 'Annual Inflation'!$AM$6:$BA$6, 0))/100)</f>
        <v>1.50334712603879E-2</v>
      </c>
      <c r="L252" s="258">
        <f t="shared" si="17"/>
        <v>108.5</v>
      </c>
      <c r="M252" s="258">
        <f t="shared" si="18"/>
        <v>291</v>
      </c>
      <c r="N252" s="258">
        <f t="shared" si="19"/>
        <v>291</v>
      </c>
    </row>
    <row r="253" spans="5:14" ht="15">
      <c r="E253" s="248">
        <v>43800</v>
      </c>
      <c r="F253" s="323">
        <f t="shared" si="15"/>
        <v>43830</v>
      </c>
      <c r="G253" s="159">
        <f t="shared" si="16"/>
        <v>2020</v>
      </c>
      <c r="H253" s="290">
        <v>108.5</v>
      </c>
      <c r="I253" s="249">
        <v>291.89999999999998</v>
      </c>
      <c r="J253" s="257">
        <f>IF($E253&lt;DATE(2018,7,1),"-",INDEX('Annual Inflation'!$AM$53:$BA$53, MATCH(YEAR(EOMONTH($E253,6)), 'Annual Inflation'!$AM$6:$BA$6, 0))/100)</f>
        <v>8.5065402820157007E-3</v>
      </c>
      <c r="K253" s="257">
        <f>IF($E253&lt;DATE(2018,7,1),"-",INDEX('Annual Inflation'!$AM$50:$BA$50, MATCH(YEAR(EOMONTH($E253,6)), 'Annual Inflation'!$AM$6:$BA$6, 0))/100)</f>
        <v>1.50334712603879E-2</v>
      </c>
      <c r="L253" s="258">
        <f t="shared" si="17"/>
        <v>108.5</v>
      </c>
      <c r="M253" s="258">
        <f t="shared" si="18"/>
        <v>291.89999999999998</v>
      </c>
      <c r="N253" s="258">
        <f t="shared" si="19"/>
        <v>291.89999999999998</v>
      </c>
    </row>
    <row r="254" spans="5:14" ht="15">
      <c r="E254" s="248">
        <v>43831</v>
      </c>
      <c r="F254" s="323">
        <f t="shared" si="15"/>
        <v>43861</v>
      </c>
      <c r="G254" s="159">
        <f t="shared" si="16"/>
        <v>2020</v>
      </c>
      <c r="H254" s="290">
        <v>108.3</v>
      </c>
      <c r="I254" s="249">
        <v>290.60000000000002</v>
      </c>
      <c r="J254" s="257">
        <f>IF($E254&lt;DATE(2018,7,1),"-",INDEX('Annual Inflation'!$AM$53:$BA$53, MATCH(YEAR(EOMONTH($E254,6)), 'Annual Inflation'!$AM$6:$BA$6, 0))/100)</f>
        <v>8.5065402820157007E-3</v>
      </c>
      <c r="K254" s="257">
        <f>IF($E254&lt;DATE(2018,7,1),"-",INDEX('Annual Inflation'!$AM$50:$BA$50, MATCH(YEAR(EOMONTH($E254,6)), 'Annual Inflation'!$AM$6:$BA$6, 0))/100)</f>
        <v>1.50334712603879E-2</v>
      </c>
      <c r="L254" s="258">
        <f t="shared" si="17"/>
        <v>108.3</v>
      </c>
      <c r="M254" s="258">
        <f t="shared" si="18"/>
        <v>290.60000000000002</v>
      </c>
      <c r="N254" s="258">
        <f t="shared" si="19"/>
        <v>290.60000000000002</v>
      </c>
    </row>
    <row r="255" spans="5:14" ht="15">
      <c r="E255" s="248">
        <v>43862</v>
      </c>
      <c r="F255" s="323">
        <f t="shared" si="15"/>
        <v>43890</v>
      </c>
      <c r="G255" s="159">
        <f t="shared" si="16"/>
        <v>2020</v>
      </c>
      <c r="H255" s="290">
        <v>108.6</v>
      </c>
      <c r="I255" s="249">
        <v>292</v>
      </c>
      <c r="J255" s="257">
        <f>IF($E255&lt;DATE(2018,7,1),"-",INDEX('Annual Inflation'!$AM$53:$BA$53, MATCH(YEAR(EOMONTH($E255,6)), 'Annual Inflation'!$AM$6:$BA$6, 0))/100)</f>
        <v>8.5065402820157007E-3</v>
      </c>
      <c r="K255" s="257">
        <f>IF($E255&lt;DATE(2018,7,1),"-",INDEX('Annual Inflation'!$AM$50:$BA$50, MATCH(YEAR(EOMONTH($E255,6)), 'Annual Inflation'!$AM$6:$BA$6, 0))/100)</f>
        <v>1.50334712603879E-2</v>
      </c>
      <c r="L255" s="258">
        <f t="shared" si="17"/>
        <v>108.6</v>
      </c>
      <c r="M255" s="258">
        <f t="shared" si="18"/>
        <v>292</v>
      </c>
      <c r="N255" s="258">
        <f t="shared" si="19"/>
        <v>292</v>
      </c>
    </row>
    <row r="256" spans="5:14" ht="15">
      <c r="E256" s="248">
        <v>43891</v>
      </c>
      <c r="F256" s="323">
        <f t="shared" si="15"/>
        <v>43921</v>
      </c>
      <c r="G256" s="159">
        <f t="shared" si="16"/>
        <v>2020</v>
      </c>
      <c r="H256" s="290">
        <v>108.6</v>
      </c>
      <c r="I256" s="249">
        <v>292.60000000000002</v>
      </c>
      <c r="J256" s="257">
        <f>IF($E256&lt;DATE(2018,7,1),"-",INDEX('Annual Inflation'!$AM$53:$BA$53, MATCH(YEAR(EOMONTH($E256,6)), 'Annual Inflation'!$AM$6:$BA$6, 0))/100)</f>
        <v>8.5065402820157007E-3</v>
      </c>
      <c r="K256" s="257">
        <f>IF($E256&lt;DATE(2018,7,1),"-",INDEX('Annual Inflation'!$AM$50:$BA$50, MATCH(YEAR(EOMONTH($E256,6)), 'Annual Inflation'!$AM$6:$BA$6, 0))/100)</f>
        <v>1.50334712603879E-2</v>
      </c>
      <c r="L256" s="258">
        <f t="shared" si="17"/>
        <v>108.6</v>
      </c>
      <c r="M256" s="258">
        <f t="shared" si="18"/>
        <v>292.60000000000002</v>
      </c>
      <c r="N256" s="258">
        <f t="shared" si="19"/>
        <v>292.60000000000002</v>
      </c>
    </row>
    <row r="257" spans="5:14" ht="15">
      <c r="E257" s="248">
        <v>43922</v>
      </c>
      <c r="F257" s="323">
        <f t="shared" si="15"/>
        <v>43951</v>
      </c>
      <c r="G257" s="159">
        <f t="shared" si="16"/>
        <v>2021</v>
      </c>
      <c r="H257" s="290">
        <v>108.6</v>
      </c>
      <c r="I257" s="249">
        <v>292.60000000000002</v>
      </c>
      <c r="J257" s="257">
        <f>IF($E257&lt;DATE(2018,7,1),"-",INDEX('Annual Inflation'!$AM$53:$BA$53, MATCH(YEAR(EOMONTH($E257,6)), 'Annual Inflation'!$AM$6:$BA$6, 0))/100)</f>
        <v>8.5065402820157007E-3</v>
      </c>
      <c r="K257" s="257">
        <f>IF($E257&lt;DATE(2018,7,1),"-",INDEX('Annual Inflation'!$AM$50:$BA$50, MATCH(YEAR(EOMONTH($E257,6)), 'Annual Inflation'!$AM$6:$BA$6, 0))/100)</f>
        <v>1.50334712603879E-2</v>
      </c>
      <c r="L257" s="258">
        <f t="shared" si="17"/>
        <v>108.6</v>
      </c>
      <c r="M257" s="258">
        <f t="shared" si="18"/>
        <v>292.60000000000002</v>
      </c>
      <c r="N257" s="258">
        <f t="shared" si="19"/>
        <v>292.60000000000002</v>
      </c>
    </row>
    <row r="258" spans="5:14" ht="15">
      <c r="E258" s="248">
        <v>43952</v>
      </c>
      <c r="F258" s="323">
        <f t="shared" si="15"/>
        <v>43982</v>
      </c>
      <c r="G258" s="159">
        <f t="shared" si="16"/>
        <v>2021</v>
      </c>
      <c r="H258" s="290">
        <v>108.6</v>
      </c>
      <c r="I258" s="249">
        <v>292.2</v>
      </c>
      <c r="J258" s="257">
        <f>IF($E258&lt;DATE(2018,7,1),"-",INDEX('Annual Inflation'!$AM$53:$BA$53, MATCH(YEAR(EOMONTH($E258,6)), 'Annual Inflation'!$AM$6:$BA$6, 0))/100)</f>
        <v>8.5065402820157007E-3</v>
      </c>
      <c r="K258" s="257">
        <f>IF($E258&lt;DATE(2018,7,1),"-",INDEX('Annual Inflation'!$AM$50:$BA$50, MATCH(YEAR(EOMONTH($E258,6)), 'Annual Inflation'!$AM$6:$BA$6, 0))/100)</f>
        <v>1.50334712603879E-2</v>
      </c>
      <c r="L258" s="258">
        <f t="shared" si="17"/>
        <v>108.6</v>
      </c>
      <c r="M258" s="258">
        <f t="shared" si="18"/>
        <v>292.2</v>
      </c>
      <c r="N258" s="258">
        <f t="shared" si="19"/>
        <v>292.2</v>
      </c>
    </row>
    <row r="259" spans="5:14" ht="15">
      <c r="E259" s="248">
        <v>43983</v>
      </c>
      <c r="F259" s="323">
        <f t="shared" si="15"/>
        <v>44012</v>
      </c>
      <c r="G259" s="159">
        <f t="shared" si="16"/>
        <v>2021</v>
      </c>
      <c r="H259" s="290">
        <v>108.8</v>
      </c>
      <c r="I259" s="249">
        <v>292.7</v>
      </c>
      <c r="J259" s="257">
        <f>IF($E259&lt;DATE(2018,7,1),"-",INDEX('Annual Inflation'!$AM$53:$BA$53, MATCH(YEAR(EOMONTH($E259,6)), 'Annual Inflation'!$AM$6:$BA$6, 0))/100)</f>
        <v>8.5065402820157007E-3</v>
      </c>
      <c r="K259" s="257">
        <f>IF($E259&lt;DATE(2018,7,1),"-",INDEX('Annual Inflation'!$AM$50:$BA$50, MATCH(YEAR(EOMONTH($E259,6)), 'Annual Inflation'!$AM$6:$BA$6, 0))/100)</f>
        <v>1.50334712603879E-2</v>
      </c>
      <c r="L259" s="258">
        <f t="shared" si="17"/>
        <v>108.8</v>
      </c>
      <c r="M259" s="258">
        <f t="shared" si="18"/>
        <v>292.7</v>
      </c>
      <c r="N259" s="258">
        <f t="shared" si="19"/>
        <v>292.7</v>
      </c>
    </row>
    <row r="260" spans="5:14" ht="15">
      <c r="E260" s="248">
        <v>44013</v>
      </c>
      <c r="F260" s="323">
        <f t="shared" si="15"/>
        <v>44043</v>
      </c>
      <c r="G260" s="159">
        <f t="shared" si="16"/>
        <v>2021</v>
      </c>
      <c r="H260" s="290">
        <v>109.2</v>
      </c>
      <c r="I260" s="249">
        <v>294.2</v>
      </c>
      <c r="J260" s="257">
        <f>IF($E260&lt;DATE(2018,7,1),"-",INDEX('Annual Inflation'!$AM$53:$BA$53, MATCH(YEAR(EOMONTH($E260,6)), 'Annual Inflation'!$AM$6:$BA$6, 0))/100)</f>
        <v>2.5882219500718201E-2</v>
      </c>
      <c r="K260" s="257">
        <f>IF($E260&lt;DATE(2018,7,1),"-",INDEX('Annual Inflation'!$AM$50:$BA$50, MATCH(YEAR(EOMONTH($E260,6)), 'Annual Inflation'!$AM$6:$BA$6, 0))/100)</f>
        <v>4.0452569031158125E-2</v>
      </c>
      <c r="L260" s="258">
        <f t="shared" si="17"/>
        <v>109.2</v>
      </c>
      <c r="M260" s="258">
        <f t="shared" si="18"/>
        <v>294.2</v>
      </c>
      <c r="N260" s="258">
        <f t="shared" si="19"/>
        <v>294.2</v>
      </c>
    </row>
    <row r="261" spans="5:14" ht="15">
      <c r="E261" s="248">
        <v>44044</v>
      </c>
      <c r="F261" s="323">
        <f t="shared" si="15"/>
        <v>44074</v>
      </c>
      <c r="G261" s="159">
        <f t="shared" si="16"/>
        <v>2021</v>
      </c>
      <c r="H261" s="290">
        <v>108.8</v>
      </c>
      <c r="I261" s="249">
        <v>293.3</v>
      </c>
      <c r="J261" s="257">
        <f>IF($E261&lt;DATE(2018,7,1),"-",INDEX('Annual Inflation'!$AM$53:$BA$53, MATCH(YEAR(EOMONTH($E261,6)), 'Annual Inflation'!$AM$6:$BA$6, 0))/100)</f>
        <v>2.5882219500718201E-2</v>
      </c>
      <c r="K261" s="257">
        <f>IF($E261&lt;DATE(2018,7,1),"-",INDEX('Annual Inflation'!$AM$50:$BA$50, MATCH(YEAR(EOMONTH($E261,6)), 'Annual Inflation'!$AM$6:$BA$6, 0))/100)</f>
        <v>4.0452569031158125E-2</v>
      </c>
      <c r="L261" s="258">
        <f t="shared" si="17"/>
        <v>108.8</v>
      </c>
      <c r="M261" s="258">
        <f t="shared" si="18"/>
        <v>293.3</v>
      </c>
      <c r="N261" s="258">
        <f t="shared" si="19"/>
        <v>293.3</v>
      </c>
    </row>
    <row r="262" spans="5:14" ht="15">
      <c r="E262" s="248">
        <v>44075</v>
      </c>
      <c r="F262" s="323">
        <f t="shared" ref="F262:F325" si="20">EOMONTH(E262, 0)</f>
        <v>44104</v>
      </c>
      <c r="G262" s="159">
        <f t="shared" ref="G262:G325" si="21">IF(MONTH(E262)&gt;=4,YEAR(E262)+1,YEAR(E262))</f>
        <v>2021</v>
      </c>
      <c r="H262" s="290">
        <v>109.2</v>
      </c>
      <c r="I262" s="249">
        <v>294.3</v>
      </c>
      <c r="J262" s="257">
        <f>IF($E262&lt;DATE(2018,7,1),"-",INDEX('Annual Inflation'!$AM$53:$BA$53, MATCH(YEAR(EOMONTH($E262,6)), 'Annual Inflation'!$AM$6:$BA$6, 0))/100)</f>
        <v>2.5882219500718201E-2</v>
      </c>
      <c r="K262" s="257">
        <f>IF($E262&lt;DATE(2018,7,1),"-",INDEX('Annual Inflation'!$AM$50:$BA$50, MATCH(YEAR(EOMONTH($E262,6)), 'Annual Inflation'!$AM$6:$BA$6, 0))/100)</f>
        <v>4.0452569031158125E-2</v>
      </c>
      <c r="L262" s="258">
        <f t="shared" ref="L262:L325" si="22">IF(ISBLANK(H262),L261*((1+J262)^(1/12)),H262)</f>
        <v>109.2</v>
      </c>
      <c r="M262" s="258">
        <f t="shared" ref="M262:M325" si="23">IF(ISBLANK(I262),M261*((1+K262)^(1/12)),I262)</f>
        <v>294.3</v>
      </c>
      <c r="N262" s="258">
        <f t="shared" ref="N262:N325" si="24">IF($E262 &lt; DATE(2023,4,1),  M262,  IF($E262 = DATE(2023,4,1), N261 * ((0.5*L262/L261) + (0.5*M262/M261)), N261*(L262/L261)))</f>
        <v>294.3</v>
      </c>
    </row>
    <row r="263" spans="5:14" ht="15">
      <c r="E263" s="248">
        <v>44105</v>
      </c>
      <c r="F263" s="323">
        <f t="shared" si="20"/>
        <v>44135</v>
      </c>
      <c r="G263" s="159">
        <f t="shared" si="21"/>
        <v>2021</v>
      </c>
      <c r="H263" s="290">
        <v>109.2</v>
      </c>
      <c r="I263" s="249">
        <v>294.3</v>
      </c>
      <c r="J263" s="257">
        <f>IF($E263&lt;DATE(2018,7,1),"-",INDEX('Annual Inflation'!$AM$53:$BA$53, MATCH(YEAR(EOMONTH($E263,6)), 'Annual Inflation'!$AM$6:$BA$6, 0))/100)</f>
        <v>2.5882219500718201E-2</v>
      </c>
      <c r="K263" s="257">
        <f>IF($E263&lt;DATE(2018,7,1),"-",INDEX('Annual Inflation'!$AM$50:$BA$50, MATCH(YEAR(EOMONTH($E263,6)), 'Annual Inflation'!$AM$6:$BA$6, 0))/100)</f>
        <v>4.0452569031158125E-2</v>
      </c>
      <c r="L263" s="258">
        <f t="shared" si="22"/>
        <v>109.2</v>
      </c>
      <c r="M263" s="258">
        <f t="shared" si="23"/>
        <v>294.3</v>
      </c>
      <c r="N263" s="258">
        <f t="shared" si="24"/>
        <v>294.3</v>
      </c>
    </row>
    <row r="264" spans="5:14" ht="15">
      <c r="E264" s="248">
        <v>44136</v>
      </c>
      <c r="F264" s="323">
        <f t="shared" si="20"/>
        <v>44165</v>
      </c>
      <c r="G264" s="159">
        <f t="shared" si="21"/>
        <v>2021</v>
      </c>
      <c r="H264" s="290">
        <v>109.1</v>
      </c>
      <c r="I264" s="249">
        <v>293.5</v>
      </c>
      <c r="J264" s="257">
        <f>IF($E264&lt;DATE(2018,7,1),"-",INDEX('Annual Inflation'!$AM$53:$BA$53, MATCH(YEAR(EOMONTH($E264,6)), 'Annual Inflation'!$AM$6:$BA$6, 0))/100)</f>
        <v>2.5882219500718201E-2</v>
      </c>
      <c r="K264" s="257">
        <f>IF($E264&lt;DATE(2018,7,1),"-",INDEX('Annual Inflation'!$AM$50:$BA$50, MATCH(YEAR(EOMONTH($E264,6)), 'Annual Inflation'!$AM$6:$BA$6, 0))/100)</f>
        <v>4.0452569031158125E-2</v>
      </c>
      <c r="L264" s="258">
        <f t="shared" si="22"/>
        <v>109.1</v>
      </c>
      <c r="M264" s="258">
        <f t="shared" si="23"/>
        <v>293.5</v>
      </c>
      <c r="N264" s="258">
        <f t="shared" si="24"/>
        <v>293.5</v>
      </c>
    </row>
    <row r="265" spans="5:14" ht="15">
      <c r="E265" s="248">
        <v>44166</v>
      </c>
      <c r="F265" s="323">
        <f t="shared" si="20"/>
        <v>44196</v>
      </c>
      <c r="G265" s="159">
        <f t="shared" si="21"/>
        <v>2021</v>
      </c>
      <c r="H265" s="290">
        <v>109.4</v>
      </c>
      <c r="I265" s="249">
        <v>295.39999999999998</v>
      </c>
      <c r="J265" s="257">
        <f>IF($E265&lt;DATE(2018,7,1),"-",INDEX('Annual Inflation'!$AM$53:$BA$53, MATCH(YEAR(EOMONTH($E265,6)), 'Annual Inflation'!$AM$6:$BA$6, 0))/100)</f>
        <v>2.5882219500718201E-2</v>
      </c>
      <c r="K265" s="257">
        <f>IF($E265&lt;DATE(2018,7,1),"-",INDEX('Annual Inflation'!$AM$50:$BA$50, MATCH(YEAR(EOMONTH($E265,6)), 'Annual Inflation'!$AM$6:$BA$6, 0))/100)</f>
        <v>4.0452569031158125E-2</v>
      </c>
      <c r="L265" s="258">
        <f t="shared" si="22"/>
        <v>109.4</v>
      </c>
      <c r="M265" s="258">
        <f t="shared" si="23"/>
        <v>295.39999999999998</v>
      </c>
      <c r="N265" s="258">
        <f t="shared" si="24"/>
        <v>295.39999999999998</v>
      </c>
    </row>
    <row r="266" spans="5:14" ht="15">
      <c r="E266" s="248">
        <v>44197</v>
      </c>
      <c r="F266" s="323">
        <f t="shared" si="20"/>
        <v>44227</v>
      </c>
      <c r="G266" s="159">
        <f t="shared" si="21"/>
        <v>2021</v>
      </c>
      <c r="H266" s="290">
        <v>109.3</v>
      </c>
      <c r="I266" s="249">
        <v>294.60000000000002</v>
      </c>
      <c r="J266" s="257">
        <f>IF($E266&lt;DATE(2018,7,1),"-",INDEX('Annual Inflation'!$AM$53:$BA$53, MATCH(YEAR(EOMONTH($E266,6)), 'Annual Inflation'!$AM$6:$BA$6, 0))/100)</f>
        <v>2.5882219500718201E-2</v>
      </c>
      <c r="K266" s="257">
        <f>IF($E266&lt;DATE(2018,7,1),"-",INDEX('Annual Inflation'!$AM$50:$BA$50, MATCH(YEAR(EOMONTH($E266,6)), 'Annual Inflation'!$AM$6:$BA$6, 0))/100)</f>
        <v>4.0452569031158125E-2</v>
      </c>
      <c r="L266" s="258">
        <f t="shared" si="22"/>
        <v>109.3</v>
      </c>
      <c r="M266" s="258">
        <f t="shared" si="23"/>
        <v>294.60000000000002</v>
      </c>
      <c r="N266" s="258">
        <f t="shared" si="24"/>
        <v>294.60000000000002</v>
      </c>
    </row>
    <row r="267" spans="5:14" ht="15">
      <c r="E267" s="248">
        <v>44228</v>
      </c>
      <c r="F267" s="323">
        <f t="shared" si="20"/>
        <v>44255</v>
      </c>
      <c r="G267" s="159">
        <f t="shared" si="21"/>
        <v>2021</v>
      </c>
      <c r="H267" s="290">
        <v>109.4</v>
      </c>
      <c r="I267" s="249">
        <v>296</v>
      </c>
      <c r="J267" s="257">
        <f>IF($E267&lt;DATE(2018,7,1),"-",INDEX('Annual Inflation'!$AM$53:$BA$53, MATCH(YEAR(EOMONTH($E267,6)), 'Annual Inflation'!$AM$6:$BA$6, 0))/100)</f>
        <v>2.5882219500718201E-2</v>
      </c>
      <c r="K267" s="257">
        <f>IF($E267&lt;DATE(2018,7,1),"-",INDEX('Annual Inflation'!$AM$50:$BA$50, MATCH(YEAR(EOMONTH($E267,6)), 'Annual Inflation'!$AM$6:$BA$6, 0))/100)</f>
        <v>4.0452569031158125E-2</v>
      </c>
      <c r="L267" s="258">
        <f t="shared" si="22"/>
        <v>109.4</v>
      </c>
      <c r="M267" s="258">
        <f t="shared" si="23"/>
        <v>296</v>
      </c>
      <c r="N267" s="258">
        <f t="shared" si="24"/>
        <v>296</v>
      </c>
    </row>
    <row r="268" spans="5:14" ht="15">
      <c r="E268" s="248">
        <v>44256</v>
      </c>
      <c r="F268" s="323">
        <f t="shared" si="20"/>
        <v>44286</v>
      </c>
      <c r="G268" s="159">
        <f t="shared" si="21"/>
        <v>2021</v>
      </c>
      <c r="H268" s="290">
        <v>109.7</v>
      </c>
      <c r="I268" s="249">
        <v>296.89999999999998</v>
      </c>
      <c r="J268" s="257">
        <f>IF($E268&lt;DATE(2018,7,1),"-",INDEX('Annual Inflation'!$AM$53:$BA$53, MATCH(YEAR(EOMONTH($E268,6)), 'Annual Inflation'!$AM$6:$BA$6, 0))/100)</f>
        <v>2.5882219500718201E-2</v>
      </c>
      <c r="K268" s="257">
        <f>IF($E268&lt;DATE(2018,7,1),"-",INDEX('Annual Inflation'!$AM$50:$BA$50, MATCH(YEAR(EOMONTH($E268,6)), 'Annual Inflation'!$AM$6:$BA$6, 0))/100)</f>
        <v>4.0452569031158125E-2</v>
      </c>
      <c r="L268" s="258">
        <f t="shared" si="22"/>
        <v>109.7</v>
      </c>
      <c r="M268" s="258">
        <f t="shared" si="23"/>
        <v>296.89999999999998</v>
      </c>
      <c r="N268" s="258">
        <f t="shared" si="24"/>
        <v>296.89999999999998</v>
      </c>
    </row>
    <row r="269" spans="5:14" ht="15">
      <c r="E269" s="248">
        <v>44287</v>
      </c>
      <c r="F269" s="323">
        <f t="shared" si="20"/>
        <v>44316</v>
      </c>
      <c r="G269" s="159">
        <f t="shared" si="21"/>
        <v>2022</v>
      </c>
      <c r="H269" s="290">
        <v>110.4</v>
      </c>
      <c r="I269" s="249">
        <v>301.10000000000002</v>
      </c>
      <c r="J269" s="257">
        <f>IF($E269&lt;DATE(2018,7,1),"-",INDEX('Annual Inflation'!$AM$53:$BA$53, MATCH(YEAR(EOMONTH($E269,6)), 'Annual Inflation'!$AM$6:$BA$6, 0))/100)</f>
        <v>2.5882219500718201E-2</v>
      </c>
      <c r="K269" s="257">
        <f>IF($E269&lt;DATE(2018,7,1),"-",INDEX('Annual Inflation'!$AM$50:$BA$50, MATCH(YEAR(EOMONTH($E269,6)), 'Annual Inflation'!$AM$6:$BA$6, 0))/100)</f>
        <v>4.0452569031158125E-2</v>
      </c>
      <c r="L269" s="258">
        <f t="shared" ref="L269:L287" si="25">IF(ISBLANK(H269),L268*((1+J269)^(1/12)),H269)</f>
        <v>110.4</v>
      </c>
      <c r="M269" s="258">
        <f t="shared" ref="M269:M287" si="26">IF(ISBLANK(I269),M268*((1+K269)^(1/12)),I269)</f>
        <v>301.10000000000002</v>
      </c>
      <c r="N269" s="258">
        <f t="shared" si="24"/>
        <v>301.10000000000002</v>
      </c>
    </row>
    <row r="270" spans="5:14" ht="15">
      <c r="E270" s="248">
        <v>44317</v>
      </c>
      <c r="F270" s="323">
        <f t="shared" si="20"/>
        <v>44347</v>
      </c>
      <c r="G270" s="159">
        <f t="shared" si="21"/>
        <v>2022</v>
      </c>
      <c r="H270" s="290">
        <v>111</v>
      </c>
      <c r="I270" s="249">
        <v>301.89999999999998</v>
      </c>
      <c r="J270" s="257">
        <f>IF($E270&lt;DATE(2018,7,1),"-",INDEX('Annual Inflation'!$AM$53:$BA$53, MATCH(YEAR(EOMONTH($E270,6)), 'Annual Inflation'!$AM$6:$BA$6, 0))/100)</f>
        <v>2.5882219500718201E-2</v>
      </c>
      <c r="K270" s="257">
        <f>IF($E270&lt;DATE(2018,7,1),"-",INDEX('Annual Inflation'!$AM$50:$BA$50, MATCH(YEAR(EOMONTH($E270,6)), 'Annual Inflation'!$AM$6:$BA$6, 0))/100)</f>
        <v>4.0452569031158125E-2</v>
      </c>
      <c r="L270" s="258">
        <f t="shared" si="25"/>
        <v>111</v>
      </c>
      <c r="M270" s="258">
        <f t="shared" si="26"/>
        <v>301.89999999999998</v>
      </c>
      <c r="N270" s="258">
        <f t="shared" si="24"/>
        <v>301.89999999999998</v>
      </c>
    </row>
    <row r="271" spans="5:14" ht="15">
      <c r="E271" s="248">
        <v>44348</v>
      </c>
      <c r="F271" s="323">
        <f t="shared" si="20"/>
        <v>44377</v>
      </c>
      <c r="G271" s="159">
        <f t="shared" si="21"/>
        <v>2022</v>
      </c>
      <c r="H271" s="290">
        <v>111.4</v>
      </c>
      <c r="I271" s="249">
        <v>304</v>
      </c>
      <c r="J271" s="257">
        <f>IF($E271&lt;DATE(2018,7,1),"-",INDEX('Annual Inflation'!$AM$53:$BA$53, MATCH(YEAR(EOMONTH($E271,6)), 'Annual Inflation'!$AM$6:$BA$6, 0))/100)</f>
        <v>2.5882219500718201E-2</v>
      </c>
      <c r="K271" s="257">
        <f>IF($E271&lt;DATE(2018,7,1),"-",INDEX('Annual Inflation'!$AM$50:$BA$50, MATCH(YEAR(EOMONTH($E271,6)), 'Annual Inflation'!$AM$6:$BA$6, 0))/100)</f>
        <v>4.0452569031158125E-2</v>
      </c>
      <c r="L271" s="258">
        <f t="shared" si="25"/>
        <v>111.4</v>
      </c>
      <c r="M271" s="258">
        <f t="shared" si="26"/>
        <v>304</v>
      </c>
      <c r="N271" s="258">
        <f t="shared" si="24"/>
        <v>304</v>
      </c>
    </row>
    <row r="272" spans="5:14" ht="15">
      <c r="E272" s="248">
        <v>44378</v>
      </c>
      <c r="F272" s="323">
        <f t="shared" si="20"/>
        <v>44408</v>
      </c>
      <c r="G272" s="159">
        <f t="shared" si="21"/>
        <v>2022</v>
      </c>
      <c r="H272" s="290">
        <v>111.4</v>
      </c>
      <c r="I272" s="249">
        <v>305.5</v>
      </c>
      <c r="J272" s="257">
        <f>IF($E272&lt;DATE(2018,7,1),"-",INDEX('Annual Inflation'!$AM$53:$BA$53, MATCH(YEAR(EOMONTH($E272,6)), 'Annual Inflation'!$AM$6:$BA$6, 0))/100)</f>
        <v>9.0667455547039033E-2</v>
      </c>
      <c r="K272" s="257">
        <f>IF($E272&lt;DATE(2018,7,1),"-",INDEX('Annual Inflation'!$AM$50:$BA$50, MATCH(YEAR(EOMONTH($E272,6)), 'Annual Inflation'!$AM$6:$BA$6, 0))/100)</f>
        <v>0.11584699426229506</v>
      </c>
      <c r="L272" s="258">
        <f t="shared" si="25"/>
        <v>111.4</v>
      </c>
      <c r="M272" s="258">
        <f t="shared" si="26"/>
        <v>305.5</v>
      </c>
      <c r="N272" s="258">
        <f t="shared" si="24"/>
        <v>305.5</v>
      </c>
    </row>
    <row r="273" spans="5:14" ht="15">
      <c r="E273" s="248">
        <v>44409</v>
      </c>
      <c r="F273" s="323">
        <f t="shared" si="20"/>
        <v>44439</v>
      </c>
      <c r="G273" s="159">
        <f t="shared" si="21"/>
        <v>2022</v>
      </c>
      <c r="H273" s="290">
        <v>112.1</v>
      </c>
      <c r="I273" s="249">
        <v>307.39999999999998</v>
      </c>
      <c r="J273" s="257">
        <f>IF($E273&lt;DATE(2018,7,1),"-",INDEX('Annual Inflation'!$AM$53:$BA$53, MATCH(YEAR(EOMONTH($E273,6)), 'Annual Inflation'!$AM$6:$BA$6, 0))/100)</f>
        <v>9.0667455547039033E-2</v>
      </c>
      <c r="K273" s="257">
        <f>IF($E273&lt;DATE(2018,7,1),"-",INDEX('Annual Inflation'!$AM$50:$BA$50, MATCH(YEAR(EOMONTH($E273,6)), 'Annual Inflation'!$AM$6:$BA$6, 0))/100)</f>
        <v>0.11584699426229506</v>
      </c>
      <c r="L273" s="258">
        <f t="shared" si="25"/>
        <v>112.1</v>
      </c>
      <c r="M273" s="258">
        <f t="shared" si="26"/>
        <v>307.39999999999998</v>
      </c>
      <c r="N273" s="258">
        <f t="shared" si="24"/>
        <v>307.39999999999998</v>
      </c>
    </row>
    <row r="274" spans="5:14" ht="15">
      <c r="E274" s="248">
        <v>44440</v>
      </c>
      <c r="F274" s="323">
        <f t="shared" si="20"/>
        <v>44469</v>
      </c>
      <c r="G274" s="159">
        <f t="shared" si="21"/>
        <v>2022</v>
      </c>
      <c r="H274" s="290">
        <v>112.4</v>
      </c>
      <c r="I274" s="249">
        <v>308.60000000000002</v>
      </c>
      <c r="J274" s="257">
        <f>IF($E274&lt;DATE(2018,7,1),"-",INDEX('Annual Inflation'!$AM$53:$BA$53, MATCH(YEAR(EOMONTH($E274,6)), 'Annual Inflation'!$AM$6:$BA$6, 0))/100)</f>
        <v>9.0667455547039033E-2</v>
      </c>
      <c r="K274" s="257">
        <f>IF($E274&lt;DATE(2018,7,1),"-",INDEX('Annual Inflation'!$AM$50:$BA$50, MATCH(YEAR(EOMONTH($E274,6)), 'Annual Inflation'!$AM$6:$BA$6, 0))/100)</f>
        <v>0.11584699426229506</v>
      </c>
      <c r="L274" s="258">
        <f t="shared" si="25"/>
        <v>112.4</v>
      </c>
      <c r="M274" s="258">
        <f t="shared" si="26"/>
        <v>308.60000000000002</v>
      </c>
      <c r="N274" s="258">
        <f t="shared" si="24"/>
        <v>308.60000000000002</v>
      </c>
    </row>
    <row r="275" spans="5:14" ht="15">
      <c r="E275" s="248">
        <v>44470</v>
      </c>
      <c r="F275" s="323">
        <f t="shared" si="20"/>
        <v>44500</v>
      </c>
      <c r="G275" s="159">
        <f t="shared" si="21"/>
        <v>2022</v>
      </c>
      <c r="H275" s="290">
        <v>113.4</v>
      </c>
      <c r="I275" s="249">
        <v>312</v>
      </c>
      <c r="J275" s="257">
        <f>IF($E275&lt;DATE(2018,7,1),"-",INDEX('Annual Inflation'!$AM$53:$BA$53, MATCH(YEAR(EOMONTH($E275,6)), 'Annual Inflation'!$AM$6:$BA$6, 0))/100)</f>
        <v>9.0667455547039033E-2</v>
      </c>
      <c r="K275" s="257">
        <f>IF($E275&lt;DATE(2018,7,1),"-",INDEX('Annual Inflation'!$AM$50:$BA$50, MATCH(YEAR(EOMONTH($E275,6)), 'Annual Inflation'!$AM$6:$BA$6, 0))/100)</f>
        <v>0.11584699426229506</v>
      </c>
      <c r="L275" s="258">
        <f t="shared" si="25"/>
        <v>113.4</v>
      </c>
      <c r="M275" s="258">
        <f t="shared" si="26"/>
        <v>312</v>
      </c>
      <c r="N275" s="258">
        <f t="shared" si="24"/>
        <v>312</v>
      </c>
    </row>
    <row r="276" spans="5:14" ht="15">
      <c r="E276" s="248">
        <v>44501</v>
      </c>
      <c r="F276" s="323">
        <f t="shared" si="20"/>
        <v>44530</v>
      </c>
      <c r="G276" s="159">
        <f t="shared" si="21"/>
        <v>2022</v>
      </c>
      <c r="H276" s="290">
        <v>114.1</v>
      </c>
      <c r="I276" s="249">
        <v>314.3</v>
      </c>
      <c r="J276" s="257">
        <f>IF($E276&lt;DATE(2018,7,1),"-",INDEX('Annual Inflation'!$AM$53:$BA$53, MATCH(YEAR(EOMONTH($E276,6)), 'Annual Inflation'!$AM$6:$BA$6, 0))/100)</f>
        <v>9.0667455547039033E-2</v>
      </c>
      <c r="K276" s="257">
        <f>IF($E276&lt;DATE(2018,7,1),"-",INDEX('Annual Inflation'!$AM$50:$BA$50, MATCH(YEAR(EOMONTH($E276,6)), 'Annual Inflation'!$AM$6:$BA$6, 0))/100)</f>
        <v>0.11584699426229506</v>
      </c>
      <c r="L276" s="258">
        <f t="shared" si="25"/>
        <v>114.1</v>
      </c>
      <c r="M276" s="258">
        <f t="shared" si="26"/>
        <v>314.3</v>
      </c>
      <c r="N276" s="258">
        <f t="shared" si="24"/>
        <v>314.3</v>
      </c>
    </row>
    <row r="277" spans="5:14" ht="15">
      <c r="E277" s="248">
        <v>44531</v>
      </c>
      <c r="F277" s="323">
        <f t="shared" si="20"/>
        <v>44561</v>
      </c>
      <c r="G277" s="159">
        <f t="shared" si="21"/>
        <v>2022</v>
      </c>
      <c r="H277" s="290">
        <v>114.7</v>
      </c>
      <c r="I277" s="249">
        <v>317.7</v>
      </c>
      <c r="J277" s="257">
        <f>IF($E277&lt;DATE(2018,7,1),"-",INDEX('Annual Inflation'!$AM$53:$BA$53, MATCH(YEAR(EOMONTH($E277,6)), 'Annual Inflation'!$AM$6:$BA$6, 0))/100)</f>
        <v>9.0667455547039033E-2</v>
      </c>
      <c r="K277" s="257">
        <f>IF($E277&lt;DATE(2018,7,1),"-",INDEX('Annual Inflation'!$AM$50:$BA$50, MATCH(YEAR(EOMONTH($E277,6)), 'Annual Inflation'!$AM$6:$BA$6, 0))/100)</f>
        <v>0.11584699426229506</v>
      </c>
      <c r="L277" s="258">
        <f t="shared" si="25"/>
        <v>114.7</v>
      </c>
      <c r="M277" s="258">
        <f t="shared" si="26"/>
        <v>317.7</v>
      </c>
      <c r="N277" s="258">
        <f t="shared" si="24"/>
        <v>317.7</v>
      </c>
    </row>
    <row r="278" spans="5:14" ht="15">
      <c r="E278" s="248">
        <v>44562</v>
      </c>
      <c r="F278" s="323">
        <f t="shared" si="20"/>
        <v>44592</v>
      </c>
      <c r="G278" s="159">
        <f t="shared" si="21"/>
        <v>2022</v>
      </c>
      <c r="H278" s="290">
        <v>114.6</v>
      </c>
      <c r="I278" s="249">
        <v>317.7</v>
      </c>
      <c r="J278" s="257">
        <f>IF($E278&lt;DATE(2018,7,1),"-",INDEX('Annual Inflation'!$AM$53:$BA$53, MATCH(YEAR(EOMONTH($E278,6)), 'Annual Inflation'!$AM$6:$BA$6, 0))/100)</f>
        <v>9.0667455547039033E-2</v>
      </c>
      <c r="K278" s="257">
        <f>IF($E278&lt;DATE(2018,7,1),"-",INDEX('Annual Inflation'!$AM$50:$BA$50, MATCH(YEAR(EOMONTH($E278,6)), 'Annual Inflation'!$AM$6:$BA$6, 0))/100)</f>
        <v>0.11584699426229506</v>
      </c>
      <c r="L278" s="258">
        <f t="shared" si="25"/>
        <v>114.6</v>
      </c>
      <c r="M278" s="258">
        <f t="shared" si="26"/>
        <v>317.7</v>
      </c>
      <c r="N278" s="258">
        <f t="shared" si="24"/>
        <v>317.7</v>
      </c>
    </row>
    <row r="279" spans="5:14" ht="15">
      <c r="E279" s="248">
        <v>44593</v>
      </c>
      <c r="F279" s="323">
        <f t="shared" si="20"/>
        <v>44620</v>
      </c>
      <c r="G279" s="159">
        <f t="shared" si="21"/>
        <v>2022</v>
      </c>
      <c r="H279" s="290">
        <v>115.4</v>
      </c>
      <c r="I279" s="249">
        <v>320.2</v>
      </c>
      <c r="J279" s="257">
        <f>IF($E279&lt;DATE(2018,7,1),"-",INDEX('Annual Inflation'!$AM$53:$BA$53, MATCH(YEAR(EOMONTH($E279,6)), 'Annual Inflation'!$AM$6:$BA$6, 0))/100)</f>
        <v>9.0667455547039033E-2</v>
      </c>
      <c r="K279" s="257">
        <f>IF($E279&lt;DATE(2018,7,1),"-",INDEX('Annual Inflation'!$AM$50:$BA$50, MATCH(YEAR(EOMONTH($E279,6)), 'Annual Inflation'!$AM$6:$BA$6, 0))/100)</f>
        <v>0.11584699426229506</v>
      </c>
      <c r="L279" s="258">
        <f t="shared" si="25"/>
        <v>115.4</v>
      </c>
      <c r="M279" s="258">
        <f t="shared" si="26"/>
        <v>320.2</v>
      </c>
      <c r="N279" s="258">
        <f t="shared" si="24"/>
        <v>320.2</v>
      </c>
    </row>
    <row r="280" spans="5:14" ht="15">
      <c r="E280" s="248">
        <v>44621</v>
      </c>
      <c r="F280" s="323">
        <f t="shared" si="20"/>
        <v>44651</v>
      </c>
      <c r="G280" s="159">
        <f t="shared" si="21"/>
        <v>2022</v>
      </c>
      <c r="H280" s="290">
        <v>116.5</v>
      </c>
      <c r="I280" s="249">
        <v>323.5</v>
      </c>
      <c r="J280" s="257">
        <f>IF($E280&lt;DATE(2018,7,1),"-",INDEX('Annual Inflation'!$AM$53:$BA$53, MATCH(YEAR(EOMONTH($E280,6)), 'Annual Inflation'!$AM$6:$BA$6, 0))/100)</f>
        <v>9.0667455547039033E-2</v>
      </c>
      <c r="K280" s="257">
        <f>IF($E280&lt;DATE(2018,7,1),"-",INDEX('Annual Inflation'!$AM$50:$BA$50, MATCH(YEAR(EOMONTH($E280,6)), 'Annual Inflation'!$AM$6:$BA$6, 0))/100)</f>
        <v>0.11584699426229506</v>
      </c>
      <c r="L280" s="258">
        <f t="shared" si="25"/>
        <v>116.5</v>
      </c>
      <c r="M280" s="258">
        <f t="shared" si="26"/>
        <v>323.5</v>
      </c>
      <c r="N280" s="258">
        <f t="shared" si="24"/>
        <v>323.5</v>
      </c>
    </row>
    <row r="281" spans="5:14" ht="15">
      <c r="E281" s="248">
        <v>44652</v>
      </c>
      <c r="F281" s="323">
        <f t="shared" si="20"/>
        <v>44681</v>
      </c>
      <c r="G281" s="159">
        <f t="shared" si="21"/>
        <v>2023</v>
      </c>
      <c r="H281" s="290">
        <v>119</v>
      </c>
      <c r="I281" s="249">
        <v>334.6</v>
      </c>
      <c r="J281" s="257">
        <f>IF($E281&lt;DATE(2018,7,1),"-",INDEX('Annual Inflation'!$AM$53:$BA$53, MATCH(YEAR(EOMONTH($E281,6)), 'Annual Inflation'!$AM$6:$BA$6, 0))/100)</f>
        <v>9.0667455547039033E-2</v>
      </c>
      <c r="K281" s="257">
        <f>IF($E281&lt;DATE(2018,7,1),"-",INDEX('Annual Inflation'!$AM$50:$BA$50, MATCH(YEAR(EOMONTH($E281,6)), 'Annual Inflation'!$AM$6:$BA$6, 0))/100)</f>
        <v>0.11584699426229506</v>
      </c>
      <c r="L281" s="258">
        <f t="shared" si="25"/>
        <v>119</v>
      </c>
      <c r="M281" s="258">
        <f t="shared" si="26"/>
        <v>334.6</v>
      </c>
      <c r="N281" s="258">
        <f t="shared" si="24"/>
        <v>334.6</v>
      </c>
    </row>
    <row r="282" spans="5:14" ht="15">
      <c r="E282" s="248">
        <v>44682</v>
      </c>
      <c r="F282" s="323">
        <f t="shared" si="20"/>
        <v>44712</v>
      </c>
      <c r="G282" s="159">
        <f t="shared" si="21"/>
        <v>2023</v>
      </c>
      <c r="H282" s="499">
        <v>119.7</v>
      </c>
      <c r="I282" s="499">
        <v>337.1</v>
      </c>
      <c r="J282" s="257">
        <f>IF($E282&lt;DATE(2018,7,1),"-",INDEX('Annual Inflation'!$AM$53:$BA$53, MATCH(YEAR(EOMONTH($E282,6)), 'Annual Inflation'!$AM$6:$BA$6, 0))/100)</f>
        <v>9.0667455547039033E-2</v>
      </c>
      <c r="K282" s="257">
        <f>IF($E282&lt;DATE(2018,7,1),"-",INDEX('Annual Inflation'!$AM$50:$BA$50, MATCH(YEAR(EOMONTH($E282,6)), 'Annual Inflation'!$AM$6:$BA$6, 0))/100)</f>
        <v>0.11584699426229506</v>
      </c>
      <c r="L282" s="258">
        <f t="shared" si="25"/>
        <v>119.7</v>
      </c>
      <c r="M282" s="258">
        <f t="shared" si="26"/>
        <v>337.1</v>
      </c>
      <c r="N282" s="258">
        <f t="shared" si="24"/>
        <v>337.1</v>
      </c>
    </row>
    <row r="283" spans="5:14" ht="15">
      <c r="E283" s="248">
        <v>44713</v>
      </c>
      <c r="F283" s="323">
        <f t="shared" si="20"/>
        <v>44742</v>
      </c>
      <c r="G283" s="159">
        <f t="shared" si="21"/>
        <v>2023</v>
      </c>
      <c r="H283" s="499">
        <v>120.5</v>
      </c>
      <c r="I283" s="499">
        <v>340</v>
      </c>
      <c r="J283" s="257">
        <f>IF($E283&lt;DATE(2018,7,1),"-",INDEX('Annual Inflation'!$AM$53:$BA$53, MATCH(YEAR(EOMONTH($E283,6)), 'Annual Inflation'!$AM$6:$BA$6, 0))/100)</f>
        <v>9.0667455547039033E-2</v>
      </c>
      <c r="K283" s="257">
        <f>IF($E283&lt;DATE(2018,7,1),"-",INDEX('Annual Inflation'!$AM$50:$BA$50, MATCH(YEAR(EOMONTH($E283,6)), 'Annual Inflation'!$AM$6:$BA$6, 0))/100)</f>
        <v>0.11584699426229506</v>
      </c>
      <c r="L283" s="258">
        <f t="shared" si="25"/>
        <v>120.5</v>
      </c>
      <c r="M283" s="258">
        <f t="shared" si="26"/>
        <v>340</v>
      </c>
      <c r="N283" s="258">
        <f t="shared" si="24"/>
        <v>340</v>
      </c>
    </row>
    <row r="284" spans="5:14" ht="15">
      <c r="E284" s="248">
        <v>44743</v>
      </c>
      <c r="F284" s="323">
        <f t="shared" si="20"/>
        <v>44773</v>
      </c>
      <c r="G284" s="159">
        <f t="shared" si="21"/>
        <v>2023</v>
      </c>
      <c r="H284" s="500">
        <v>121.2</v>
      </c>
      <c r="I284" s="500">
        <v>343.2</v>
      </c>
      <c r="J284" s="257">
        <f>IF($E284&lt;DATE(2018,7,1),"-",INDEX('Annual Inflation'!$AM$53:$BA$53, MATCH(YEAR(EOMONTH($E284,6)), 'Annual Inflation'!$AM$6:$BA$6, 0))/100)</f>
        <v>7.4553979567326234E-2</v>
      </c>
      <c r="K284" s="257">
        <f>IF($E284&lt;DATE(2018,7,1),"-",INDEX('Annual Inflation'!$AM$50:$BA$50, MATCH(YEAR(EOMONTH($E284,6)), 'Annual Inflation'!$AM$6:$BA$6, 0))/100)</f>
        <v>0.10007381931931292</v>
      </c>
      <c r="L284" s="258">
        <f t="shared" si="25"/>
        <v>121.2</v>
      </c>
      <c r="M284" s="258">
        <f t="shared" si="26"/>
        <v>343.2</v>
      </c>
      <c r="N284" s="258">
        <f t="shared" si="24"/>
        <v>343.2</v>
      </c>
    </row>
    <row r="285" spans="5:14" ht="15">
      <c r="E285" s="248">
        <v>44774</v>
      </c>
      <c r="F285" s="323">
        <f t="shared" si="20"/>
        <v>44804</v>
      </c>
      <c r="G285" s="159">
        <f t="shared" si="21"/>
        <v>2023</v>
      </c>
      <c r="H285" s="500">
        <v>121.8</v>
      </c>
      <c r="I285" s="500">
        <v>345.2</v>
      </c>
      <c r="J285" s="257">
        <f>IF($E285&lt;DATE(2018,7,1),"-",INDEX('Annual Inflation'!$AM$53:$BA$53, MATCH(YEAR(EOMONTH($E285,6)), 'Annual Inflation'!$AM$6:$BA$6, 0))/100)</f>
        <v>7.4553979567326234E-2</v>
      </c>
      <c r="K285" s="257">
        <f>IF($E285&lt;DATE(2018,7,1),"-",INDEX('Annual Inflation'!$AM$50:$BA$50, MATCH(YEAR(EOMONTH($E285,6)), 'Annual Inflation'!$AM$6:$BA$6, 0))/100)</f>
        <v>0.10007381931931292</v>
      </c>
      <c r="L285" s="258">
        <f t="shared" si="25"/>
        <v>121.8</v>
      </c>
      <c r="M285" s="258">
        <f t="shared" si="26"/>
        <v>345.2</v>
      </c>
      <c r="N285" s="258">
        <f t="shared" si="24"/>
        <v>345.2</v>
      </c>
    </row>
    <row r="286" spans="5:14" ht="15">
      <c r="E286" s="248">
        <v>44805</v>
      </c>
      <c r="F286" s="323">
        <f t="shared" si="20"/>
        <v>44834</v>
      </c>
      <c r="G286" s="159">
        <f t="shared" si="21"/>
        <v>2023</v>
      </c>
      <c r="H286" s="500">
        <v>122.3</v>
      </c>
      <c r="I286" s="500">
        <v>347.6</v>
      </c>
      <c r="J286" s="257">
        <f>IF($E286&lt;DATE(2018,7,1),"-",INDEX('Annual Inflation'!$AM$53:$BA$53, MATCH(YEAR(EOMONTH($E286,6)), 'Annual Inflation'!$AM$6:$BA$6, 0))/100)</f>
        <v>7.4553979567326234E-2</v>
      </c>
      <c r="K286" s="257">
        <f>IF($E286&lt;DATE(2018,7,1),"-",INDEX('Annual Inflation'!$AM$50:$BA$50, MATCH(YEAR(EOMONTH($E286,6)), 'Annual Inflation'!$AM$6:$BA$6, 0))/100)</f>
        <v>0.10007381931931292</v>
      </c>
      <c r="L286" s="258">
        <f t="shared" si="25"/>
        <v>122.3</v>
      </c>
      <c r="M286" s="258">
        <f t="shared" si="26"/>
        <v>347.6</v>
      </c>
      <c r="N286" s="258">
        <f t="shared" si="24"/>
        <v>347.6</v>
      </c>
    </row>
    <row r="287" spans="5:14" ht="15">
      <c r="E287" s="248">
        <v>44835</v>
      </c>
      <c r="F287" s="323">
        <f t="shared" si="20"/>
        <v>44865</v>
      </c>
      <c r="G287" s="159">
        <f t="shared" si="21"/>
        <v>2023</v>
      </c>
      <c r="H287" s="500">
        <v>124.3</v>
      </c>
      <c r="I287" s="500">
        <v>356.2</v>
      </c>
      <c r="J287" s="257">
        <f>IF($E287&lt;DATE(2018,7,1),"-",INDEX('Annual Inflation'!$AM$53:$BA$53, MATCH(YEAR(EOMONTH($E287,6)), 'Annual Inflation'!$AM$6:$BA$6, 0))/100)</f>
        <v>7.4553979567326234E-2</v>
      </c>
      <c r="K287" s="257">
        <f>IF($E287&lt;DATE(2018,7,1),"-",INDEX('Annual Inflation'!$AM$50:$BA$50, MATCH(YEAR(EOMONTH($E287,6)), 'Annual Inflation'!$AM$6:$BA$6, 0))/100)</f>
        <v>0.10007381931931292</v>
      </c>
      <c r="L287" s="258">
        <f t="shared" si="25"/>
        <v>124.3</v>
      </c>
      <c r="M287" s="258">
        <f t="shared" si="26"/>
        <v>356.2</v>
      </c>
      <c r="N287" s="258">
        <f t="shared" si="24"/>
        <v>356.2</v>
      </c>
    </row>
    <row r="288" spans="5:14" ht="15">
      <c r="E288" s="248">
        <v>44866</v>
      </c>
      <c r="F288" s="323">
        <f t="shared" si="20"/>
        <v>44895</v>
      </c>
      <c r="G288" s="159">
        <f t="shared" si="21"/>
        <v>2023</v>
      </c>
      <c r="H288" s="500">
        <v>124.8</v>
      </c>
      <c r="I288" s="500">
        <v>358.3</v>
      </c>
      <c r="J288" s="257">
        <f>IF($E288&lt;DATE(2018,7,1),"-",INDEX('Annual Inflation'!$AM$53:$BA$53, MATCH(YEAR(EOMONTH($E288,6)), 'Annual Inflation'!$AM$6:$BA$6, 0))/100)</f>
        <v>7.4553979567326234E-2</v>
      </c>
      <c r="K288" s="257">
        <f>IF($E288&lt;DATE(2018,7,1),"-",INDEX('Annual Inflation'!$AM$50:$BA$50, MATCH(YEAR(EOMONTH($E288,6)), 'Annual Inflation'!$AM$6:$BA$6, 0))/100)</f>
        <v>0.10007381931931292</v>
      </c>
      <c r="L288" s="258">
        <f t="shared" si="22"/>
        <v>124.8</v>
      </c>
      <c r="M288" s="258">
        <f t="shared" si="23"/>
        <v>358.3</v>
      </c>
      <c r="N288" s="258">
        <f t="shared" si="24"/>
        <v>358.3</v>
      </c>
    </row>
    <row r="289" spans="5:14" ht="15">
      <c r="E289" s="248">
        <v>44896</v>
      </c>
      <c r="F289" s="323">
        <f t="shared" si="20"/>
        <v>44926</v>
      </c>
      <c r="G289" s="159">
        <f t="shared" si="21"/>
        <v>2023</v>
      </c>
      <c r="H289" s="500">
        <v>125.3</v>
      </c>
      <c r="I289" s="500">
        <v>360.4</v>
      </c>
      <c r="J289" s="257">
        <f>IF($E289&lt;DATE(2018,7,1),"-",INDEX('Annual Inflation'!$AM$53:$BA$53, MATCH(YEAR(EOMONTH($E289,6)), 'Annual Inflation'!$AM$6:$BA$6, 0))/100)</f>
        <v>7.4553979567326234E-2</v>
      </c>
      <c r="K289" s="257">
        <f>IF($E289&lt;DATE(2018,7,1),"-",INDEX('Annual Inflation'!$AM$50:$BA$50, MATCH(YEAR(EOMONTH($E289,6)), 'Annual Inflation'!$AM$6:$BA$6, 0))/100)</f>
        <v>0.10007381931931292</v>
      </c>
      <c r="L289" s="258">
        <f t="shared" si="22"/>
        <v>125.3</v>
      </c>
      <c r="M289" s="258">
        <f t="shared" si="23"/>
        <v>360.4</v>
      </c>
      <c r="N289" s="258">
        <f t="shared" si="24"/>
        <v>360.4</v>
      </c>
    </row>
    <row r="290" spans="5:14" ht="15">
      <c r="E290" s="248">
        <v>44927</v>
      </c>
      <c r="F290" s="323">
        <f t="shared" si="20"/>
        <v>44957</v>
      </c>
      <c r="G290" s="159">
        <f t="shared" si="21"/>
        <v>2023</v>
      </c>
      <c r="H290" s="500">
        <v>124.8</v>
      </c>
      <c r="I290" s="500">
        <v>360.3</v>
      </c>
      <c r="J290" s="257">
        <f>IF($E290&lt;DATE(2018,7,1),"-",INDEX('Annual Inflation'!$AM$53:$BA$53, MATCH(YEAR(EOMONTH($E290,6)), 'Annual Inflation'!$AM$6:$BA$6, 0))/100)</f>
        <v>7.4553979567326234E-2</v>
      </c>
      <c r="K290" s="257">
        <f>IF($E290&lt;DATE(2018,7,1),"-",INDEX('Annual Inflation'!$AM$50:$BA$50, MATCH(YEAR(EOMONTH($E290,6)), 'Annual Inflation'!$AM$6:$BA$6, 0))/100)</f>
        <v>0.10007381931931292</v>
      </c>
      <c r="L290" s="258">
        <f t="shared" si="22"/>
        <v>124.8</v>
      </c>
      <c r="M290" s="258">
        <f t="shared" si="23"/>
        <v>360.3</v>
      </c>
      <c r="N290" s="258">
        <f t="shared" si="24"/>
        <v>360.3</v>
      </c>
    </row>
    <row r="291" spans="5:14" ht="15">
      <c r="E291" s="248">
        <v>44958</v>
      </c>
      <c r="F291" s="323">
        <f t="shared" si="20"/>
        <v>44985</v>
      </c>
      <c r="G291" s="159">
        <f t="shared" si="21"/>
        <v>2023</v>
      </c>
      <c r="H291" s="500">
        <v>126</v>
      </c>
      <c r="I291" s="500">
        <v>364.5</v>
      </c>
      <c r="J291" s="257">
        <f>IF($E291&lt;DATE(2018,7,1),"-",INDEX('Annual Inflation'!$AM$53:$BA$53, MATCH(YEAR(EOMONTH($E291,6)), 'Annual Inflation'!$AM$6:$BA$6, 0))/100)</f>
        <v>7.4553979567326234E-2</v>
      </c>
      <c r="K291" s="257">
        <f>IF($E291&lt;DATE(2018,7,1),"-",INDEX('Annual Inflation'!$AM$50:$BA$50, MATCH(YEAR(EOMONTH($E291,6)), 'Annual Inflation'!$AM$6:$BA$6, 0))/100)</f>
        <v>0.10007381931931292</v>
      </c>
      <c r="L291" s="258">
        <f t="shared" si="22"/>
        <v>126</v>
      </c>
      <c r="M291" s="258">
        <f t="shared" si="23"/>
        <v>364.5</v>
      </c>
      <c r="N291" s="258">
        <f t="shared" si="24"/>
        <v>364.5</v>
      </c>
    </row>
    <row r="292" spans="5:14" ht="15">
      <c r="E292" s="248">
        <v>44986</v>
      </c>
      <c r="F292" s="323">
        <f t="shared" si="20"/>
        <v>45016</v>
      </c>
      <c r="G292" s="159">
        <f t="shared" si="21"/>
        <v>2023</v>
      </c>
      <c r="H292" s="500">
        <v>126.8</v>
      </c>
      <c r="I292" s="500">
        <v>367.2</v>
      </c>
      <c r="J292" s="257">
        <f>IF($E292&lt;DATE(2018,7,1),"-",INDEX('Annual Inflation'!$AM$53:$BA$53, MATCH(YEAR(EOMONTH($E292,6)), 'Annual Inflation'!$AM$6:$BA$6, 0))/100)</f>
        <v>7.4553979567326234E-2</v>
      </c>
      <c r="K292" s="257">
        <f>IF($E292&lt;DATE(2018,7,1),"-",INDEX('Annual Inflation'!$AM$50:$BA$50, MATCH(YEAR(EOMONTH($E292,6)), 'Annual Inflation'!$AM$6:$BA$6, 0))/100)</f>
        <v>0.10007381931931292</v>
      </c>
      <c r="L292" s="258">
        <f t="shared" si="22"/>
        <v>126.8</v>
      </c>
      <c r="M292" s="258">
        <f t="shared" si="23"/>
        <v>367.2</v>
      </c>
      <c r="N292" s="258">
        <f t="shared" si="24"/>
        <v>367.2</v>
      </c>
    </row>
    <row r="293" spans="5:14" ht="15">
      <c r="E293" s="248">
        <v>45017</v>
      </c>
      <c r="F293" s="323">
        <f t="shared" si="20"/>
        <v>45046</v>
      </c>
      <c r="G293" s="159">
        <f t="shared" si="21"/>
        <v>2024</v>
      </c>
      <c r="H293" s="500">
        <v>128.30000000000001</v>
      </c>
      <c r="I293" s="500">
        <v>372.8</v>
      </c>
      <c r="J293" s="257">
        <f>IF($E293&lt;DATE(2018,7,1),"-",INDEX('Annual Inflation'!$AM$53:$BA$53, MATCH(YEAR(EOMONTH($E293,6)), 'Annual Inflation'!$AM$6:$BA$6, 0))/100)</f>
        <v>7.4553979567326234E-2</v>
      </c>
      <c r="K293" s="257">
        <f>IF($E293&lt;DATE(2018,7,1),"-",INDEX('Annual Inflation'!$AM$50:$BA$50, MATCH(YEAR(EOMONTH($E293,6)), 'Annual Inflation'!$AM$6:$BA$6, 0))/100)</f>
        <v>0.10007381931931292</v>
      </c>
      <c r="L293" s="258">
        <f t="shared" si="22"/>
        <v>128.30000000000001</v>
      </c>
      <c r="M293" s="258">
        <f t="shared" si="23"/>
        <v>372.8</v>
      </c>
      <c r="N293" s="258">
        <f t="shared" si="24"/>
        <v>372.17192429022083</v>
      </c>
    </row>
    <row r="294" spans="5:14" ht="15">
      <c r="E294" s="248">
        <v>45047</v>
      </c>
      <c r="F294" s="323">
        <f t="shared" si="20"/>
        <v>45077</v>
      </c>
      <c r="G294" s="159">
        <f t="shared" si="21"/>
        <v>2024</v>
      </c>
      <c r="H294" s="500">
        <v>129.1</v>
      </c>
      <c r="I294" s="500">
        <v>375.3</v>
      </c>
      <c r="J294" s="257">
        <f>IF($E294&lt;DATE(2018,7,1),"-",INDEX('Annual Inflation'!$AM$53:$BA$53, MATCH(YEAR(EOMONTH($E294,6)), 'Annual Inflation'!$AM$6:$BA$6, 0))/100)</f>
        <v>7.4553979567326234E-2</v>
      </c>
      <c r="K294" s="257">
        <f>IF($E294&lt;DATE(2018,7,1),"-",INDEX('Annual Inflation'!$AM$50:$BA$50, MATCH(YEAR(EOMONTH($E294,6)), 'Annual Inflation'!$AM$6:$BA$6, 0))/100)</f>
        <v>0.10007381931931292</v>
      </c>
      <c r="L294" s="258">
        <f t="shared" si="22"/>
        <v>129.1</v>
      </c>
      <c r="M294" s="258">
        <f t="shared" si="23"/>
        <v>375.3</v>
      </c>
      <c r="N294" s="258">
        <f t="shared" si="24"/>
        <v>374.49255982749423</v>
      </c>
    </row>
    <row r="295" spans="5:14" ht="15">
      <c r="E295" s="248">
        <v>45078</v>
      </c>
      <c r="F295" s="323">
        <f t="shared" si="20"/>
        <v>45107</v>
      </c>
      <c r="G295" s="159">
        <f t="shared" si="21"/>
        <v>2024</v>
      </c>
      <c r="H295" s="500">
        <v>129.4</v>
      </c>
      <c r="I295" s="500">
        <v>376.4</v>
      </c>
      <c r="J295" s="257">
        <f>IF($E295&lt;DATE(2018,7,1),"-",INDEX('Annual Inflation'!$AM$53:$BA$53, MATCH(YEAR(EOMONTH($E295,6)), 'Annual Inflation'!$AM$6:$BA$6, 0))/100)</f>
        <v>7.4553979567326234E-2</v>
      </c>
      <c r="K295" s="257">
        <f>IF($E295&lt;DATE(2018,7,1),"-",INDEX('Annual Inflation'!$AM$50:$BA$50, MATCH(YEAR(EOMONTH($E295,6)), 'Annual Inflation'!$AM$6:$BA$6, 0))/100)</f>
        <v>0.10007381931931292</v>
      </c>
      <c r="L295" s="258">
        <f t="shared" si="22"/>
        <v>129.4</v>
      </c>
      <c r="M295" s="258">
        <f t="shared" si="23"/>
        <v>376.4</v>
      </c>
      <c r="N295" s="258">
        <f t="shared" si="24"/>
        <v>375.36279815397182</v>
      </c>
    </row>
    <row r="296" spans="5:14" ht="15">
      <c r="E296" s="248">
        <v>45108</v>
      </c>
      <c r="F296" s="323">
        <f t="shared" si="20"/>
        <v>45138</v>
      </c>
      <c r="G296" s="159">
        <f t="shared" si="21"/>
        <v>2024</v>
      </c>
      <c r="H296" s="500"/>
      <c r="I296" s="500"/>
      <c r="J296" s="257">
        <f>IF($E296&lt;DATE(2018,7,1),"-",INDEX('Annual Inflation'!$AM$53:$BA$53, MATCH(YEAR(EOMONTH($E296,6)), 'Annual Inflation'!$AM$6:$BA$6, 0))/100)</f>
        <v>3.6114247777982333E-2</v>
      </c>
      <c r="K296" s="257">
        <f>IF($E296&lt;DATE(2018,7,1),"-",INDEX('Annual Inflation'!$AM$50:$BA$50, MATCH(YEAR(EOMONTH($E296,6)), 'Annual Inflation'!$AM$6:$BA$6, 0))/100)</f>
        <v>5.1192952208696019E-2</v>
      </c>
      <c r="L296" s="258">
        <f t="shared" si="22"/>
        <v>129.7831308723359</v>
      </c>
      <c r="M296" s="258">
        <f t="shared" si="23"/>
        <v>377.96926384280891</v>
      </c>
      <c r="N296" s="258">
        <f t="shared" si="24"/>
        <v>376.47418205118333</v>
      </c>
    </row>
    <row r="297" spans="5:14" ht="15">
      <c r="E297" s="248">
        <v>45139</v>
      </c>
      <c r="F297" s="323">
        <f t="shared" si="20"/>
        <v>45169</v>
      </c>
      <c r="G297" s="159">
        <f t="shared" si="21"/>
        <v>2024</v>
      </c>
      <c r="H297" s="500"/>
      <c r="I297" s="500"/>
      <c r="J297" s="257">
        <f>IF($E297&lt;DATE(2018,7,1),"-",INDEX('Annual Inflation'!$AM$53:$BA$53, MATCH(YEAR(EOMONTH($E297,6)), 'Annual Inflation'!$AM$6:$BA$6, 0))/100)</f>
        <v>3.6114247777982333E-2</v>
      </c>
      <c r="K297" s="257">
        <f>IF($E297&lt;DATE(2018,7,1),"-",INDEX('Annual Inflation'!$AM$50:$BA$50, MATCH(YEAR(EOMONTH($E297,6)), 'Annual Inflation'!$AM$6:$BA$6, 0))/100)</f>
        <v>5.1192952208696019E-2</v>
      </c>
      <c r="L297" s="258">
        <f t="shared" si="22"/>
        <v>130.16739612848428</v>
      </c>
      <c r="M297" s="258">
        <f t="shared" si="23"/>
        <v>379.54507016438606</v>
      </c>
      <c r="N297" s="258">
        <f t="shared" si="24"/>
        <v>377.5888565626301</v>
      </c>
    </row>
    <row r="298" spans="5:14" ht="15">
      <c r="E298" s="248">
        <v>45170</v>
      </c>
      <c r="F298" s="323">
        <f t="shared" si="20"/>
        <v>45199</v>
      </c>
      <c r="G298" s="159">
        <f t="shared" si="21"/>
        <v>2024</v>
      </c>
      <c r="H298" s="500"/>
      <c r="I298" s="500"/>
      <c r="J298" s="257">
        <f>IF($E298&lt;DATE(2018,7,1),"-",INDEX('Annual Inflation'!$AM$53:$BA$53, MATCH(YEAR(EOMONTH($E298,6)), 'Annual Inflation'!$AM$6:$BA$6, 0))/100)</f>
        <v>3.6114247777982333E-2</v>
      </c>
      <c r="K298" s="257">
        <f>IF($E298&lt;DATE(2018,7,1),"-",INDEX('Annual Inflation'!$AM$50:$BA$50, MATCH(YEAR(EOMONTH($E298,6)), 'Annual Inflation'!$AM$6:$BA$6, 0))/100)</f>
        <v>5.1192952208696019E-2</v>
      </c>
      <c r="L298" s="258">
        <f t="shared" si="22"/>
        <v>130.55279912715815</v>
      </c>
      <c r="M298" s="258">
        <f t="shared" si="23"/>
        <v>381.12744624123343</v>
      </c>
      <c r="N298" s="258">
        <f t="shared" si="24"/>
        <v>378.70683143124796</v>
      </c>
    </row>
    <row r="299" spans="5:14" ht="15">
      <c r="E299" s="248">
        <v>45200</v>
      </c>
      <c r="F299" s="323">
        <f t="shared" si="20"/>
        <v>45230</v>
      </c>
      <c r="G299" s="159">
        <f t="shared" si="21"/>
        <v>2024</v>
      </c>
      <c r="H299" s="500"/>
      <c r="I299" s="500"/>
      <c r="J299" s="257">
        <f>IF($E299&lt;DATE(2018,7,1),"-",INDEX('Annual Inflation'!$AM$53:$BA$53, MATCH(YEAR(EOMONTH($E299,6)), 'Annual Inflation'!$AM$6:$BA$6, 0))/100)</f>
        <v>3.6114247777982333E-2</v>
      </c>
      <c r="K299" s="257">
        <f>IF($E299&lt;DATE(2018,7,1),"-",INDEX('Annual Inflation'!$AM$50:$BA$50, MATCH(YEAR(EOMONTH($E299,6)), 'Annual Inflation'!$AM$6:$BA$6, 0))/100)</f>
        <v>5.1192952208696019E-2</v>
      </c>
      <c r="L299" s="258">
        <f t="shared" si="22"/>
        <v>130.93934323701504</v>
      </c>
      <c r="M299" s="258">
        <f t="shared" si="23"/>
        <v>382.71641946357261</v>
      </c>
      <c r="N299" s="258">
        <f t="shared" si="24"/>
        <v>379.82811642881995</v>
      </c>
    </row>
    <row r="300" spans="5:14" ht="15">
      <c r="E300" s="248">
        <v>45231</v>
      </c>
      <c r="F300" s="323">
        <f t="shared" si="20"/>
        <v>45260</v>
      </c>
      <c r="G300" s="159">
        <f t="shared" si="21"/>
        <v>2024</v>
      </c>
      <c r="H300" s="500"/>
      <c r="I300" s="500"/>
      <c r="J300" s="257">
        <f>IF($E300&lt;DATE(2018,7,1),"-",INDEX('Annual Inflation'!$AM$53:$BA$53, MATCH(YEAR(EOMONTH($E300,6)), 'Annual Inflation'!$AM$6:$BA$6, 0))/100)</f>
        <v>3.6114247777982333E-2</v>
      </c>
      <c r="K300" s="257">
        <f>IF($E300&lt;DATE(2018,7,1),"-",INDEX('Annual Inflation'!$AM$50:$BA$50, MATCH(YEAR(EOMONTH($E300,6)), 'Annual Inflation'!$AM$6:$BA$6, 0))/100)</f>
        <v>5.1192952208696019E-2</v>
      </c>
      <c r="L300" s="258">
        <f t="shared" si="22"/>
        <v>131.3270318366865</v>
      </c>
      <c r="M300" s="258">
        <f t="shared" si="23"/>
        <v>384.31201733581884</v>
      </c>
      <c r="N300" s="258">
        <f t="shared" si="24"/>
        <v>380.9527213560616</v>
      </c>
    </row>
    <row r="301" spans="5:14" ht="15">
      <c r="E301" s="248">
        <v>45261</v>
      </c>
      <c r="F301" s="323">
        <f t="shared" si="20"/>
        <v>45291</v>
      </c>
      <c r="G301" s="159">
        <f t="shared" si="21"/>
        <v>2024</v>
      </c>
      <c r="H301" s="500"/>
      <c r="I301" s="500"/>
      <c r="J301" s="257">
        <f>IF($E301&lt;DATE(2018,7,1),"-",INDEX('Annual Inflation'!$AM$53:$BA$53, MATCH(YEAR(EOMONTH($E301,6)), 'Annual Inflation'!$AM$6:$BA$6, 0))/100)</f>
        <v>3.6114247777982333E-2</v>
      </c>
      <c r="K301" s="257">
        <f>IF($E301&lt;DATE(2018,7,1),"-",INDEX('Annual Inflation'!$AM$50:$BA$50, MATCH(YEAR(EOMONTH($E301,6)), 'Annual Inflation'!$AM$6:$BA$6, 0))/100)</f>
        <v>5.1192952208696019E-2</v>
      </c>
      <c r="L301" s="258">
        <f t="shared" si="22"/>
        <v>131.71586831480761</v>
      </c>
      <c r="M301" s="258">
        <f t="shared" si="23"/>
        <v>385.91426747705702</v>
      </c>
      <c r="N301" s="258">
        <f t="shared" si="24"/>
        <v>382.08065604270672</v>
      </c>
    </row>
    <row r="302" spans="5:14" ht="15">
      <c r="E302" s="248">
        <v>45292</v>
      </c>
      <c r="F302" s="323">
        <f t="shared" si="20"/>
        <v>45322</v>
      </c>
      <c r="G302" s="159">
        <f t="shared" si="21"/>
        <v>2024</v>
      </c>
      <c r="H302" s="500"/>
      <c r="I302" s="500"/>
      <c r="J302" s="257">
        <f>IF($E302&lt;DATE(2018,7,1),"-",INDEX('Annual Inflation'!$AM$53:$BA$53, MATCH(YEAR(EOMONTH($E302,6)), 'Annual Inflation'!$AM$6:$BA$6, 0))/100)</f>
        <v>3.6114247777982333E-2</v>
      </c>
      <c r="K302" s="257">
        <f>IF($E302&lt;DATE(2018,7,1),"-",INDEX('Annual Inflation'!$AM$50:$BA$50, MATCH(YEAR(EOMONTH($E302,6)), 'Annual Inflation'!$AM$6:$BA$6, 0))/100)</f>
        <v>5.1192952208696019E-2</v>
      </c>
      <c r="L302" s="258">
        <f t="shared" si="22"/>
        <v>132.10585607004666</v>
      </c>
      <c r="M302" s="258">
        <f t="shared" si="23"/>
        <v>387.52319762151996</v>
      </c>
      <c r="N302" s="258">
        <f t="shared" si="24"/>
        <v>383.21193034759318</v>
      </c>
    </row>
    <row r="303" spans="5:14" ht="15">
      <c r="E303" s="248">
        <v>45323</v>
      </c>
      <c r="F303" s="323">
        <f t="shared" si="20"/>
        <v>45351</v>
      </c>
      <c r="G303" s="159">
        <f t="shared" si="21"/>
        <v>2024</v>
      </c>
      <c r="H303" s="500"/>
      <c r="I303" s="500"/>
      <c r="J303" s="257">
        <f>IF($E303&lt;DATE(2018,7,1),"-",INDEX('Annual Inflation'!$AM$53:$BA$53, MATCH(YEAR(EOMONTH($E303,6)), 'Annual Inflation'!$AM$6:$BA$6, 0))/100)</f>
        <v>3.6114247777982333E-2</v>
      </c>
      <c r="K303" s="257">
        <f>IF($E303&lt;DATE(2018,7,1),"-",INDEX('Annual Inflation'!$AM$50:$BA$50, MATCH(YEAR(EOMONTH($E303,6)), 'Annual Inflation'!$AM$6:$BA$6, 0))/100)</f>
        <v>5.1192952208696019E-2</v>
      </c>
      <c r="L303" s="258">
        <f t="shared" si="22"/>
        <v>132.49699851113473</v>
      </c>
      <c r="M303" s="258">
        <f t="shared" si="23"/>
        <v>389.13883561906817</v>
      </c>
      <c r="N303" s="258">
        <f t="shared" si="24"/>
        <v>384.3465541587492</v>
      </c>
    </row>
    <row r="304" spans="5:14" ht="15">
      <c r="E304" s="248">
        <v>45352</v>
      </c>
      <c r="F304" s="323">
        <f t="shared" si="20"/>
        <v>45382</v>
      </c>
      <c r="G304" s="159">
        <f t="shared" si="21"/>
        <v>2024</v>
      </c>
      <c r="H304" s="500"/>
      <c r="I304" s="500"/>
      <c r="J304" s="257">
        <f>IF($E304&lt;DATE(2018,7,1),"-",INDEX('Annual Inflation'!$AM$53:$BA$53, MATCH(YEAR(EOMONTH($E304,6)), 'Annual Inflation'!$AM$6:$BA$6, 0))/100)</f>
        <v>3.6114247777982333E-2</v>
      </c>
      <c r="K304" s="257">
        <f>IF($E304&lt;DATE(2018,7,1),"-",INDEX('Annual Inflation'!$AM$50:$BA$50, MATCH(YEAR(EOMONTH($E304,6)), 'Annual Inflation'!$AM$6:$BA$6, 0))/100)</f>
        <v>5.1192952208696019E-2</v>
      </c>
      <c r="L304" s="258">
        <f t="shared" si="22"/>
        <v>132.88929905689562</v>
      </c>
      <c r="M304" s="258">
        <f t="shared" si="23"/>
        <v>390.76120943567224</v>
      </c>
      <c r="N304" s="258">
        <f t="shared" si="24"/>
        <v>385.48453739347974</v>
      </c>
    </row>
    <row r="305" spans="5:14" ht="15">
      <c r="E305" s="248">
        <v>45383</v>
      </c>
      <c r="F305" s="323">
        <f t="shared" si="20"/>
        <v>45412</v>
      </c>
      <c r="G305" s="159">
        <f t="shared" si="21"/>
        <v>2025</v>
      </c>
      <c r="H305" s="500"/>
      <c r="I305" s="500"/>
      <c r="J305" s="257">
        <f>IF($E305&lt;DATE(2018,7,1),"-",INDEX('Annual Inflation'!$AM$53:$BA$53, MATCH(YEAR(EOMONTH($E305,6)), 'Annual Inflation'!$AM$6:$BA$6, 0))/100)</f>
        <v>3.6114247777982333E-2</v>
      </c>
      <c r="K305" s="257">
        <f>IF($E305&lt;DATE(2018,7,1),"-",INDEX('Annual Inflation'!$AM$50:$BA$50, MATCH(YEAR(EOMONTH($E305,6)), 'Annual Inflation'!$AM$6:$BA$6, 0))/100)</f>
        <v>5.1192952208696019E-2</v>
      </c>
      <c r="L305" s="258">
        <f t="shared" si="22"/>
        <v>133.28276113627564</v>
      </c>
      <c r="M305" s="258">
        <f t="shared" si="23"/>
        <v>392.3903471538967</v>
      </c>
      <c r="N305" s="258">
        <f t="shared" si="24"/>
        <v>386.62588999845315</v>
      </c>
    </row>
    <row r="306" spans="5:14" ht="15">
      <c r="E306" s="248">
        <v>45413</v>
      </c>
      <c r="F306" s="323">
        <f t="shared" si="20"/>
        <v>45443</v>
      </c>
      <c r="G306" s="159">
        <f t="shared" si="21"/>
        <v>2025</v>
      </c>
      <c r="H306" s="500"/>
      <c r="I306" s="500"/>
      <c r="J306" s="257">
        <f>IF($E306&lt;DATE(2018,7,1),"-",INDEX('Annual Inflation'!$AM$53:$BA$53, MATCH(YEAR(EOMONTH($E306,6)), 'Annual Inflation'!$AM$6:$BA$6, 0))/100)</f>
        <v>3.6114247777982333E-2</v>
      </c>
      <c r="K306" s="257">
        <f>IF($E306&lt;DATE(2018,7,1),"-",INDEX('Annual Inflation'!$AM$50:$BA$50, MATCH(YEAR(EOMONTH($E306,6)), 'Annual Inflation'!$AM$6:$BA$6, 0))/100)</f>
        <v>5.1192952208696019E-2</v>
      </c>
      <c r="L306" s="258">
        <f t="shared" si="22"/>
        <v>133.67738818837361</v>
      </c>
      <c r="M306" s="258">
        <f t="shared" si="23"/>
        <v>394.02627697338619</v>
      </c>
      <c r="N306" s="258">
        <f t="shared" si="24"/>
        <v>387.77062194978811</v>
      </c>
    </row>
    <row r="307" spans="5:14" ht="15">
      <c r="E307" s="248">
        <v>45444</v>
      </c>
      <c r="F307" s="323">
        <f t="shared" si="20"/>
        <v>45473</v>
      </c>
      <c r="G307" s="159">
        <f t="shared" si="21"/>
        <v>2025</v>
      </c>
      <c r="H307" s="500"/>
      <c r="I307" s="500"/>
      <c r="J307" s="257">
        <f>IF($E307&lt;DATE(2018,7,1),"-",INDEX('Annual Inflation'!$AM$53:$BA$53, MATCH(YEAR(EOMONTH($E307,6)), 'Annual Inflation'!$AM$6:$BA$6, 0))/100)</f>
        <v>3.6114247777982333E-2</v>
      </c>
      <c r="K307" s="257">
        <f>IF($E307&lt;DATE(2018,7,1),"-",INDEX('Annual Inflation'!$AM$50:$BA$50, MATCH(YEAR(EOMONTH($E307,6)), 'Annual Inflation'!$AM$6:$BA$6, 0))/100)</f>
        <v>5.1192952208696019E-2</v>
      </c>
      <c r="L307" s="258">
        <f t="shared" si="22"/>
        <v>134.07318366247094</v>
      </c>
      <c r="M307" s="258">
        <f t="shared" si="23"/>
        <v>395.66902721135364</v>
      </c>
      <c r="N307" s="258">
        <f t="shared" si="24"/>
        <v>388.91874325314092</v>
      </c>
    </row>
    <row r="308" spans="5:14" ht="15">
      <c r="E308" s="248">
        <v>45474</v>
      </c>
      <c r="F308" s="323">
        <f t="shared" si="20"/>
        <v>45504</v>
      </c>
      <c r="G308" s="159">
        <f t="shared" si="21"/>
        <v>2025</v>
      </c>
      <c r="H308" s="500"/>
      <c r="I308" s="500"/>
      <c r="J308" s="257">
        <f>IF($E308&lt;DATE(2018,7,1),"-",INDEX('Annual Inflation'!$AM$53:$BA$53, MATCH(YEAR(EOMONTH($E308,6)), 'Annual Inflation'!$AM$6:$BA$6, 0))/100)</f>
        <v>1.7760878895190846E-2</v>
      </c>
      <c r="K308" s="257">
        <f>IF($E308&lt;DATE(2018,7,1),"-",INDEX('Annual Inflation'!$AM$50:$BA$50, MATCH(YEAR(EOMONTH($E308,6)), 'Annual Inflation'!$AM$6:$BA$6, 0))/100)</f>
        <v>2.5996271122782799E-2</v>
      </c>
      <c r="L308" s="258">
        <f t="shared" si="22"/>
        <v>134.27002452345565</v>
      </c>
      <c r="M308" s="258">
        <f t="shared" si="23"/>
        <v>396.51614060328797</v>
      </c>
      <c r="N308" s="258">
        <f t="shared" si="24"/>
        <v>389.48973812462668</v>
      </c>
    </row>
    <row r="309" spans="5:14" ht="15">
      <c r="E309" s="248">
        <v>45505</v>
      </c>
      <c r="F309" s="323">
        <f t="shared" si="20"/>
        <v>45535</v>
      </c>
      <c r="G309" s="159">
        <f t="shared" si="21"/>
        <v>2025</v>
      </c>
      <c r="H309" s="500"/>
      <c r="I309" s="500"/>
      <c r="J309" s="257">
        <f>IF($E309&lt;DATE(2018,7,1),"-",INDEX('Annual Inflation'!$AM$53:$BA$53, MATCH(YEAR(EOMONTH($E309,6)), 'Annual Inflation'!$AM$6:$BA$6, 0))/100)</f>
        <v>1.7760878895190846E-2</v>
      </c>
      <c r="K309" s="257">
        <f>IF($E309&lt;DATE(2018,7,1),"-",INDEX('Annual Inflation'!$AM$50:$BA$50, MATCH(YEAR(EOMONTH($E309,6)), 'Annual Inflation'!$AM$6:$BA$6, 0))/100)</f>
        <v>2.5996271122782799E-2</v>
      </c>
      <c r="L309" s="258">
        <f t="shared" si="22"/>
        <v>134.46715437828308</v>
      </c>
      <c r="M309" s="258">
        <f t="shared" si="23"/>
        <v>397.36506763503093</v>
      </c>
      <c r="N309" s="258">
        <f t="shared" si="24"/>
        <v>390.0615713078393</v>
      </c>
    </row>
    <row r="310" spans="5:14" ht="15">
      <c r="E310" s="248">
        <v>45536</v>
      </c>
      <c r="F310" s="323">
        <f t="shared" si="20"/>
        <v>45565</v>
      </c>
      <c r="G310" s="159">
        <f t="shared" si="21"/>
        <v>2025</v>
      </c>
      <c r="H310" s="500"/>
      <c r="I310" s="500"/>
      <c r="J310" s="257">
        <f>IF($E310&lt;DATE(2018,7,1),"-",INDEX('Annual Inflation'!$AM$53:$BA$53, MATCH(YEAR(EOMONTH($E310,6)), 'Annual Inflation'!$AM$6:$BA$6, 0))/100)</f>
        <v>1.7760878895190846E-2</v>
      </c>
      <c r="K310" s="257">
        <f>IF($E310&lt;DATE(2018,7,1),"-",INDEX('Annual Inflation'!$AM$50:$BA$50, MATCH(YEAR(EOMONTH($E310,6)), 'Annual Inflation'!$AM$6:$BA$6, 0))/100)</f>
        <v>2.5996271122782799E-2</v>
      </c>
      <c r="L310" s="258">
        <f t="shared" si="22"/>
        <v>134.66457365124239</v>
      </c>
      <c r="M310" s="258">
        <f t="shared" si="23"/>
        <v>398.21581218952116</v>
      </c>
      <c r="N310" s="258">
        <f t="shared" si="24"/>
        <v>390.63424403355435</v>
      </c>
    </row>
    <row r="311" spans="5:14" ht="15">
      <c r="E311" s="248">
        <v>45566</v>
      </c>
      <c r="F311" s="323">
        <f t="shared" si="20"/>
        <v>45596</v>
      </c>
      <c r="G311" s="159">
        <f t="shared" si="21"/>
        <v>2025</v>
      </c>
      <c r="H311" s="500"/>
      <c r="I311" s="500"/>
      <c r="J311" s="257">
        <f>IF($E311&lt;DATE(2018,7,1),"-",INDEX('Annual Inflation'!$AM$53:$BA$53, MATCH(YEAR(EOMONTH($E311,6)), 'Annual Inflation'!$AM$6:$BA$6, 0))/100)</f>
        <v>1.7760878895190846E-2</v>
      </c>
      <c r="K311" s="257">
        <f>IF($E311&lt;DATE(2018,7,1),"-",INDEX('Annual Inflation'!$AM$50:$BA$50, MATCH(YEAR(EOMONTH($E311,6)), 'Annual Inflation'!$AM$6:$BA$6, 0))/100)</f>
        <v>2.5996271122782799E-2</v>
      </c>
      <c r="L311" s="258">
        <f t="shared" si="22"/>
        <v>134.86228276724563</v>
      </c>
      <c r="M311" s="258">
        <f t="shared" si="23"/>
        <v>399.06837815801066</v>
      </c>
      <c r="N311" s="258">
        <f t="shared" si="24"/>
        <v>391.20775753435441</v>
      </c>
    </row>
    <row r="312" spans="5:14" ht="15">
      <c r="E312" s="248">
        <v>45597</v>
      </c>
      <c r="F312" s="323">
        <f t="shared" si="20"/>
        <v>45626</v>
      </c>
      <c r="G312" s="159">
        <f t="shared" si="21"/>
        <v>2025</v>
      </c>
      <c r="H312" s="500"/>
      <c r="I312" s="500"/>
      <c r="J312" s="257">
        <f>IF($E312&lt;DATE(2018,7,1),"-",INDEX('Annual Inflation'!$AM$53:$BA$53, MATCH(YEAR(EOMONTH($E312,6)), 'Annual Inflation'!$AM$6:$BA$6, 0))/100)</f>
        <v>1.7760878895190846E-2</v>
      </c>
      <c r="K312" s="257">
        <f>IF($E312&lt;DATE(2018,7,1),"-",INDEX('Annual Inflation'!$AM$50:$BA$50, MATCH(YEAR(EOMONTH($E312,6)), 'Annual Inflation'!$AM$6:$BA$6, 0))/100)</f>
        <v>2.5996271122782799E-2</v>
      </c>
      <c r="L312" s="258">
        <f t="shared" si="22"/>
        <v>135.06028215182874</v>
      </c>
      <c r="M312" s="258">
        <f t="shared" si="23"/>
        <v>399.92276944008233</v>
      </c>
      <c r="N312" s="258">
        <f t="shared" si="24"/>
        <v>391.78211304463167</v>
      </c>
    </row>
    <row r="313" spans="5:14" ht="15">
      <c r="E313" s="248">
        <v>45627</v>
      </c>
      <c r="F313" s="323">
        <f t="shared" si="20"/>
        <v>45657</v>
      </c>
      <c r="G313" s="159">
        <f t="shared" si="21"/>
        <v>2025</v>
      </c>
      <c r="H313" s="500"/>
      <c r="I313" s="500"/>
      <c r="J313" s="257">
        <f>IF($E313&lt;DATE(2018,7,1),"-",INDEX('Annual Inflation'!$AM$53:$BA$53, MATCH(YEAR(EOMONTH($E313,6)), 'Annual Inflation'!$AM$6:$BA$6, 0))/100)</f>
        <v>1.7760878895190846E-2</v>
      </c>
      <c r="K313" s="257">
        <f>IF($E313&lt;DATE(2018,7,1),"-",INDEX('Annual Inflation'!$AM$50:$BA$50, MATCH(YEAR(EOMONTH($E313,6)), 'Annual Inflation'!$AM$6:$BA$6, 0))/100)</f>
        <v>2.5996271122782799E-2</v>
      </c>
      <c r="L313" s="258">
        <f t="shared" si="22"/>
        <v>135.25857223115239</v>
      </c>
      <c r="M313" s="258">
        <f t="shared" si="23"/>
        <v>400.77898994366797</v>
      </c>
      <c r="N313" s="258">
        <f t="shared" si="24"/>
        <v>392.35731180059065</v>
      </c>
    </row>
    <row r="314" spans="5:14" ht="15">
      <c r="E314" s="248">
        <v>45658</v>
      </c>
      <c r="F314" s="323">
        <f t="shared" si="20"/>
        <v>45688</v>
      </c>
      <c r="G314" s="159">
        <f t="shared" si="21"/>
        <v>2025</v>
      </c>
      <c r="H314" s="500"/>
      <c r="I314" s="500"/>
      <c r="J314" s="257">
        <f>IF($E314&lt;DATE(2018,7,1),"-",INDEX('Annual Inflation'!$AM$53:$BA$53, MATCH(YEAR(EOMONTH($E314,6)), 'Annual Inflation'!$AM$6:$BA$6, 0))/100)</f>
        <v>1.7760878895190846E-2</v>
      </c>
      <c r="K314" s="257">
        <f>IF($E314&lt;DATE(2018,7,1),"-",INDEX('Annual Inflation'!$AM$50:$BA$50, MATCH(YEAR(EOMONTH($E314,6)), 'Annual Inflation'!$AM$6:$BA$6, 0))/100)</f>
        <v>2.5996271122782799E-2</v>
      </c>
      <c r="L314" s="258">
        <f t="shared" si="22"/>
        <v>135.45715343200288</v>
      </c>
      <c r="M314" s="258">
        <f t="shared" si="23"/>
        <v>401.63704358506618</v>
      </c>
      <c r="N314" s="258">
        <f t="shared" si="24"/>
        <v>392.93335504025077</v>
      </c>
    </row>
    <row r="315" spans="5:14" ht="15">
      <c r="E315" s="248">
        <v>45689</v>
      </c>
      <c r="F315" s="323">
        <f t="shared" si="20"/>
        <v>45716</v>
      </c>
      <c r="G315" s="159">
        <f t="shared" si="21"/>
        <v>2025</v>
      </c>
      <c r="H315" s="500"/>
      <c r="I315" s="500"/>
      <c r="J315" s="257">
        <f>IF($E315&lt;DATE(2018,7,1),"-",INDEX('Annual Inflation'!$AM$53:$BA$53, MATCH(YEAR(EOMONTH($E315,6)), 'Annual Inflation'!$AM$6:$BA$6, 0))/100)</f>
        <v>1.7760878895190846E-2</v>
      </c>
      <c r="K315" s="257">
        <f>IF($E315&lt;DATE(2018,7,1),"-",INDEX('Annual Inflation'!$AM$50:$BA$50, MATCH(YEAR(EOMONTH($E315,6)), 'Annual Inflation'!$AM$6:$BA$6, 0))/100)</f>
        <v>2.5996271122782799E-2</v>
      </c>
      <c r="L315" s="258">
        <f t="shared" si="22"/>
        <v>135.65602618179315</v>
      </c>
      <c r="M315" s="258">
        <f t="shared" si="23"/>
        <v>402.49693428896012</v>
      </c>
      <c r="N315" s="258">
        <f t="shared" si="24"/>
        <v>393.51024400344903</v>
      </c>
    </row>
    <row r="316" spans="5:14" ht="15">
      <c r="E316" s="248">
        <v>45717</v>
      </c>
      <c r="F316" s="323">
        <f t="shared" si="20"/>
        <v>45747</v>
      </c>
      <c r="G316" s="159">
        <f t="shared" si="21"/>
        <v>2025</v>
      </c>
      <c r="H316" s="500"/>
      <c r="I316" s="500"/>
      <c r="J316" s="257">
        <f>IF($E316&lt;DATE(2018,7,1),"-",INDEX('Annual Inflation'!$AM$53:$BA$53, MATCH(YEAR(EOMONTH($E316,6)), 'Annual Inflation'!$AM$6:$BA$6, 0))/100)</f>
        <v>1.7760878895190846E-2</v>
      </c>
      <c r="K316" s="257">
        <f>IF($E316&lt;DATE(2018,7,1),"-",INDEX('Annual Inflation'!$AM$50:$BA$50, MATCH(YEAR(EOMONTH($E316,6)), 'Annual Inflation'!$AM$6:$BA$6, 0))/100)</f>
        <v>2.5996271122782799E-2</v>
      </c>
      <c r="L316" s="258">
        <f t="shared" si="22"/>
        <v>135.85519090856366</v>
      </c>
      <c r="M316" s="258">
        <f t="shared" si="23"/>
        <v>403.35866598843569</v>
      </c>
      <c r="N316" s="258">
        <f t="shared" si="24"/>
        <v>394.08797993184277</v>
      </c>
    </row>
    <row r="317" spans="5:14" ht="15">
      <c r="E317" s="248">
        <v>45748</v>
      </c>
      <c r="F317" s="323">
        <f t="shared" si="20"/>
        <v>45777</v>
      </c>
      <c r="G317" s="159">
        <f t="shared" si="21"/>
        <v>2026</v>
      </c>
      <c r="H317" s="500"/>
      <c r="I317" s="500"/>
      <c r="J317" s="257">
        <f>IF($E317&lt;DATE(2018,7,1),"-",INDEX('Annual Inflation'!$AM$53:$BA$53, MATCH(YEAR(EOMONTH($E317,6)), 'Annual Inflation'!$AM$6:$BA$6, 0))/100)</f>
        <v>1.7760878895190846E-2</v>
      </c>
      <c r="K317" s="257">
        <f>IF($E317&lt;DATE(2018,7,1),"-",INDEX('Annual Inflation'!$AM$50:$BA$50, MATCH(YEAR(EOMONTH($E317,6)), 'Annual Inflation'!$AM$6:$BA$6, 0))/100)</f>
        <v>2.5996271122782799E-2</v>
      </c>
      <c r="L317" s="258">
        <f t="shared" si="22"/>
        <v>136.05464804098327</v>
      </c>
      <c r="M317" s="258">
        <f t="shared" si="23"/>
        <v>404.22224262499924</v>
      </c>
      <c r="N317" s="258">
        <f t="shared" si="24"/>
        <v>394.66656406891224</v>
      </c>
    </row>
    <row r="318" spans="5:14" ht="15">
      <c r="E318" s="248">
        <v>45778</v>
      </c>
      <c r="F318" s="323">
        <f t="shared" si="20"/>
        <v>45808</v>
      </c>
      <c r="G318" s="159">
        <f t="shared" si="21"/>
        <v>2026</v>
      </c>
      <c r="H318" s="500"/>
      <c r="I318" s="500"/>
      <c r="J318" s="257">
        <f>IF($E318&lt;DATE(2018,7,1),"-",INDEX('Annual Inflation'!$AM$53:$BA$53, MATCH(YEAR(EOMONTH($E318,6)), 'Annual Inflation'!$AM$6:$BA$6, 0))/100)</f>
        <v>1.7760878895190846E-2</v>
      </c>
      <c r="K318" s="257">
        <f>IF($E318&lt;DATE(2018,7,1),"-",INDEX('Annual Inflation'!$AM$50:$BA$50, MATCH(YEAR(EOMONTH($E318,6)), 'Annual Inflation'!$AM$6:$BA$6, 0))/100)</f>
        <v>2.5996271122782799E-2</v>
      </c>
      <c r="L318" s="258">
        <f t="shared" si="22"/>
        <v>136.25439800835019</v>
      </c>
      <c r="M318" s="258">
        <f t="shared" si="23"/>
        <v>405.08766814859587</v>
      </c>
      <c r="N318" s="258">
        <f t="shared" si="24"/>
        <v>395.24599765996334</v>
      </c>
    </row>
    <row r="319" spans="5:14" ht="15">
      <c r="E319" s="248">
        <v>45809</v>
      </c>
      <c r="F319" s="323">
        <f t="shared" si="20"/>
        <v>45838</v>
      </c>
      <c r="G319" s="159">
        <f t="shared" si="21"/>
        <v>2026</v>
      </c>
      <c r="H319" s="500"/>
      <c r="I319" s="500"/>
      <c r="J319" s="257">
        <f>IF($E319&lt;DATE(2018,7,1),"-",INDEX('Annual Inflation'!$AM$53:$BA$53, MATCH(YEAR(EOMONTH($E319,6)), 'Annual Inflation'!$AM$6:$BA$6, 0))/100)</f>
        <v>1.7760878895190846E-2</v>
      </c>
      <c r="K319" s="257">
        <f>IF($E319&lt;DATE(2018,7,1),"-",INDEX('Annual Inflation'!$AM$50:$BA$50, MATCH(YEAR(EOMONTH($E319,6)), 'Annual Inflation'!$AM$6:$BA$6, 0))/100)</f>
        <v>2.5996271122782799E-2</v>
      </c>
      <c r="L319" s="258">
        <f t="shared" si="22"/>
        <v>136.45444124059296</v>
      </c>
      <c r="M319" s="258">
        <f t="shared" si="23"/>
        <v>405.95494651762732</v>
      </c>
      <c r="N319" s="258">
        <f t="shared" si="24"/>
        <v>395.82628195213027</v>
      </c>
    </row>
    <row r="320" spans="5:14" ht="15">
      <c r="E320" s="248">
        <v>45839</v>
      </c>
      <c r="F320" s="323">
        <f t="shared" si="20"/>
        <v>45869</v>
      </c>
      <c r="G320" s="159">
        <f t="shared" si="21"/>
        <v>2026</v>
      </c>
      <c r="H320" s="500"/>
      <c r="I320" s="500"/>
      <c r="J320" s="257">
        <f>IF($E320&lt;DATE(2018,7,1),"-",INDEX('Annual Inflation'!$AM$53:$BA$53, MATCH(YEAR(EOMONTH($E320,6)), 'Annual Inflation'!$AM$6:$BA$6, 0))/100)</f>
        <v>1.446667906451915E-2</v>
      </c>
      <c r="K320" s="257">
        <f>IF($E320&lt;DATE(2018,7,1),"-",INDEX('Annual Inflation'!$AM$50:$BA$50, MATCH(YEAR(EOMONTH($E320,6)), 'Annual Inflation'!$AM$6:$BA$6, 0))/100)</f>
        <v>2.5121856232399598E-2</v>
      </c>
      <c r="L320" s="258">
        <f t="shared" si="22"/>
        <v>136.61786401664347</v>
      </c>
      <c r="M320" s="258">
        <f t="shared" si="23"/>
        <v>406.79517710508418</v>
      </c>
      <c r="N320" s="258">
        <f t="shared" si="24"/>
        <v>396.30033782925864</v>
      </c>
    </row>
    <row r="321" spans="5:14" ht="15">
      <c r="E321" s="248">
        <v>45870</v>
      </c>
      <c r="F321" s="323">
        <f t="shared" si="20"/>
        <v>45900</v>
      </c>
      <c r="G321" s="159">
        <f t="shared" si="21"/>
        <v>2026</v>
      </c>
      <c r="H321" s="500"/>
      <c r="I321" s="500"/>
      <c r="J321" s="257">
        <f>IF($E321&lt;DATE(2018,7,1),"-",INDEX('Annual Inflation'!$AM$53:$BA$53, MATCH(YEAR(EOMONTH($E321,6)), 'Annual Inflation'!$AM$6:$BA$6, 0))/100)</f>
        <v>1.446667906451915E-2</v>
      </c>
      <c r="K321" s="257">
        <f>IF($E321&lt;DATE(2018,7,1),"-",INDEX('Annual Inflation'!$AM$50:$BA$50, MATCH(YEAR(EOMONTH($E321,6)), 'Annual Inflation'!$AM$6:$BA$6, 0))/100)</f>
        <v>2.5121856232399598E-2</v>
      </c>
      <c r="L321" s="258">
        <f t="shared" si="22"/>
        <v>136.78148251372357</v>
      </c>
      <c r="M321" s="258">
        <f t="shared" si="23"/>
        <v>407.6371467708455</v>
      </c>
      <c r="N321" s="258">
        <f t="shared" si="24"/>
        <v>396.77496145285784</v>
      </c>
    </row>
    <row r="322" spans="5:14" ht="15">
      <c r="E322" s="248">
        <v>45901</v>
      </c>
      <c r="F322" s="323">
        <f t="shared" si="20"/>
        <v>45930</v>
      </c>
      <c r="G322" s="159">
        <f t="shared" si="21"/>
        <v>2026</v>
      </c>
      <c r="H322" s="500"/>
      <c r="I322" s="500"/>
      <c r="J322" s="257">
        <f>IF($E322&lt;DATE(2018,7,1),"-",INDEX('Annual Inflation'!$AM$53:$BA$53, MATCH(YEAR(EOMONTH($E322,6)), 'Annual Inflation'!$AM$6:$BA$6, 0))/100)</f>
        <v>1.446667906451915E-2</v>
      </c>
      <c r="K322" s="257">
        <f>IF($E322&lt;DATE(2018,7,1),"-",INDEX('Annual Inflation'!$AM$50:$BA$50, MATCH(YEAR(EOMONTH($E322,6)), 'Annual Inflation'!$AM$6:$BA$6, 0))/100)</f>
        <v>2.5121856232399598E-2</v>
      </c>
      <c r="L322" s="258">
        <f t="shared" si="22"/>
        <v>136.94529696623587</v>
      </c>
      <c r="M322" s="258">
        <f t="shared" si="23"/>
        <v>408.48085911439154</v>
      </c>
      <c r="N322" s="258">
        <f t="shared" si="24"/>
        <v>397.25015350288157</v>
      </c>
    </row>
    <row r="323" spans="5:14" ht="15">
      <c r="E323" s="248">
        <v>45931</v>
      </c>
      <c r="F323" s="323">
        <f t="shared" si="20"/>
        <v>45961</v>
      </c>
      <c r="G323" s="159">
        <f t="shared" si="21"/>
        <v>2026</v>
      </c>
      <c r="H323" s="500"/>
      <c r="I323" s="500"/>
      <c r="J323" s="257">
        <f>IF($E323&lt;DATE(2018,7,1),"-",INDEX('Annual Inflation'!$AM$53:$BA$53, MATCH(YEAR(EOMONTH($E323,6)), 'Annual Inflation'!$AM$6:$BA$6, 0))/100)</f>
        <v>1.446667906451915E-2</v>
      </c>
      <c r="K323" s="257">
        <f>IF($E323&lt;DATE(2018,7,1),"-",INDEX('Annual Inflation'!$AM$50:$BA$50, MATCH(YEAR(EOMONTH($E323,6)), 'Annual Inflation'!$AM$6:$BA$6, 0))/100)</f>
        <v>2.5121856232399598E-2</v>
      </c>
      <c r="L323" s="258">
        <f t="shared" si="22"/>
        <v>137.10930760886365</v>
      </c>
      <c r="M323" s="258">
        <f t="shared" si="23"/>
        <v>409.32631774265252</v>
      </c>
      <c r="N323" s="258">
        <f t="shared" si="24"/>
        <v>397.72591466009794</v>
      </c>
    </row>
    <row r="324" spans="5:14" ht="15">
      <c r="E324" s="248">
        <v>45962</v>
      </c>
      <c r="F324" s="323">
        <f t="shared" si="20"/>
        <v>45991</v>
      </c>
      <c r="G324" s="159">
        <f t="shared" si="21"/>
        <v>2026</v>
      </c>
      <c r="H324" s="500"/>
      <c r="I324" s="500"/>
      <c r="J324" s="257">
        <f>IF($E324&lt;DATE(2018,7,1),"-",INDEX('Annual Inflation'!$AM$53:$BA$53, MATCH(YEAR(EOMONTH($E324,6)), 'Annual Inflation'!$AM$6:$BA$6, 0))/100)</f>
        <v>1.446667906451915E-2</v>
      </c>
      <c r="K324" s="257">
        <f>IF($E324&lt;DATE(2018,7,1),"-",INDEX('Annual Inflation'!$AM$50:$BA$50, MATCH(YEAR(EOMONTH($E324,6)), 'Annual Inflation'!$AM$6:$BA$6, 0))/100)</f>
        <v>2.5121856232399598E-2</v>
      </c>
      <c r="L324" s="258">
        <f t="shared" si="22"/>
        <v>137.2735146765713</v>
      </c>
      <c r="M324" s="258">
        <f t="shared" si="23"/>
        <v>410.17352627002418</v>
      </c>
      <c r="N324" s="258">
        <f t="shared" si="24"/>
        <v>398.20224560609023</v>
      </c>
    </row>
    <row r="325" spans="5:14" ht="15">
      <c r="E325" s="248">
        <v>45992</v>
      </c>
      <c r="F325" s="323">
        <f t="shared" si="20"/>
        <v>46022</v>
      </c>
      <c r="G325" s="159">
        <f t="shared" si="21"/>
        <v>2026</v>
      </c>
      <c r="H325" s="500"/>
      <c r="I325" s="500"/>
      <c r="J325" s="257">
        <f>IF($E325&lt;DATE(2018,7,1),"-",INDEX('Annual Inflation'!$AM$53:$BA$53, MATCH(YEAR(EOMONTH($E325,6)), 'Annual Inflation'!$AM$6:$BA$6, 0))/100)</f>
        <v>1.446667906451915E-2</v>
      </c>
      <c r="K325" s="257">
        <f>IF($E325&lt;DATE(2018,7,1),"-",INDEX('Annual Inflation'!$AM$50:$BA$50, MATCH(YEAR(EOMONTH($E325,6)), 'Annual Inflation'!$AM$6:$BA$6, 0))/100)</f>
        <v>2.5121856232399598E-2</v>
      </c>
      <c r="L325" s="258">
        <f t="shared" si="22"/>
        <v>137.4379184046046</v>
      </c>
      <c r="M325" s="258">
        <f t="shared" si="23"/>
        <v>411.02248831838324</v>
      </c>
      <c r="N325" s="258">
        <f t="shared" si="24"/>
        <v>398.67914702325817</v>
      </c>
    </row>
    <row r="326" spans="5:14" ht="15">
      <c r="E326" s="248">
        <v>46023</v>
      </c>
      <c r="F326" s="323">
        <f t="shared" ref="F326:F352" si="27">EOMONTH(E326, 0)</f>
        <v>46053</v>
      </c>
      <c r="G326" s="159">
        <f t="shared" ref="G326:G352" si="28">IF(MONTH(E326)&gt;=4,YEAR(E326)+1,YEAR(E326))</f>
        <v>2026</v>
      </c>
      <c r="H326" s="500"/>
      <c r="I326" s="500"/>
      <c r="J326" s="257">
        <f>IF($E326&lt;DATE(2018,7,1),"-",INDEX('Annual Inflation'!$AM$53:$BA$53, MATCH(YEAR(EOMONTH($E326,6)), 'Annual Inflation'!$AM$6:$BA$6, 0))/100)</f>
        <v>1.446667906451915E-2</v>
      </c>
      <c r="K326" s="257">
        <f>IF($E326&lt;DATE(2018,7,1),"-",INDEX('Annual Inflation'!$AM$50:$BA$50, MATCH(YEAR(EOMONTH($E326,6)), 'Annual Inflation'!$AM$6:$BA$6, 0))/100)</f>
        <v>2.5121856232399598E-2</v>
      </c>
      <c r="L326" s="258">
        <f t="shared" ref="L326:L352" si="29">IF(ISBLANK(H326),L325*((1+J326)^(1/12)),H326)</f>
        <v>137.60251902849109</v>
      </c>
      <c r="M326" s="258">
        <f t="shared" ref="M326:M352" si="30">IF(ISBLANK(I326),M325*((1+K326)^(1/12)),I326)</f>
        <v>411.8732075171028</v>
      </c>
      <c r="N326" s="258">
        <f t="shared" ref="N326:N352" si="31">IF($E326 &lt; DATE(2023,4,1),  M326,  IF($E326 = DATE(2023,4,1), N325 * ((0.5*L326/L325) + (0.5*M326/M325)), N325*(L326/L325)))</f>
        <v>399.15661959481866</v>
      </c>
    </row>
    <row r="327" spans="5:14" ht="15">
      <c r="E327" s="248">
        <v>46054</v>
      </c>
      <c r="F327" s="323">
        <f t="shared" si="27"/>
        <v>46081</v>
      </c>
      <c r="G327" s="159">
        <f t="shared" si="28"/>
        <v>2026</v>
      </c>
      <c r="H327" s="500"/>
      <c r="I327" s="500"/>
      <c r="J327" s="257">
        <f>IF($E327&lt;DATE(2018,7,1),"-",INDEX('Annual Inflation'!$AM$53:$BA$53, MATCH(YEAR(EOMONTH($E327,6)), 'Annual Inflation'!$AM$6:$BA$6, 0))/100)</f>
        <v>1.446667906451915E-2</v>
      </c>
      <c r="K327" s="257">
        <f>IF($E327&lt;DATE(2018,7,1),"-",INDEX('Annual Inflation'!$AM$50:$BA$50, MATCH(YEAR(EOMONTH($E327,6)), 'Annual Inflation'!$AM$6:$BA$6, 0))/100)</f>
        <v>2.5121856232399598E-2</v>
      </c>
      <c r="L327" s="258">
        <f t="shared" si="29"/>
        <v>137.76731678404036</v>
      </c>
      <c r="M327" s="258">
        <f t="shared" si="30"/>
        <v>412.72568750306795</v>
      </c>
      <c r="N327" s="258">
        <f t="shared" si="31"/>
        <v>399.63466400480684</v>
      </c>
    </row>
    <row r="328" spans="5:14" ht="15">
      <c r="E328" s="248">
        <v>46082</v>
      </c>
      <c r="F328" s="323">
        <f t="shared" si="27"/>
        <v>46112</v>
      </c>
      <c r="G328" s="159">
        <f t="shared" si="28"/>
        <v>2026</v>
      </c>
      <c r="H328" s="500"/>
      <c r="I328" s="500"/>
      <c r="J328" s="257">
        <f>IF($E328&lt;DATE(2018,7,1),"-",INDEX('Annual Inflation'!$AM$53:$BA$53, MATCH(YEAR(EOMONTH($E328,6)), 'Annual Inflation'!$AM$6:$BA$6, 0))/100)</f>
        <v>1.446667906451915E-2</v>
      </c>
      <c r="K328" s="257">
        <f>IF($E328&lt;DATE(2018,7,1),"-",INDEX('Annual Inflation'!$AM$50:$BA$50, MATCH(YEAR(EOMONTH($E328,6)), 'Annual Inflation'!$AM$6:$BA$6, 0))/100)</f>
        <v>2.5121856232399598E-2</v>
      </c>
      <c r="L328" s="258">
        <f t="shared" si="29"/>
        <v>137.93231190734443</v>
      </c>
      <c r="M328" s="258">
        <f t="shared" si="30"/>
        <v>413.57993192069119</v>
      </c>
      <c r="N328" s="258">
        <f t="shared" si="31"/>
        <v>400.11328093807708</v>
      </c>
    </row>
    <row r="329" spans="5:14" ht="15">
      <c r="E329" s="248">
        <v>46113</v>
      </c>
      <c r="F329" s="323">
        <f t="shared" si="27"/>
        <v>46142</v>
      </c>
      <c r="G329" s="159">
        <f t="shared" si="28"/>
        <v>2027</v>
      </c>
      <c r="H329" s="500"/>
      <c r="I329" s="500"/>
      <c r="J329" s="257">
        <f>IF($E329&lt;DATE(2018,7,1),"-",INDEX('Annual Inflation'!$AM$53:$BA$53, MATCH(YEAR(EOMONTH($E329,6)), 'Annual Inflation'!$AM$6:$BA$6, 0))/100)</f>
        <v>1.446667906451915E-2</v>
      </c>
      <c r="K329" s="257">
        <f>IF($E329&lt;DATE(2018,7,1),"-",INDEX('Annual Inflation'!$AM$50:$BA$50, MATCH(YEAR(EOMONTH($E329,6)), 'Annual Inflation'!$AM$6:$BA$6, 0))/100)</f>
        <v>2.5121856232399598E-2</v>
      </c>
      <c r="L329" s="258">
        <f t="shared" si="29"/>
        <v>138.09750463477803</v>
      </c>
      <c r="M329" s="258">
        <f t="shared" si="30"/>
        <v>414.43594442192818</v>
      </c>
      <c r="N329" s="258">
        <f t="shared" si="31"/>
        <v>400.59247108030405</v>
      </c>
    </row>
    <row r="330" spans="5:14" ht="15">
      <c r="E330" s="248">
        <v>46143</v>
      </c>
      <c r="F330" s="323">
        <f t="shared" si="27"/>
        <v>46173</v>
      </c>
      <c r="G330" s="159">
        <f t="shared" si="28"/>
        <v>2027</v>
      </c>
      <c r="H330" s="500"/>
      <c r="I330" s="500"/>
      <c r="J330" s="257">
        <f>IF($E330&lt;DATE(2018,7,1),"-",INDEX('Annual Inflation'!$AM$53:$BA$53, MATCH(YEAR(EOMONTH($E330,6)), 'Annual Inflation'!$AM$6:$BA$6, 0))/100)</f>
        <v>1.446667906451915E-2</v>
      </c>
      <c r="K330" s="257">
        <f>IF($E330&lt;DATE(2018,7,1),"-",INDEX('Annual Inflation'!$AM$50:$BA$50, MATCH(YEAR(EOMONTH($E330,6)), 'Annual Inflation'!$AM$6:$BA$6, 0))/100)</f>
        <v>2.5121856232399598E-2</v>
      </c>
      <c r="L330" s="258">
        <f t="shared" si="29"/>
        <v>138.26289520299906</v>
      </c>
      <c r="M330" s="258">
        <f t="shared" si="30"/>
        <v>415.29372866629319</v>
      </c>
      <c r="N330" s="258">
        <f t="shared" si="31"/>
        <v>401.0722351179835</v>
      </c>
    </row>
    <row r="331" spans="5:14" ht="15">
      <c r="E331" s="248">
        <v>46174</v>
      </c>
      <c r="F331" s="323">
        <f t="shared" si="27"/>
        <v>46203</v>
      </c>
      <c r="G331" s="159">
        <f t="shared" si="28"/>
        <v>2027</v>
      </c>
      <c r="H331" s="500"/>
      <c r="I331" s="500"/>
      <c r="J331" s="257">
        <f>IF($E331&lt;DATE(2018,7,1),"-",INDEX('Annual Inflation'!$AM$53:$BA$53, MATCH(YEAR(EOMONTH($E331,6)), 'Annual Inflation'!$AM$6:$BA$6, 0))/100)</f>
        <v>1.446667906451915E-2</v>
      </c>
      <c r="K331" s="257">
        <f>IF($E331&lt;DATE(2018,7,1),"-",INDEX('Annual Inflation'!$AM$50:$BA$50, MATCH(YEAR(EOMONTH($E331,6)), 'Annual Inflation'!$AM$6:$BA$6, 0))/100)</f>
        <v>2.5121856232399598E-2</v>
      </c>
      <c r="L331" s="258">
        <f t="shared" si="29"/>
        <v>138.42848384894879</v>
      </c>
      <c r="M331" s="258">
        <f t="shared" si="30"/>
        <v>416.15328832087488</v>
      </c>
      <c r="N331" s="258">
        <f t="shared" si="31"/>
        <v>401.55257373843341</v>
      </c>
    </row>
    <row r="332" spans="5:14" ht="15">
      <c r="E332" s="248">
        <v>46204</v>
      </c>
      <c r="F332" s="323">
        <f t="shared" si="27"/>
        <v>46234</v>
      </c>
      <c r="G332" s="159">
        <f t="shared" si="28"/>
        <v>2027</v>
      </c>
      <c r="H332" s="500"/>
      <c r="I332" s="500"/>
      <c r="J332" s="257">
        <f>IF($E332&lt;DATE(2018,7,1),"-",INDEX('Annual Inflation'!$AM$53:$BA$53, MATCH(YEAR(EOMONTH($E332,6)), 'Annual Inflation'!$AM$6:$BA$6, 0))/100)</f>
        <v>1.7296573062324683E-2</v>
      </c>
      <c r="K332" s="257">
        <f>IF($E332&lt;DATE(2018,7,1),"-",INDEX('Annual Inflation'!$AM$50:$BA$50, MATCH(YEAR(EOMONTH($E332,6)), 'Annual Inflation'!$AM$6:$BA$6, 0))/100)</f>
        <v>2.8036598929437329E-2</v>
      </c>
      <c r="L332" s="258">
        <f t="shared" si="29"/>
        <v>138.62644753081375</v>
      </c>
      <c r="M332" s="258">
        <f t="shared" si="30"/>
        <v>417.1133071338275</v>
      </c>
      <c r="N332" s="258">
        <f t="shared" si="31"/>
        <v>402.12682568246504</v>
      </c>
    </row>
    <row r="333" spans="5:14" ht="15">
      <c r="E333" s="248">
        <v>46235</v>
      </c>
      <c r="F333" s="323">
        <f t="shared" si="27"/>
        <v>46265</v>
      </c>
      <c r="G333" s="159">
        <f t="shared" si="28"/>
        <v>2027</v>
      </c>
      <c r="H333" s="500"/>
      <c r="I333" s="500"/>
      <c r="J333" s="257">
        <f>IF($E333&lt;DATE(2018,7,1),"-",INDEX('Annual Inflation'!$AM$53:$BA$53, MATCH(YEAR(EOMONTH($E333,6)), 'Annual Inflation'!$AM$6:$BA$6, 0))/100)</f>
        <v>1.7296573062324683E-2</v>
      </c>
      <c r="K333" s="257">
        <f>IF($E333&lt;DATE(2018,7,1),"-",INDEX('Annual Inflation'!$AM$50:$BA$50, MATCH(YEAR(EOMONTH($E333,6)), 'Annual Inflation'!$AM$6:$BA$6, 0))/100)</f>
        <v>2.8036598929437329E-2</v>
      </c>
      <c r="L333" s="258">
        <f t="shared" si="29"/>
        <v>138.82469431640308</v>
      </c>
      <c r="M333" s="258">
        <f t="shared" si="30"/>
        <v>418.07554060216574</v>
      </c>
      <c r="N333" s="258">
        <f t="shared" si="31"/>
        <v>402.70189885220111</v>
      </c>
    </row>
    <row r="334" spans="5:14" ht="15">
      <c r="E334" s="248">
        <v>46266</v>
      </c>
      <c r="F334" s="323">
        <f t="shared" si="27"/>
        <v>46295</v>
      </c>
      <c r="G334" s="159">
        <f t="shared" si="28"/>
        <v>2027</v>
      </c>
      <c r="H334" s="500"/>
      <c r="I334" s="500"/>
      <c r="J334" s="257">
        <f>IF($E334&lt;DATE(2018,7,1),"-",INDEX('Annual Inflation'!$AM$53:$BA$53, MATCH(YEAR(EOMONTH($E334,6)), 'Annual Inflation'!$AM$6:$BA$6, 0))/100)</f>
        <v>1.7296573062324683E-2</v>
      </c>
      <c r="K334" s="257">
        <f>IF($E334&lt;DATE(2018,7,1),"-",INDEX('Annual Inflation'!$AM$50:$BA$50, MATCH(YEAR(EOMONTH($E334,6)), 'Annual Inflation'!$AM$6:$BA$6, 0))/100)</f>
        <v>2.8036598929437329E-2</v>
      </c>
      <c r="L334" s="258">
        <f t="shared" si="29"/>
        <v>139.02322461057753</v>
      </c>
      <c r="M334" s="258">
        <f t="shared" si="30"/>
        <v>419.03999383485041</v>
      </c>
      <c r="N334" s="258">
        <f t="shared" si="31"/>
        <v>403.27779442205929</v>
      </c>
    </row>
    <row r="335" spans="5:14" ht="15">
      <c r="E335" s="248">
        <v>46296</v>
      </c>
      <c r="F335" s="323">
        <f t="shared" si="27"/>
        <v>46326</v>
      </c>
      <c r="G335" s="159">
        <f t="shared" si="28"/>
        <v>2027</v>
      </c>
      <c r="H335" s="500"/>
      <c r="I335" s="500"/>
      <c r="J335" s="257">
        <f>IF($E335&lt;DATE(2018,7,1),"-",INDEX('Annual Inflation'!$AM$53:$BA$53, MATCH(YEAR(EOMONTH($E335,6)), 'Annual Inflation'!$AM$6:$BA$6, 0))/100)</f>
        <v>1.7296573062324683E-2</v>
      </c>
      <c r="K335" s="257">
        <f>IF($E335&lt;DATE(2018,7,1),"-",INDEX('Annual Inflation'!$AM$50:$BA$50, MATCH(YEAR(EOMONTH($E335,6)), 'Annual Inflation'!$AM$6:$BA$6, 0))/100)</f>
        <v>2.8036598929437329E-2</v>
      </c>
      <c r="L335" s="258">
        <f t="shared" si="29"/>
        <v>139.22203881877678</v>
      </c>
      <c r="M335" s="258">
        <f t="shared" si="30"/>
        <v>420.0066719526281</v>
      </c>
      <c r="N335" s="258">
        <f t="shared" si="31"/>
        <v>403.85451356813684</v>
      </c>
    </row>
    <row r="336" spans="5:14" ht="15">
      <c r="E336" s="248">
        <v>46327</v>
      </c>
      <c r="F336" s="323">
        <f t="shared" si="27"/>
        <v>46356</v>
      </c>
      <c r="G336" s="159">
        <f t="shared" si="28"/>
        <v>2027</v>
      </c>
      <c r="H336" s="500"/>
      <c r="I336" s="500"/>
      <c r="J336" s="257">
        <f>IF($E336&lt;DATE(2018,7,1),"-",INDEX('Annual Inflation'!$AM$53:$BA$53, MATCH(YEAR(EOMONTH($E336,6)), 'Annual Inflation'!$AM$6:$BA$6, 0))/100)</f>
        <v>1.7296573062324683E-2</v>
      </c>
      <c r="K336" s="257">
        <f>IF($E336&lt;DATE(2018,7,1),"-",INDEX('Annual Inflation'!$AM$50:$BA$50, MATCH(YEAR(EOMONTH($E336,6)), 'Annual Inflation'!$AM$6:$BA$6, 0))/100)</f>
        <v>2.8036598929437329E-2</v>
      </c>
      <c r="L336" s="258">
        <f t="shared" si="29"/>
        <v>139.42113734702033</v>
      </c>
      <c r="M336" s="258">
        <f t="shared" si="30"/>
        <v>420.97558008805834</v>
      </c>
      <c r="N336" s="258">
        <f t="shared" si="31"/>
        <v>404.43205746821286</v>
      </c>
    </row>
    <row r="337" spans="5:14" ht="15">
      <c r="E337" s="248">
        <v>46357</v>
      </c>
      <c r="F337" s="323">
        <f t="shared" si="27"/>
        <v>46387</v>
      </c>
      <c r="G337" s="159">
        <f t="shared" si="28"/>
        <v>2027</v>
      </c>
      <c r="H337" s="500"/>
      <c r="I337" s="500"/>
      <c r="J337" s="257">
        <f>IF($E337&lt;DATE(2018,7,1),"-",INDEX('Annual Inflation'!$AM$53:$BA$53, MATCH(YEAR(EOMONTH($E337,6)), 'Annual Inflation'!$AM$6:$BA$6, 0))/100)</f>
        <v>1.7296573062324683E-2</v>
      </c>
      <c r="K337" s="257">
        <f>IF($E337&lt;DATE(2018,7,1),"-",INDEX('Annual Inflation'!$AM$50:$BA$50, MATCH(YEAR(EOMONTH($E337,6)), 'Annual Inflation'!$AM$6:$BA$6, 0))/100)</f>
        <v>2.8036598929437329E-2</v>
      </c>
      <c r="L337" s="258">
        <f t="shared" si="29"/>
        <v>139.62052060190837</v>
      </c>
      <c r="M337" s="258">
        <f t="shared" si="30"/>
        <v>421.94672338554102</v>
      </c>
      <c r="N337" s="258">
        <f t="shared" si="31"/>
        <v>405.01042730175084</v>
      </c>
    </row>
    <row r="338" spans="5:14" ht="15">
      <c r="E338" s="248">
        <v>46388</v>
      </c>
      <c r="F338" s="323">
        <f t="shared" si="27"/>
        <v>46418</v>
      </c>
      <c r="G338" s="159">
        <f t="shared" si="28"/>
        <v>2027</v>
      </c>
      <c r="H338" s="500"/>
      <c r="I338" s="500"/>
      <c r="J338" s="257">
        <f>IF($E338&lt;DATE(2018,7,1),"-",INDEX('Annual Inflation'!$AM$53:$BA$53, MATCH(YEAR(EOMONTH($E338,6)), 'Annual Inflation'!$AM$6:$BA$6, 0))/100)</f>
        <v>1.7296573062324683E-2</v>
      </c>
      <c r="K338" s="257">
        <f>IF($E338&lt;DATE(2018,7,1),"-",INDEX('Annual Inflation'!$AM$50:$BA$50, MATCH(YEAR(EOMONTH($E338,6)), 'Annual Inflation'!$AM$6:$BA$6, 0))/100)</f>
        <v>2.8036598929437329E-2</v>
      </c>
      <c r="L338" s="258">
        <f t="shared" si="29"/>
        <v>139.82018899062248</v>
      </c>
      <c r="M338" s="258">
        <f t="shared" si="30"/>
        <v>422.92010700134347</v>
      </c>
      <c r="N338" s="258">
        <f t="shared" si="31"/>
        <v>405.58962424990096</v>
      </c>
    </row>
    <row r="339" spans="5:14" ht="15">
      <c r="E339" s="248">
        <v>46419</v>
      </c>
      <c r="F339" s="323">
        <f t="shared" si="27"/>
        <v>46446</v>
      </c>
      <c r="G339" s="159">
        <f t="shared" si="28"/>
        <v>2027</v>
      </c>
      <c r="H339" s="500"/>
      <c r="I339" s="500"/>
      <c r="J339" s="257">
        <f>IF($E339&lt;DATE(2018,7,1),"-",INDEX('Annual Inflation'!$AM$53:$BA$53, MATCH(YEAR(EOMONTH($E339,6)), 'Annual Inflation'!$AM$6:$BA$6, 0))/100)</f>
        <v>1.7296573062324683E-2</v>
      </c>
      <c r="K339" s="257">
        <f>IF($E339&lt;DATE(2018,7,1),"-",INDEX('Annual Inflation'!$AM$50:$BA$50, MATCH(YEAR(EOMONTH($E339,6)), 'Annual Inflation'!$AM$6:$BA$6, 0))/100)</f>
        <v>2.8036598929437329E-2</v>
      </c>
      <c r="L339" s="258">
        <f t="shared" si="29"/>
        <v>140.02014292092662</v>
      </c>
      <c r="M339" s="258">
        <f t="shared" si="30"/>
        <v>423.89573610362794</v>
      </c>
      <c r="N339" s="258">
        <f t="shared" si="31"/>
        <v>406.16964949550254</v>
      </c>
    </row>
    <row r="340" spans="5:14" ht="15">
      <c r="E340" s="248">
        <v>46447</v>
      </c>
      <c r="F340" s="323">
        <f t="shared" si="27"/>
        <v>46477</v>
      </c>
      <c r="G340" s="159">
        <f t="shared" si="28"/>
        <v>2027</v>
      </c>
      <c r="H340" s="500"/>
      <c r="I340" s="500"/>
      <c r="J340" s="257">
        <f>IF($E340&lt;DATE(2018,7,1),"-",INDEX('Annual Inflation'!$AM$53:$BA$53, MATCH(YEAR(EOMONTH($E340,6)), 'Annual Inflation'!$AM$6:$BA$6, 0))/100)</f>
        <v>1.7296573062324683E-2</v>
      </c>
      <c r="K340" s="257">
        <f>IF($E340&lt;DATE(2018,7,1),"-",INDEX('Annual Inflation'!$AM$50:$BA$50, MATCH(YEAR(EOMONTH($E340,6)), 'Annual Inflation'!$AM$6:$BA$6, 0))/100)</f>
        <v>2.8036598929437329E-2</v>
      </c>
      <c r="L340" s="258">
        <f t="shared" si="29"/>
        <v>140.22038280116783</v>
      </c>
      <c r="M340" s="258">
        <f t="shared" si="30"/>
        <v>424.87361587247915</v>
      </c>
      <c r="N340" s="258">
        <f t="shared" si="31"/>
        <v>406.75050422308641</v>
      </c>
    </row>
    <row r="341" spans="5:14" ht="15">
      <c r="E341" s="248">
        <v>46478</v>
      </c>
      <c r="F341" s="323">
        <f t="shared" si="27"/>
        <v>46507</v>
      </c>
      <c r="G341" s="159">
        <f t="shared" si="28"/>
        <v>2028</v>
      </c>
      <c r="H341" s="500"/>
      <c r="I341" s="500"/>
      <c r="J341" s="257">
        <f>IF($E341&lt;DATE(2018,7,1),"-",INDEX('Annual Inflation'!$AM$53:$BA$53, MATCH(YEAR(EOMONTH($E341,6)), 'Annual Inflation'!$AM$6:$BA$6, 0))/100)</f>
        <v>1.7296573062324683E-2</v>
      </c>
      <c r="K341" s="257">
        <f>IF($E341&lt;DATE(2018,7,1),"-",INDEX('Annual Inflation'!$AM$50:$BA$50, MATCH(YEAR(EOMONTH($E341,6)), 'Annual Inflation'!$AM$6:$BA$6, 0))/100)</f>
        <v>2.8036598929437329E-2</v>
      </c>
      <c r="L341" s="258">
        <f t="shared" si="29"/>
        <v>140.42090904027714</v>
      </c>
      <c r="M341" s="258">
        <f t="shared" si="30"/>
        <v>425.85375149993166</v>
      </c>
      <c r="N341" s="258">
        <f t="shared" si="31"/>
        <v>407.33218961887746</v>
      </c>
    </row>
    <row r="342" spans="5:14" ht="15">
      <c r="E342" s="248">
        <v>46508</v>
      </c>
      <c r="F342" s="323">
        <f t="shared" si="27"/>
        <v>46538</v>
      </c>
      <c r="G342" s="159">
        <f t="shared" si="28"/>
        <v>2028</v>
      </c>
      <c r="H342" s="500"/>
      <c r="I342" s="500"/>
      <c r="J342" s="257">
        <f>IF($E342&lt;DATE(2018,7,1),"-",INDEX('Annual Inflation'!$AM$53:$BA$53, MATCH(YEAR(EOMONTH($E342,6)), 'Annual Inflation'!$AM$6:$BA$6, 0))/100)</f>
        <v>1.7296573062324683E-2</v>
      </c>
      <c r="K342" s="257">
        <f>IF($E342&lt;DATE(2018,7,1),"-",INDEX('Annual Inflation'!$AM$50:$BA$50, MATCH(YEAR(EOMONTH($E342,6)), 'Annual Inflation'!$AM$6:$BA$6, 0))/100)</f>
        <v>2.8036598929437329E-2</v>
      </c>
      <c r="L342" s="258">
        <f t="shared" si="29"/>
        <v>140.62172204777039</v>
      </c>
      <c r="M342" s="258">
        <f t="shared" si="30"/>
        <v>426.8361481899974</v>
      </c>
      <c r="N342" s="258">
        <f t="shared" si="31"/>
        <v>407.91470687079698</v>
      </c>
    </row>
    <row r="343" spans="5:14" ht="15">
      <c r="E343" s="248">
        <v>46539</v>
      </c>
      <c r="F343" s="323">
        <f t="shared" si="27"/>
        <v>46568</v>
      </c>
      <c r="G343" s="159">
        <f t="shared" si="28"/>
        <v>2028</v>
      </c>
      <c r="H343" s="500"/>
      <c r="I343" s="500"/>
      <c r="J343" s="257">
        <f>IF($E343&lt;DATE(2018,7,1),"-",INDEX('Annual Inflation'!$AM$53:$BA$53, MATCH(YEAR(EOMONTH($E343,6)), 'Annual Inflation'!$AM$6:$BA$6, 0))/100)</f>
        <v>1.7296573062324683E-2</v>
      </c>
      <c r="K343" s="257">
        <f>IF($E343&lt;DATE(2018,7,1),"-",INDEX('Annual Inflation'!$AM$50:$BA$50, MATCH(YEAR(EOMONTH($E343,6)), 'Annual Inflation'!$AM$6:$BA$6, 0))/100)</f>
        <v>2.8036598929437329E-2</v>
      </c>
      <c r="L343" s="258">
        <f t="shared" si="29"/>
        <v>140.82282223374906</v>
      </c>
      <c r="M343" s="258">
        <f t="shared" si="30"/>
        <v>427.8208111586934</v>
      </c>
      <c r="N343" s="258">
        <f t="shared" si="31"/>
        <v>408.49805716846498</v>
      </c>
    </row>
    <row r="344" spans="5:14" ht="15">
      <c r="E344" s="248">
        <v>46569</v>
      </c>
      <c r="F344" s="323">
        <f t="shared" si="27"/>
        <v>46599</v>
      </c>
      <c r="G344" s="159">
        <f t="shared" si="28"/>
        <v>2028</v>
      </c>
      <c r="H344" s="500"/>
      <c r="I344" s="500"/>
      <c r="J344" s="257">
        <f>IF($E344&lt;DATE(2018,7,1),"-",INDEX('Annual Inflation'!$AM$53:$BA$53, MATCH(YEAR(EOMONTH($E344,6)), 'Annual Inflation'!$AM$6:$BA$6, 0))/100)</f>
        <v>1.960504241247718E-2</v>
      </c>
      <c r="K344" s="257">
        <f>IF($E344&lt;DATE(2018,7,1),"-",INDEX('Annual Inflation'!$AM$50:$BA$50, MATCH(YEAR(EOMONTH($E344,6)), 'Annual Inflation'!$AM$6:$BA$6, 0))/100)</f>
        <v>2.8576541255967536E-2</v>
      </c>
      <c r="L344" s="258">
        <f t="shared" si="29"/>
        <v>141.05085022161808</v>
      </c>
      <c r="M344" s="258">
        <f t="shared" si="30"/>
        <v>428.82650921176889</v>
      </c>
      <c r="N344" s="258">
        <f t="shared" si="31"/>
        <v>409.15951948364216</v>
      </c>
    </row>
    <row r="345" spans="5:14" ht="15">
      <c r="E345" s="248">
        <v>46600</v>
      </c>
      <c r="F345" s="323">
        <f t="shared" si="27"/>
        <v>46630</v>
      </c>
      <c r="G345" s="159">
        <f t="shared" si="28"/>
        <v>2028</v>
      </c>
      <c r="H345" s="500"/>
      <c r="I345" s="500"/>
      <c r="J345" s="257">
        <f>IF($E345&lt;DATE(2018,7,1),"-",INDEX('Annual Inflation'!$AM$53:$BA$53, MATCH(YEAR(EOMONTH($E345,6)), 'Annual Inflation'!$AM$6:$BA$6, 0))/100)</f>
        <v>1.960504241247718E-2</v>
      </c>
      <c r="K345" s="257">
        <f>IF($E345&lt;DATE(2018,7,1),"-",INDEX('Annual Inflation'!$AM$50:$BA$50, MATCH(YEAR(EOMONTH($E345,6)), 'Annual Inflation'!$AM$6:$BA$6, 0))/100)</f>
        <v>2.8576541255967536E-2</v>
      </c>
      <c r="L345" s="258">
        <f t="shared" si="29"/>
        <v>141.27924744483138</v>
      </c>
      <c r="M345" s="258">
        <f t="shared" si="30"/>
        <v>429.83457140550229</v>
      </c>
      <c r="N345" s="258">
        <f t="shared" si="31"/>
        <v>409.82205287464632</v>
      </c>
    </row>
    <row r="346" spans="5:14" ht="15">
      <c r="E346" s="248">
        <v>46631</v>
      </c>
      <c r="F346" s="323">
        <f t="shared" si="27"/>
        <v>46660</v>
      </c>
      <c r="G346" s="159">
        <f t="shared" si="28"/>
        <v>2028</v>
      </c>
      <c r="H346" s="500"/>
      <c r="I346" s="500"/>
      <c r="J346" s="257">
        <f>IF($E346&lt;DATE(2018,7,1),"-",INDEX('Annual Inflation'!$AM$53:$BA$53, MATCH(YEAR(EOMONTH($E346,6)), 'Annual Inflation'!$AM$6:$BA$6, 0))/100)</f>
        <v>1.960504241247718E-2</v>
      </c>
      <c r="K346" s="257">
        <f>IF($E346&lt;DATE(2018,7,1),"-",INDEX('Annual Inflation'!$AM$50:$BA$50, MATCH(YEAR(EOMONTH($E346,6)), 'Annual Inflation'!$AM$6:$BA$6, 0))/100)</f>
        <v>2.8576541255967536E-2</v>
      </c>
      <c r="L346" s="258">
        <f t="shared" si="29"/>
        <v>141.50801450127497</v>
      </c>
      <c r="M346" s="258">
        <f t="shared" si="30"/>
        <v>430.84500329738773</v>
      </c>
      <c r="N346" s="258">
        <f t="shared" si="31"/>
        <v>410.48565907582179</v>
      </c>
    </row>
    <row r="347" spans="5:14" ht="15">
      <c r="E347" s="248">
        <v>46661</v>
      </c>
      <c r="F347" s="323">
        <f t="shared" si="27"/>
        <v>46691</v>
      </c>
      <c r="G347" s="159">
        <f t="shared" si="28"/>
        <v>2028</v>
      </c>
      <c r="H347" s="500"/>
      <c r="I347" s="500"/>
      <c r="J347" s="257">
        <f>IF($E347&lt;DATE(2018,7,1),"-",INDEX('Annual Inflation'!$AM$53:$BA$53, MATCH(YEAR(EOMONTH($E347,6)), 'Annual Inflation'!$AM$6:$BA$6, 0))/100)</f>
        <v>1.960504241247718E-2</v>
      </c>
      <c r="K347" s="257">
        <f>IF($E347&lt;DATE(2018,7,1),"-",INDEX('Annual Inflation'!$AM$50:$BA$50, MATCH(YEAR(EOMONTH($E347,6)), 'Annual Inflation'!$AM$6:$BA$6, 0))/100)</f>
        <v>2.8576541255967536E-2</v>
      </c>
      <c r="L347" s="258">
        <f t="shared" si="29"/>
        <v>141.73715198980295</v>
      </c>
      <c r="M347" s="258">
        <f t="shared" si="30"/>
        <v>431.85781045798365</v>
      </c>
      <c r="N347" s="258">
        <f t="shared" si="31"/>
        <v>411.15033982432129</v>
      </c>
    </row>
    <row r="348" spans="5:14" ht="15">
      <c r="E348" s="248">
        <v>46692</v>
      </c>
      <c r="F348" s="323">
        <f t="shared" si="27"/>
        <v>46721</v>
      </c>
      <c r="G348" s="159">
        <f t="shared" si="28"/>
        <v>2028</v>
      </c>
      <c r="H348" s="500"/>
      <c r="I348" s="500"/>
      <c r="J348" s="257">
        <f>IF($E348&lt;DATE(2018,7,1),"-",INDEX('Annual Inflation'!$AM$53:$BA$53, MATCH(YEAR(EOMONTH($E348,6)), 'Annual Inflation'!$AM$6:$BA$6, 0))/100)</f>
        <v>1.960504241247718E-2</v>
      </c>
      <c r="K348" s="257">
        <f>IF($E348&lt;DATE(2018,7,1),"-",INDEX('Annual Inflation'!$AM$50:$BA$50, MATCH(YEAR(EOMONTH($E348,6)), 'Annual Inflation'!$AM$6:$BA$6, 0))/100)</f>
        <v>2.8576541255967536E-2</v>
      </c>
      <c r="L348" s="258">
        <f t="shared" si="29"/>
        <v>141.96666051023917</v>
      </c>
      <c r="M348" s="258">
        <f t="shared" si="30"/>
        <v>432.8729984709434</v>
      </c>
      <c r="N348" s="258">
        <f t="shared" si="31"/>
        <v>411.81609686011041</v>
      </c>
    </row>
    <row r="349" spans="5:14" ht="15">
      <c r="E349" s="248">
        <v>46722</v>
      </c>
      <c r="F349" s="323">
        <f t="shared" si="27"/>
        <v>46752</v>
      </c>
      <c r="G349" s="159">
        <f t="shared" si="28"/>
        <v>2028</v>
      </c>
      <c r="H349" s="500"/>
      <c r="I349" s="500"/>
      <c r="J349" s="257">
        <f>IF($E349&lt;DATE(2018,7,1),"-",INDEX('Annual Inflation'!$AM$53:$BA$53, MATCH(YEAR(EOMONTH($E349,6)), 'Annual Inflation'!$AM$6:$BA$6, 0))/100)</f>
        <v>1.960504241247718E-2</v>
      </c>
      <c r="K349" s="257">
        <f>IF($E349&lt;DATE(2018,7,1),"-",INDEX('Annual Inflation'!$AM$50:$BA$50, MATCH(YEAR(EOMONTH($E349,6)), 'Annual Inflation'!$AM$6:$BA$6, 0))/100)</f>
        <v>2.8576541255967536E-2</v>
      </c>
      <c r="L349" s="258">
        <f t="shared" si="29"/>
        <v>142.19654066337867</v>
      </c>
      <c r="M349" s="258">
        <f t="shared" si="30"/>
        <v>433.89057293304614</v>
      </c>
      <c r="N349" s="258">
        <f t="shared" si="31"/>
        <v>412.48293192597214</v>
      </c>
    </row>
    <row r="350" spans="5:14" ht="15">
      <c r="E350" s="248">
        <v>46753</v>
      </c>
      <c r="F350" s="323">
        <f t="shared" si="27"/>
        <v>46783</v>
      </c>
      <c r="G350" s="159">
        <f t="shared" si="28"/>
        <v>2028</v>
      </c>
      <c r="H350" s="500"/>
      <c r="I350" s="500"/>
      <c r="J350" s="257">
        <f>IF($E350&lt;DATE(2018,7,1),"-",INDEX('Annual Inflation'!$AM$53:$BA$53, MATCH(YEAR(EOMONTH($E350,6)), 'Annual Inflation'!$AM$6:$BA$6, 0))/100)</f>
        <v>1.960504241247718E-2</v>
      </c>
      <c r="K350" s="257">
        <f>IF($E350&lt;DATE(2018,7,1),"-",INDEX('Annual Inflation'!$AM$50:$BA$50, MATCH(YEAR(EOMONTH($E350,6)), 'Annual Inflation'!$AM$6:$BA$6, 0))/100)</f>
        <v>2.8576541255967536E-2</v>
      </c>
      <c r="L350" s="258">
        <f t="shared" si="29"/>
        <v>142.4267930509894</v>
      </c>
      <c r="M350" s="258">
        <f t="shared" si="30"/>
        <v>434.9105394542276</v>
      </c>
      <c r="N350" s="258">
        <f t="shared" si="31"/>
        <v>413.15084676751155</v>
      </c>
    </row>
    <row r="351" spans="5:14" ht="15">
      <c r="E351" s="248">
        <v>46784</v>
      </c>
      <c r="F351" s="323">
        <f t="shared" si="27"/>
        <v>46812</v>
      </c>
      <c r="G351" s="159">
        <f t="shared" si="28"/>
        <v>2028</v>
      </c>
      <c r="H351" s="500"/>
      <c r="I351" s="500"/>
      <c r="J351" s="257">
        <f>IF($E351&lt;DATE(2018,7,1),"-",INDEX('Annual Inflation'!$AM$53:$BA$53, MATCH(YEAR(EOMONTH($E351,6)), 'Annual Inflation'!$AM$6:$BA$6, 0))/100)</f>
        <v>1.960504241247718E-2</v>
      </c>
      <c r="K351" s="257">
        <f>IF($E351&lt;DATE(2018,7,1),"-",INDEX('Annual Inflation'!$AM$50:$BA$50, MATCH(YEAR(EOMONTH($E351,6)), 'Annual Inflation'!$AM$6:$BA$6, 0))/100)</f>
        <v>2.8576541255967536E-2</v>
      </c>
      <c r="L351" s="258">
        <f t="shared" si="29"/>
        <v>142.65741827581371</v>
      </c>
      <c r="M351" s="258">
        <f t="shared" si="30"/>
        <v>435.93290365761106</v>
      </c>
      <c r="N351" s="258">
        <f t="shared" si="31"/>
        <v>413.81984313316025</v>
      </c>
    </row>
    <row r="352" spans="5:14" ht="15">
      <c r="E352" s="248">
        <v>46813</v>
      </c>
      <c r="F352" s="323">
        <f t="shared" si="27"/>
        <v>46843</v>
      </c>
      <c r="G352" s="159">
        <f t="shared" si="28"/>
        <v>2028</v>
      </c>
      <c r="H352" s="500"/>
      <c r="I352" s="500"/>
      <c r="J352" s="257">
        <f>IF($E352&lt;DATE(2018,7,1),"-",INDEX('Annual Inflation'!$AM$53:$BA$53, MATCH(YEAR(EOMONTH($E352,6)), 'Annual Inflation'!$AM$6:$BA$6, 0))/100)</f>
        <v>1.960504241247718E-2</v>
      </c>
      <c r="K352" s="257">
        <f>IF($E352&lt;DATE(2018,7,1),"-",INDEX('Annual Inflation'!$AM$50:$BA$50, MATCH(YEAR(EOMONTH($E352,6)), 'Annual Inflation'!$AM$6:$BA$6, 0))/100)</f>
        <v>2.8576541255967536E-2</v>
      </c>
      <c r="L352" s="258">
        <f t="shared" si="29"/>
        <v>142.88841694156991</v>
      </c>
      <c r="M352" s="258">
        <f t="shared" si="30"/>
        <v>436.95767117953829</v>
      </c>
      <c r="N352" s="258">
        <f t="shared" si="31"/>
        <v>414.48992277418103</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5" zeroHeight="1" outlineLevelCol="1"/>
  <cols>
    <col min="1" max="4" width="1.5" style="82" customWidth="1"/>
    <col min="5" max="5" width="65" style="82" customWidth="1"/>
    <col min="6" max="6" width="3" style="82" customWidth="1"/>
    <col min="7" max="7" width="12" style="82" customWidth="1"/>
    <col min="8" max="8" width="2.375" style="82" customWidth="1"/>
    <col min="9" max="9" width="11" style="82" customWidth="1"/>
    <col min="10" max="10" width="1.5" style="82" customWidth="1"/>
    <col min="11" max="35" width="9.625" style="82" hidden="1" customWidth="1" outlineLevel="1"/>
    <col min="36" max="36" width="9.625" style="82" customWidth="1" collapsed="1"/>
    <col min="37" max="48" width="9.625" style="82" customWidth="1"/>
    <col min="49" max="49" width="3" style="82" customWidth="1"/>
    <col min="50" max="54" width="0" style="82" hidden="1" customWidth="1"/>
    <col min="55" max="16384" width="9" style="82" hidden="1"/>
  </cols>
  <sheetData>
    <row r="1" spans="1:51" ht="19.5">
      <c r="A1" s="195" t="s">
        <v>1304</v>
      </c>
      <c r="B1" s="181"/>
      <c r="C1" s="181"/>
      <c r="D1" s="181"/>
      <c r="E1" s="275"/>
      <c r="F1" s="331" t="s">
        <v>542</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265"/>
      <c r="AP1" s="265"/>
      <c r="AQ1" s="267"/>
      <c r="AR1" s="171"/>
      <c r="AS1" s="171"/>
      <c r="AT1" s="181"/>
      <c r="AU1" s="181"/>
      <c r="AV1" s="181"/>
      <c r="AW1" s="181"/>
    </row>
    <row r="2" spans="1:51">
      <c r="A2" s="181"/>
      <c r="B2" s="157" t="str">
        <f>UserInterface!E30</f>
        <v>NPgN</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1305</v>
      </c>
      <c r="AY2" s="273"/>
    </row>
    <row r="3" spans="1:51">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1" t="str">
        <f>Checks!I6</f>
        <v>OK</v>
      </c>
      <c r="AN3" s="181"/>
      <c r="AO3" s="181"/>
      <c r="AP3" s="181"/>
      <c r="AQ3" s="17"/>
      <c r="AR3" s="181"/>
      <c r="AS3" s="181"/>
      <c r="AT3" s="181"/>
      <c r="AU3" s="181"/>
      <c r="AV3" s="181"/>
      <c r="AW3" s="181"/>
      <c r="AX3" s="281" t="s">
        <v>1306</v>
      </c>
      <c r="AY3" s="274"/>
    </row>
    <row r="4" spans="1:51">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49"/>
      <c r="AR5" s="2"/>
      <c r="AS5" s="2"/>
      <c r="AT5" s="2"/>
      <c r="AU5" s="2"/>
      <c r="AV5" s="2"/>
      <c r="AW5" s="2"/>
    </row>
    <row r="6" spans="1:51">
      <c r="E6" s="82" t="s">
        <v>1307</v>
      </c>
      <c r="I6" s="277" t="str">
        <f>IF(I7&gt;0,I7&amp;" ERRORS","OK")</f>
        <v>OK</v>
      </c>
      <c r="AQ6" s="270"/>
    </row>
    <row r="7" spans="1:51">
      <c r="E7" s="82" t="s">
        <v>1308</v>
      </c>
      <c r="I7" s="184">
        <f>COUNTIF($I$10:$I$18,FALSE)</f>
        <v>0</v>
      </c>
      <c r="AQ7" s="270"/>
    </row>
    <row r="8" spans="1:51">
      <c r="AQ8" s="270"/>
    </row>
    <row r="9" spans="1:51">
      <c r="AQ9" s="270"/>
    </row>
    <row r="10" spans="1:51">
      <c r="B10" s="22" t="s">
        <v>1309</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50"/>
      <c r="AR10" s="22"/>
      <c r="AS10" s="22"/>
      <c r="AT10" s="22"/>
      <c r="AU10" s="22"/>
      <c r="AV10" s="22"/>
      <c r="AW10" s="2"/>
    </row>
    <row r="11" spans="1:51">
      <c r="AJ11" s="2"/>
      <c r="AK11" s="2"/>
      <c r="AL11" s="2"/>
      <c r="AM11" s="2"/>
      <c r="AN11" s="2"/>
      <c r="AO11" s="2"/>
      <c r="AP11" s="2"/>
      <c r="AQ11" s="549"/>
      <c r="AR11" s="2"/>
      <c r="AS11" s="2"/>
      <c r="AT11" s="2"/>
      <c r="AU11" s="2"/>
      <c r="AV11" s="2"/>
    </row>
    <row r="12" spans="1:51">
      <c r="E12" s="82" t="s">
        <v>127</v>
      </c>
      <c r="I12" s="277" t="b">
        <f>ABS(SUM(AJ12:AV12) - 0) &lt; 0.001</f>
        <v>1</v>
      </c>
      <c r="AJ12" s="2"/>
      <c r="AK12" s="2"/>
      <c r="AL12" s="2"/>
      <c r="AM12" s="2"/>
      <c r="AN12" s="2"/>
      <c r="AO12" s="2"/>
      <c r="AP12" s="2"/>
      <c r="AQ12" s="549"/>
      <c r="AR12" s="2">
        <f>Totex!AR83</f>
        <v>0</v>
      </c>
      <c r="AS12" s="2">
        <f>Totex!AS83</f>
        <v>0</v>
      </c>
      <c r="AT12" s="2">
        <f>Totex!AT83</f>
        <v>0</v>
      </c>
      <c r="AU12" s="2">
        <f>Totex!AU83</f>
        <v>0</v>
      </c>
      <c r="AV12" s="2">
        <f>Totex!AV83</f>
        <v>0</v>
      </c>
    </row>
    <row r="13" spans="1:51">
      <c r="E13" s="82" t="s">
        <v>855</v>
      </c>
      <c r="I13" s="277" t="b">
        <f>ABS(SUM(AJ13:AV13) - 0) &lt; 0.001</f>
        <v>1</v>
      </c>
      <c r="AJ13" s="2"/>
      <c r="AK13" s="2"/>
      <c r="AL13" s="2"/>
      <c r="AM13" s="2"/>
      <c r="AN13" s="2"/>
      <c r="AO13" s="2"/>
      <c r="AP13" s="2"/>
      <c r="AQ13" s="549"/>
      <c r="AR13" s="2">
        <f>Totex!AR42</f>
        <v>0</v>
      </c>
      <c r="AS13" s="2">
        <f>Totex!AS42</f>
        <v>0</v>
      </c>
      <c r="AT13" s="2">
        <f>Totex!AT42</f>
        <v>0</v>
      </c>
      <c r="AU13" s="2">
        <f>Totex!AU42</f>
        <v>0</v>
      </c>
      <c r="AV13" s="2">
        <f>Totex!AV42</f>
        <v>0</v>
      </c>
    </row>
    <row r="14" spans="1:51">
      <c r="E14" s="82" t="s">
        <v>1310</v>
      </c>
      <c r="I14" s="277" t="b">
        <f>ABS(SUM(AJ14:AV14) - 0) &lt; 0.001</f>
        <v>1</v>
      </c>
      <c r="AJ14" s="2"/>
      <c r="AK14" s="2"/>
      <c r="AL14" s="2"/>
      <c r="AM14" s="2"/>
      <c r="AN14" s="2"/>
      <c r="AO14" s="2"/>
      <c r="AP14" s="2"/>
      <c r="AQ14" s="549"/>
      <c r="AR14" s="2"/>
      <c r="AS14" s="2"/>
      <c r="AT14" s="2"/>
      <c r="AU14" s="2"/>
      <c r="AV14" s="2">
        <f>InputSummary!AP381</f>
        <v>0</v>
      </c>
    </row>
    <row r="15" spans="1:51">
      <c r="AJ15" s="2"/>
      <c r="AK15" s="2"/>
      <c r="AL15" s="2"/>
      <c r="AM15" s="2"/>
      <c r="AN15" s="2"/>
      <c r="AO15" s="2"/>
      <c r="AP15" s="2"/>
      <c r="AQ15" s="549"/>
      <c r="AR15" s="2"/>
      <c r="AS15" s="2"/>
      <c r="AT15" s="2"/>
      <c r="AU15" s="2"/>
      <c r="AV15" s="2"/>
    </row>
    <row r="16" spans="1:51">
      <c r="B16" s="22" t="s">
        <v>1311</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50"/>
      <c r="AR16" s="22"/>
      <c r="AS16" s="22"/>
      <c r="AT16" s="22"/>
      <c r="AU16" s="22"/>
      <c r="AV16" s="22"/>
      <c r="AW16" s="2"/>
    </row>
    <row r="17" spans="2:49">
      <c r="AJ17" s="2"/>
      <c r="AK17" s="2"/>
      <c r="AL17" s="2"/>
      <c r="AM17" s="2"/>
      <c r="AN17" s="2"/>
      <c r="AO17" s="2"/>
      <c r="AP17" s="2"/>
      <c r="AQ17" s="549"/>
      <c r="AR17" s="2"/>
      <c r="AS17" s="2"/>
      <c r="AT17" s="2"/>
      <c r="AU17" s="2"/>
      <c r="AV17" s="2"/>
    </row>
    <row r="18" spans="2:49">
      <c r="E18" s="82" t="s">
        <v>965</v>
      </c>
      <c r="I18" s="277" t="b">
        <f>ABS(SUM(AJ18:AV18) - 0) &lt; 0.001</f>
        <v>1</v>
      </c>
      <c r="AJ18" s="2"/>
      <c r="AK18" s="2"/>
      <c r="AL18" s="2"/>
      <c r="AM18" s="2"/>
      <c r="AN18" s="2"/>
      <c r="AO18" s="2"/>
      <c r="AP18" s="2"/>
      <c r="AQ18" s="549"/>
      <c r="AR18" s="2">
        <f>TaxPools!AR44</f>
        <v>0</v>
      </c>
      <c r="AS18" s="2">
        <f>TaxPools!AS44</f>
        <v>0</v>
      </c>
      <c r="AT18" s="2">
        <f>TaxPools!AT44</f>
        <v>0</v>
      </c>
      <c r="AU18" s="2">
        <f>TaxPools!AU44</f>
        <v>0</v>
      </c>
      <c r="AV18" s="2">
        <f>TaxPools!AV44</f>
        <v>0</v>
      </c>
    </row>
    <row r="19" spans="2:49">
      <c r="AQ19" s="270"/>
    </row>
    <row r="20" spans="2:49">
      <c r="B20" s="22" t="s">
        <v>79</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50"/>
      <c r="AR20" s="22"/>
      <c r="AS20" s="22"/>
      <c r="AT20" s="22"/>
      <c r="AU20" s="22"/>
      <c r="AV20" s="22"/>
      <c r="AW20" s="2"/>
    </row>
    <row r="21" spans="2:49"/>
    <row r="22" spans="2:49"/>
  </sheetData>
  <conditionalFormatting sqref="I6">
    <cfRule type="expression" dxfId="62" priority="25">
      <formula>$I$7=0</formula>
    </cfRule>
    <cfRule type="expression" dxfId="61" priority="26">
      <formula>$I$7&gt;0</formula>
    </cfRule>
  </conditionalFormatting>
  <conditionalFormatting sqref="I12:I14">
    <cfRule type="cellIs" dxfId="60" priority="21" operator="equal">
      <formula>TRUE</formula>
    </cfRule>
    <cfRule type="cellIs" dxfId="59" priority="22" operator="equal">
      <formula>FALSE</formula>
    </cfRule>
  </conditionalFormatting>
  <conditionalFormatting sqref="I18">
    <cfRule type="cellIs" dxfId="58" priority="13" operator="equal">
      <formula>TRUE</formula>
    </cfRule>
    <cfRule type="cellIs" dxfId="57" priority="14" operator="equal">
      <formula>FALSE</formula>
    </cfRule>
  </conditionalFormatting>
  <conditionalFormatting sqref="AM3">
    <cfRule type="expression" dxfId="56" priority="29">
      <formula>$I$7=0</formula>
    </cfRule>
    <cfRule type="expression" dxfId="55"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3457575</xdr:colOff>
                    <xdr:row>0</xdr:row>
                    <xdr:rowOff>47625</xdr:rowOff>
                  </from>
                  <to>
                    <xdr:col>4</xdr:col>
                    <xdr:colOff>4391025</xdr:colOff>
                    <xdr:row>0</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54" width="9" hidden="1" customWidth="1"/>
    <col min="55"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142875</xdr:colOff>
                    <xdr:row>0</xdr:row>
                    <xdr:rowOff>28575</xdr:rowOff>
                  </from>
                  <to>
                    <xdr:col>7</xdr:col>
                    <xdr:colOff>152400</xdr:colOff>
                    <xdr:row>1</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673"/>
  <sheetViews>
    <sheetView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5" t="s">
        <v>31</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90</v>
      </c>
      <c r="AL1" s="282">
        <f>m_baseyear</f>
        <v>2021</v>
      </c>
      <c r="AM1" s="283"/>
      <c r="AN1" s="171"/>
      <c r="AO1" s="170"/>
      <c r="AP1" s="170"/>
      <c r="AQ1" s="16"/>
      <c r="AR1" s="171"/>
      <c r="AS1" s="171"/>
      <c r="AT1" s="181"/>
      <c r="AU1" s="181"/>
      <c r="AV1" s="181"/>
      <c r="AW1" s="181"/>
      <c r="AX1" s="181"/>
    </row>
    <row r="2" spans="1:50"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c r="AX3" s="181"/>
    </row>
    <row r="4" spans="1:50" ht="15">
      <c r="A4" s="203"/>
      <c r="B4" s="203"/>
      <c r="C4" s="203"/>
      <c r="D4" s="203"/>
      <c r="E4" s="203" t="s">
        <v>97</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99</v>
      </c>
      <c r="F8" s="7"/>
      <c r="G8" s="7" t="s">
        <v>100</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5">
        <f>SelectedInputs!AQ8</f>
        <v>1.1939376770538244</v>
      </c>
      <c r="AR8" s="92">
        <f>SelectedInputs!AR8</f>
        <v>1.2891506141768156</v>
      </c>
      <c r="AS8" s="92">
        <f>SelectedInputs!AS8</f>
        <v>1.3284361388165782</v>
      </c>
      <c r="AT8" s="92">
        <f>SelectedInputs!AT8</f>
        <v>1.3511547218960771</v>
      </c>
      <c r="AU8" s="92">
        <f>SelectedInputs!AU8</f>
        <v>1.3719916643626167</v>
      </c>
      <c r="AV8" s="92">
        <f>SelectedInputs!AV8</f>
        <v>1.3966351746111914</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101</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102</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103</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104</v>
      </c>
      <c r="F15" s="82"/>
      <c r="G15" s="82" t="s">
        <v>105</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v>17.89</v>
      </c>
      <c r="AS15" s="528">
        <v>19.670000000000002</v>
      </c>
      <c r="AT15" s="528">
        <v>13.05</v>
      </c>
      <c r="AU15" s="528">
        <v>15.39</v>
      </c>
      <c r="AV15" s="528">
        <v>13.06</v>
      </c>
      <c r="AW15" s="184"/>
    </row>
    <row r="16" spans="1:50" ht="15">
      <c r="A16" s="82"/>
      <c r="B16" s="82"/>
      <c r="C16" s="82"/>
      <c r="D16" s="82"/>
      <c r="E16" s="13" t="s">
        <v>106</v>
      </c>
      <c r="F16" s="82"/>
      <c r="G16" s="82" t="s">
        <v>105</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v>32.18</v>
      </c>
      <c r="AS16" s="528">
        <v>34.229999999999997</v>
      </c>
      <c r="AT16" s="528">
        <v>35.53</v>
      </c>
      <c r="AU16" s="528">
        <v>38.090000000000003</v>
      </c>
      <c r="AV16" s="528">
        <v>38.51</v>
      </c>
      <c r="AW16" s="184"/>
    </row>
    <row r="17" spans="1:50" ht="15">
      <c r="A17" s="82"/>
      <c r="B17" s="82"/>
      <c r="C17" s="82"/>
      <c r="D17" s="82"/>
      <c r="E17" s="13" t="s">
        <v>107</v>
      </c>
      <c r="F17" s="82"/>
      <c r="G17" s="82" t="s">
        <v>105</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v>18.34</v>
      </c>
      <c r="AS17" s="528">
        <v>20.21</v>
      </c>
      <c r="AT17" s="528">
        <v>18.8</v>
      </c>
      <c r="AU17" s="528">
        <v>20.56</v>
      </c>
      <c r="AV17" s="528">
        <v>20.3</v>
      </c>
      <c r="AW17" s="184"/>
    </row>
    <row r="18" spans="1:50" ht="15">
      <c r="A18" s="82"/>
      <c r="B18" s="82"/>
      <c r="C18" s="82"/>
      <c r="D18" s="82"/>
      <c r="E18" s="13" t="s">
        <v>108</v>
      </c>
      <c r="F18" s="82"/>
      <c r="G18" s="82" t="s">
        <v>105</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v>23.9</v>
      </c>
      <c r="AS18" s="528">
        <v>23.98</v>
      </c>
      <c r="AT18" s="528">
        <v>23.91</v>
      </c>
      <c r="AU18" s="528">
        <v>24.35</v>
      </c>
      <c r="AV18" s="528">
        <v>23.98</v>
      </c>
      <c r="AW18" s="184"/>
    </row>
    <row r="19" spans="1:50" ht="15">
      <c r="A19" s="82"/>
      <c r="B19" s="82"/>
      <c r="C19" s="82"/>
      <c r="D19" s="82"/>
      <c r="E19" s="13" t="s">
        <v>109</v>
      </c>
      <c r="F19" s="82"/>
      <c r="G19" s="82" t="s">
        <v>105</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v>3.98</v>
      </c>
      <c r="AS19" s="528">
        <v>3.51</v>
      </c>
      <c r="AT19" s="528">
        <v>3.5</v>
      </c>
      <c r="AU19" s="528">
        <v>3.85</v>
      </c>
      <c r="AV19" s="528">
        <v>3.48</v>
      </c>
      <c r="AW19" s="184"/>
    </row>
    <row r="20" spans="1:50" ht="15">
      <c r="A20" s="82"/>
      <c r="B20" s="82"/>
      <c r="C20" s="82"/>
      <c r="D20" s="82"/>
      <c r="E20" s="13" t="s">
        <v>110</v>
      </c>
      <c r="F20" s="82"/>
      <c r="G20" s="82" t="s">
        <v>105</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v>6.22</v>
      </c>
      <c r="AS20" s="528">
        <v>6.23</v>
      </c>
      <c r="AT20" s="528">
        <v>6.1</v>
      </c>
      <c r="AU20" s="528">
        <v>6.15</v>
      </c>
      <c r="AV20" s="528">
        <v>6.03</v>
      </c>
      <c r="AW20" s="184"/>
    </row>
    <row r="21" spans="1:50" ht="15">
      <c r="A21" s="82"/>
      <c r="B21" s="82"/>
      <c r="C21" s="82"/>
      <c r="D21" s="82"/>
      <c r="E21" s="13" t="s">
        <v>111</v>
      </c>
      <c r="F21" s="82"/>
      <c r="G21" s="82" t="s">
        <v>105</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v>71.31</v>
      </c>
      <c r="AS21" s="528">
        <v>71.17</v>
      </c>
      <c r="AT21" s="528">
        <v>69.37</v>
      </c>
      <c r="AU21" s="528">
        <v>69.37</v>
      </c>
      <c r="AV21" s="528">
        <v>67.930000000000007</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112</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
        <v>1312</v>
      </c>
      <c r="F24" s="82"/>
      <c r="G24" s="82" t="s">
        <v>105</v>
      </c>
      <c r="H24" s="82" t="s">
        <v>1313</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cm="1">
        <f t="array" ref="AR24">(SUM(AR15:AR21)+SUMPRODUCT((AR$26:AR$71)*($AL$76:$AL$121="RPEs Apply")*($AM$76:$AM$121=1))) * (AR$223-1)</f>
        <v>-1.666898999999999</v>
      </c>
      <c r="AS24" s="207" cm="1">
        <f t="array" ref="AS24">(SUM(AS15:AS21)+SUMPRODUCT((AS$26:AS$71)*($AL$76:$AL$121="RPEs Apply")*($AM$76:$AM$121=1))) * (AS$223-1)</f>
        <v>0.19241999999997883</v>
      </c>
      <c r="AT24" s="207" cm="1">
        <f t="array" ref="AT24">(SUM(AT15:AT21)+SUMPRODUCT((AT$26:AT$71)*($AL$76:$AL$121="RPEs Apply")*($AM$76:$AM$121=1))) * (AT$223-1)</f>
        <v>2.036327999999997</v>
      </c>
      <c r="AU24" s="207" cm="1">
        <f t="array" ref="AU24">(SUM(AU15:AU21)+SUMPRODUCT((AU$26:AU$71)*($AL$76:$AL$121="RPEs Apply")*($AM$76:$AM$121=1))) * (AU$223-1)</f>
        <v>4.1616039999999996</v>
      </c>
      <c r="AV24" s="207" cm="1">
        <f t="array" ref="AV24">(SUM(AV15:AV21)+SUMPRODUCT((AV$26:AV$71)*($AL$76:$AL$121="RPEs Apply")*($AM$76:$AM$121=1))) * (AV$223-1)</f>
        <v>6.2332199999999922</v>
      </c>
      <c r="AW24" s="184"/>
      <c r="AX24" s="258"/>
    </row>
    <row r="25" spans="1:50" ht="15">
      <c r="A25" s="82"/>
      <c r="B25" s="82"/>
      <c r="C25" s="82"/>
      <c r="D25" s="82"/>
      <c r="E25" s="82" t="s">
        <v>1314</v>
      </c>
      <c r="F25" s="82"/>
      <c r="G25" s="82" t="s">
        <v>105</v>
      </c>
      <c r="H25" s="82" t="s">
        <v>1313</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cm="1">
        <f t="array" ref="AR25">SUMPRODUCT((AR$26:AR$71)*($AL$76:$AL$121="RPEs Apply")*($AM$76:$AM$121=2)) * (AR$223-1)</f>
        <v>-3.3098222389318969E-2</v>
      </c>
      <c r="AS25" s="207" cm="1">
        <f t="array" ref="AS25">SUMPRODUCT((AS$26:AS$71)*($AL$76:$AL$121="RPEs Apply")*($AM$76:$AM$121=2)) * (AS$223-1)</f>
        <v>1.0433110592683224E-2</v>
      </c>
      <c r="AT25" s="207" cm="1">
        <f t="array" ref="AT25">SUMPRODUCT((AT$26:AT$71)*($AL$76:$AL$121="RPEs Apply")*($AM$76:$AM$121=2)) * (AT$223-1)</f>
        <v>0.16616877967218457</v>
      </c>
      <c r="AU25" s="207" cm="1">
        <f t="array" ref="AU25">SUMPRODUCT((AU$26:AU$71)*($AL$76:$AL$121="RPEs Apply")*($AM$76:$AM$121=2)) * (AU$223-1)</f>
        <v>0.27071011374864323</v>
      </c>
      <c r="AV25" s="207" cm="1">
        <f t="array" ref="AV25">SUMPRODUCT((AV$26:AV$71)*($AL$76:$AL$121="RPEs Apply")*($AM$76:$AM$121=2)) * (AV$223-1)</f>
        <v>0.4222210310171568</v>
      </c>
      <c r="AW25" s="184"/>
      <c r="AX25" s="258"/>
    </row>
    <row r="26" spans="1:50" ht="15">
      <c r="A26" s="82"/>
      <c r="B26" s="82"/>
      <c r="C26" s="82"/>
      <c r="D26" s="82"/>
      <c r="E26" s="82" t="s">
        <v>1315</v>
      </c>
      <c r="F26" s="82"/>
      <c r="G26" s="82" t="s">
        <v>105</v>
      </c>
      <c r="H26" s="82" t="s">
        <v>1316</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v>0</v>
      </c>
      <c r="AS26" s="476">
        <v>0</v>
      </c>
      <c r="AT26" s="476">
        <v>0</v>
      </c>
      <c r="AU26" s="476">
        <v>0</v>
      </c>
      <c r="AV26" s="476">
        <v>0</v>
      </c>
      <c r="AW26" s="184"/>
      <c r="AX26" s="258"/>
    </row>
    <row r="27" spans="1:50" ht="15">
      <c r="A27" s="82"/>
      <c r="B27" s="82"/>
      <c r="C27" s="82"/>
      <c r="D27" s="82"/>
      <c r="E27" s="82" t="s">
        <v>1317</v>
      </c>
      <c r="F27" s="82"/>
      <c r="G27" s="82" t="s">
        <v>105</v>
      </c>
      <c r="H27" s="82" t="s">
        <v>1318</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v>0</v>
      </c>
      <c r="AS27" s="476">
        <v>0</v>
      </c>
      <c r="AT27" s="476">
        <v>0</v>
      </c>
      <c r="AU27" s="476">
        <v>0</v>
      </c>
      <c r="AV27" s="476">
        <v>0</v>
      </c>
      <c r="AW27" s="184"/>
      <c r="AX27" s="258"/>
    </row>
    <row r="28" spans="1:50" ht="15">
      <c r="A28" s="82"/>
      <c r="B28" s="82"/>
      <c r="C28" s="82"/>
      <c r="D28" s="82"/>
      <c r="E28" s="82" t="s">
        <v>1319</v>
      </c>
      <c r="F28" s="82"/>
      <c r="G28" s="82" t="s">
        <v>105</v>
      </c>
      <c r="H28" s="82" t="s">
        <v>1320</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v>0</v>
      </c>
      <c r="AS28" s="476">
        <v>0</v>
      </c>
      <c r="AT28" s="476">
        <v>0</v>
      </c>
      <c r="AU28" s="476">
        <v>0</v>
      </c>
      <c r="AV28" s="476">
        <v>0</v>
      </c>
      <c r="AW28" s="184"/>
      <c r="AX28" s="258"/>
    </row>
    <row r="29" spans="1:50" ht="15">
      <c r="A29" s="82"/>
      <c r="B29" s="82"/>
      <c r="C29" s="82"/>
      <c r="D29" s="82"/>
      <c r="E29" s="82" t="s">
        <v>1321</v>
      </c>
      <c r="F29" s="82"/>
      <c r="G29" s="82" t="s">
        <v>105</v>
      </c>
      <c r="H29" s="82" t="s">
        <v>1322</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v>0</v>
      </c>
      <c r="AS29" s="476">
        <v>0</v>
      </c>
      <c r="AT29" s="476">
        <v>0</v>
      </c>
      <c r="AU29" s="476">
        <v>0</v>
      </c>
      <c r="AV29" s="476">
        <v>0</v>
      </c>
      <c r="AW29" s="184"/>
      <c r="AX29" s="258"/>
    </row>
    <row r="30" spans="1:50" ht="15">
      <c r="A30" s="82"/>
      <c r="B30" s="82"/>
      <c r="C30" s="82"/>
      <c r="D30" s="82"/>
      <c r="E30" s="82" t="s">
        <v>1323</v>
      </c>
      <c r="F30" s="82"/>
      <c r="G30" s="82" t="s">
        <v>105</v>
      </c>
      <c r="H30" s="82" t="s">
        <v>1324</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v>0</v>
      </c>
      <c r="AS30" s="476">
        <v>0</v>
      </c>
      <c r="AT30" s="476">
        <v>0</v>
      </c>
      <c r="AU30" s="476">
        <v>0</v>
      </c>
      <c r="AV30" s="476">
        <v>0</v>
      </c>
      <c r="AW30" s="184"/>
      <c r="AX30" s="258"/>
    </row>
    <row r="31" spans="1:50" ht="15">
      <c r="A31" s="82"/>
      <c r="B31" s="82"/>
      <c r="C31" s="82"/>
      <c r="D31" s="82"/>
      <c r="E31" s="82" t="s">
        <v>1325</v>
      </c>
      <c r="F31" s="82"/>
      <c r="G31" s="82" t="s">
        <v>105</v>
      </c>
      <c r="H31" s="82" t="s">
        <v>1326</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v>0</v>
      </c>
      <c r="AS31" s="476">
        <v>0</v>
      </c>
      <c r="AT31" s="476">
        <v>0</v>
      </c>
      <c r="AU31" s="476">
        <v>0</v>
      </c>
      <c r="AV31" s="476">
        <v>0</v>
      </c>
      <c r="AW31" s="184"/>
      <c r="AX31" s="258"/>
    </row>
    <row r="32" spans="1:50" ht="15">
      <c r="A32" s="82"/>
      <c r="B32" s="82"/>
      <c r="C32" s="82"/>
      <c r="D32" s="82"/>
      <c r="E32" s="82" t="s">
        <v>1327</v>
      </c>
      <c r="F32" s="82"/>
      <c r="G32" s="82" t="s">
        <v>105</v>
      </c>
      <c r="H32" s="82" t="s">
        <v>1328</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v>0</v>
      </c>
      <c r="AS32" s="476">
        <v>0</v>
      </c>
      <c r="AT32" s="476">
        <v>0</v>
      </c>
      <c r="AU32" s="476">
        <v>0</v>
      </c>
      <c r="AV32" s="476">
        <v>0</v>
      </c>
      <c r="AW32" s="184"/>
      <c r="AX32" s="258"/>
    </row>
    <row r="33" spans="1:50" ht="15">
      <c r="A33" s="82"/>
      <c r="B33" s="82"/>
      <c r="C33" s="82"/>
      <c r="D33" s="82"/>
      <c r="E33" s="82" t="s">
        <v>1329</v>
      </c>
      <c r="F33" s="82"/>
      <c r="G33" s="82" t="s">
        <v>105</v>
      </c>
      <c r="H33" s="82" t="s">
        <v>1330</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v>27.06</v>
      </c>
      <c r="AS33" s="476">
        <v>27.77</v>
      </c>
      <c r="AT33" s="476">
        <v>26.55</v>
      </c>
      <c r="AU33" s="476">
        <v>27.58</v>
      </c>
      <c r="AV33" s="476">
        <v>29.74</v>
      </c>
      <c r="AW33" s="184"/>
      <c r="AX33" s="258"/>
    </row>
    <row r="34" spans="1:50" ht="15">
      <c r="A34" s="82"/>
      <c r="B34" s="82"/>
      <c r="C34" s="82"/>
      <c r="D34" s="82"/>
      <c r="E34" s="82" t="s">
        <v>1331</v>
      </c>
      <c r="F34" s="82"/>
      <c r="G34" s="82" t="s">
        <v>105</v>
      </c>
      <c r="H34" s="82" t="s">
        <v>1332</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v>0.62049115946140299</v>
      </c>
      <c r="AS34" s="476">
        <v>2.4783244561256863</v>
      </c>
      <c r="AT34" s="476">
        <v>6.383613974424172</v>
      </c>
      <c r="AU34" s="476">
        <v>9.7291923685449895</v>
      </c>
      <c r="AV34" s="476">
        <v>9.373296719374995</v>
      </c>
      <c r="AW34" s="184"/>
      <c r="AX34" s="258"/>
    </row>
    <row r="35" spans="1:50" ht="15">
      <c r="A35" s="82"/>
      <c r="B35" s="82"/>
      <c r="C35" s="82"/>
      <c r="D35" s="82"/>
      <c r="E35" s="82" t="s">
        <v>1333</v>
      </c>
      <c r="F35" s="82"/>
      <c r="G35" s="82" t="s">
        <v>105</v>
      </c>
      <c r="H35" s="82" t="s">
        <v>1334</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v>0.67971713551624946</v>
      </c>
      <c r="AS35" s="476">
        <v>1.7544926468569502</v>
      </c>
      <c r="AT35" s="476">
        <v>4.3676668561821774</v>
      </c>
      <c r="AU35" s="476">
        <v>3.6722984110908179</v>
      </c>
      <c r="AV35" s="476">
        <v>4.4247761896824347</v>
      </c>
      <c r="AW35" s="184"/>
      <c r="AX35" s="258"/>
    </row>
    <row r="36" spans="1:50" ht="15">
      <c r="A36" s="82"/>
      <c r="B36" s="82"/>
      <c r="C36" s="82"/>
      <c r="D36" s="82"/>
      <c r="E36" s="82" t="s">
        <v>1335</v>
      </c>
      <c r="F36" s="82"/>
      <c r="G36" s="82" t="s">
        <v>105</v>
      </c>
      <c r="H36" s="82" t="s">
        <v>1336</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v>0</v>
      </c>
      <c r="AS36" s="476">
        <v>0</v>
      </c>
      <c r="AT36" s="476">
        <v>0</v>
      </c>
      <c r="AU36" s="476">
        <v>0</v>
      </c>
      <c r="AV36" s="476">
        <v>0</v>
      </c>
      <c r="AW36" s="184"/>
    </row>
    <row r="37" spans="1:50" ht="15">
      <c r="A37" s="82"/>
      <c r="B37" s="82"/>
      <c r="C37" s="82"/>
      <c r="D37" s="82"/>
      <c r="E37" s="82" t="s">
        <v>1337</v>
      </c>
      <c r="F37" s="82"/>
      <c r="G37" s="82" t="s">
        <v>105</v>
      </c>
      <c r="H37" s="82" t="s">
        <v>1338</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v>0</v>
      </c>
      <c r="AS37" s="476">
        <v>0</v>
      </c>
      <c r="AT37" s="476">
        <v>0</v>
      </c>
      <c r="AU37" s="476">
        <v>0</v>
      </c>
      <c r="AV37" s="476">
        <v>0</v>
      </c>
      <c r="AW37" s="184"/>
    </row>
    <row r="38" spans="1:50" ht="15">
      <c r="A38" s="82"/>
      <c r="B38" s="82"/>
      <c r="C38" s="82"/>
      <c r="D38" s="82"/>
      <c r="E38" s="82" t="s">
        <v>1339</v>
      </c>
      <c r="F38" s="82"/>
      <c r="G38" s="82" t="s">
        <v>105</v>
      </c>
      <c r="H38" s="82" t="s">
        <v>1340</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v>2.7859919999999998</v>
      </c>
      <c r="AS38" s="476">
        <v>7.3595280000000001</v>
      </c>
      <c r="AT38" s="476">
        <v>5.5397759999999998</v>
      </c>
      <c r="AU38" s="476">
        <v>0</v>
      </c>
      <c r="AV38" s="476">
        <v>0</v>
      </c>
      <c r="AW38" s="184"/>
    </row>
    <row r="39" spans="1:50" ht="15">
      <c r="A39" s="82"/>
      <c r="B39" s="82"/>
      <c r="C39" s="82"/>
      <c r="D39" s="82"/>
      <c r="E39" s="82" t="s">
        <v>1341</v>
      </c>
      <c r="F39" s="82"/>
      <c r="G39" s="82" t="s">
        <v>105</v>
      </c>
      <c r="H39" s="82" t="s">
        <v>1342</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v>0.39525288250578339</v>
      </c>
      <c r="AS39" s="476">
        <v>1.0716076004338275</v>
      </c>
      <c r="AT39" s="476">
        <v>1.1473426097469699</v>
      </c>
      <c r="AU39" s="476">
        <v>1.1727876057077979</v>
      </c>
      <c r="AV39" s="476">
        <v>1.1927863898237621</v>
      </c>
      <c r="AW39" s="184"/>
    </row>
    <row r="40" spans="1:50" ht="15">
      <c r="A40" s="82"/>
      <c r="B40" s="82"/>
      <c r="C40" s="82"/>
      <c r="D40" s="82"/>
      <c r="E40" s="82" t="s">
        <v>1343</v>
      </c>
      <c r="F40" s="82"/>
      <c r="G40" s="82" t="s">
        <v>105</v>
      </c>
      <c r="H40" s="82" t="s">
        <v>1344</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v>3.03</v>
      </c>
      <c r="AS40" s="476">
        <v>5.21</v>
      </c>
      <c r="AT40" s="476">
        <v>2.4900000000000002</v>
      </c>
      <c r="AU40" s="476">
        <v>0.45</v>
      </c>
      <c r="AV40" s="476">
        <v>0.45</v>
      </c>
      <c r="AW40" s="184"/>
    </row>
    <row r="41" spans="1:50" ht="15">
      <c r="A41" s="82"/>
      <c r="B41" s="82"/>
      <c r="C41" s="82"/>
      <c r="D41" s="82"/>
      <c r="E41" s="82" t="s">
        <v>1345</v>
      </c>
      <c r="F41" s="82"/>
      <c r="G41" s="82" t="s">
        <v>105</v>
      </c>
      <c r="H41" s="82" t="s">
        <v>1346</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v>1.36</v>
      </c>
      <c r="AS41" s="476">
        <v>7.0937078566233769</v>
      </c>
      <c r="AT41" s="476">
        <v>15.961334007619048</v>
      </c>
      <c r="AU41" s="476">
        <v>14.990105017316019</v>
      </c>
      <c r="AV41" s="476">
        <v>3.2402745584415582</v>
      </c>
      <c r="AW41" s="184"/>
    </row>
    <row r="42" spans="1:50" ht="15">
      <c r="A42" s="82"/>
      <c r="B42" s="82"/>
      <c r="C42" s="82"/>
      <c r="D42" s="82"/>
      <c r="E42" s="82" t="s">
        <v>1347</v>
      </c>
      <c r="F42" s="82"/>
      <c r="G42" s="82" t="s">
        <v>105</v>
      </c>
      <c r="H42" s="82" t="s">
        <v>1348</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v>0.9</v>
      </c>
      <c r="AS42" s="476">
        <v>0.71</v>
      </c>
      <c r="AT42" s="476">
        <v>1.1100000000000001</v>
      </c>
      <c r="AU42" s="476">
        <v>0.47</v>
      </c>
      <c r="AV42" s="476">
        <v>0.45</v>
      </c>
      <c r="AW42" s="184"/>
    </row>
    <row r="43" spans="1:50" ht="15">
      <c r="A43" s="82"/>
      <c r="B43" s="82"/>
      <c r="C43" s="82"/>
      <c r="D43" s="82"/>
      <c r="E43" s="82" t="s">
        <v>1349</v>
      </c>
      <c r="F43" s="82"/>
      <c r="G43" s="82" t="s">
        <v>105</v>
      </c>
      <c r="H43" s="82" t="s">
        <v>1350</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c r="AS43" s="476"/>
      <c r="AT43" s="476"/>
      <c r="AU43" s="476"/>
      <c r="AV43" s="476"/>
      <c r="AW43" s="184"/>
    </row>
    <row r="44" spans="1:50" ht="15">
      <c r="A44" s="82"/>
      <c r="B44" s="82"/>
      <c r="C44" s="82"/>
      <c r="D44" s="82"/>
      <c r="E44" s="82" t="s">
        <v>113</v>
      </c>
      <c r="F44" s="82"/>
      <c r="G44" s="82" t="s">
        <v>105</v>
      </c>
      <c r="H44" s="82" t="s">
        <v>1351</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c r="AS44" s="476"/>
      <c r="AT44" s="476"/>
      <c r="AU44" s="476"/>
      <c r="AV44" s="476"/>
      <c r="AW44" s="184"/>
    </row>
    <row r="45" spans="1:50" ht="15">
      <c r="A45" s="82"/>
      <c r="B45" s="82"/>
      <c r="C45" s="82"/>
      <c r="D45" s="82"/>
      <c r="E45" s="82" t="s">
        <v>1352</v>
      </c>
      <c r="F45" s="82"/>
      <c r="G45" s="82" t="s">
        <v>105</v>
      </c>
      <c r="H45" s="82" t="s">
        <v>1353</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c r="AS45" s="476"/>
      <c r="AT45" s="476"/>
      <c r="AU45" s="476"/>
      <c r="AV45" s="476"/>
      <c r="AW45" s="184"/>
    </row>
    <row r="46" spans="1:50" ht="15">
      <c r="A46" s="82"/>
      <c r="B46" s="82"/>
      <c r="C46" s="82"/>
      <c r="D46" s="82"/>
      <c r="E46" s="82" t="s">
        <v>1354</v>
      </c>
      <c r="F46" s="82"/>
      <c r="G46" s="82" t="s">
        <v>105</v>
      </c>
      <c r="H46" s="82" t="s">
        <v>114</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c r="AS46" s="476"/>
      <c r="AT46" s="476"/>
      <c r="AU46" s="476"/>
      <c r="AV46" s="476"/>
      <c r="AW46" s="184"/>
    </row>
    <row r="47" spans="1:50" ht="15">
      <c r="A47" s="82"/>
      <c r="B47" s="82"/>
      <c r="C47" s="82"/>
      <c r="D47" s="82"/>
      <c r="E47" s="82" t="s">
        <v>1355</v>
      </c>
      <c r="F47" s="82"/>
      <c r="G47" s="82" t="s">
        <v>105</v>
      </c>
      <c r="H47" s="82" t="s">
        <v>1356</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c r="AS47" s="476"/>
      <c r="AT47" s="476"/>
      <c r="AU47" s="476"/>
      <c r="AV47" s="476"/>
      <c r="AW47" s="184"/>
    </row>
    <row r="48" spans="1:50" ht="15">
      <c r="A48" s="82"/>
      <c r="B48" s="82"/>
      <c r="C48" s="82"/>
      <c r="D48" s="82"/>
      <c r="E48" s="82" t="s">
        <v>1357</v>
      </c>
      <c r="F48" s="82"/>
      <c r="G48" s="82" t="s">
        <v>105</v>
      </c>
      <c r="H48" s="82" t="s">
        <v>1358</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c r="AS48" s="476"/>
      <c r="AT48" s="476"/>
      <c r="AU48" s="476"/>
      <c r="AV48" s="476"/>
      <c r="AW48" s="184"/>
    </row>
    <row r="49" spans="1:49" ht="15">
      <c r="A49" s="82"/>
      <c r="B49" s="82"/>
      <c r="C49" s="82"/>
      <c r="D49" s="82"/>
      <c r="E49" s="82" t="s">
        <v>1359</v>
      </c>
      <c r="F49" s="82"/>
      <c r="G49" s="82" t="s">
        <v>105</v>
      </c>
      <c r="H49" s="82" t="s">
        <v>1360</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c r="AS49" s="476"/>
      <c r="AT49" s="476"/>
      <c r="AU49" s="476"/>
      <c r="AV49" s="476"/>
      <c r="AW49" s="184"/>
    </row>
    <row r="50" spans="1:49" ht="15">
      <c r="A50" s="82"/>
      <c r="B50" s="82"/>
      <c r="C50" s="82"/>
      <c r="D50" s="82"/>
      <c r="E50" s="82" t="s">
        <v>1361</v>
      </c>
      <c r="F50" s="82"/>
      <c r="G50" s="82" t="s">
        <v>105</v>
      </c>
      <c r="H50" s="82" t="s">
        <v>1362</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v>0.15473140499478172</v>
      </c>
      <c r="AS50" s="476">
        <v>0.16028178160164702</v>
      </c>
      <c r="AT50" s="476">
        <v>0.17030084612910451</v>
      </c>
      <c r="AU50" s="476">
        <v>0.1841790696069168</v>
      </c>
      <c r="AV50" s="476">
        <v>0.18050689766755001</v>
      </c>
      <c r="AW50" s="184"/>
    </row>
    <row r="51" spans="1:49" ht="15">
      <c r="A51" s="82"/>
      <c r="B51" s="82"/>
      <c r="C51" s="82"/>
      <c r="D51" s="82"/>
      <c r="E51" s="82" t="s">
        <v>1363</v>
      </c>
      <c r="F51" s="82"/>
      <c r="G51" s="82" t="s">
        <v>105</v>
      </c>
      <c r="H51" s="82" t="s">
        <v>1364</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v>0</v>
      </c>
      <c r="AS51" s="476">
        <v>0</v>
      </c>
      <c r="AT51" s="476">
        <v>0</v>
      </c>
      <c r="AU51" s="476">
        <v>0</v>
      </c>
      <c r="AV51" s="476">
        <v>0</v>
      </c>
      <c r="AW51" s="184"/>
    </row>
    <row r="52" spans="1:49" ht="15">
      <c r="A52" s="82"/>
      <c r="B52" s="82"/>
      <c r="C52" s="82"/>
      <c r="D52" s="82"/>
      <c r="E52" s="82" t="s">
        <v>1365</v>
      </c>
      <c r="F52" s="82"/>
      <c r="G52" s="82" t="s">
        <v>105</v>
      </c>
      <c r="H52" s="82" t="s">
        <v>1366</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v>1.88</v>
      </c>
      <c r="AS52" s="476">
        <v>1.82</v>
      </c>
      <c r="AT52" s="476">
        <v>0.34</v>
      </c>
      <c r="AU52" s="476">
        <v>0.23</v>
      </c>
      <c r="AV52" s="476">
        <v>0.22</v>
      </c>
      <c r="AW52" s="184"/>
    </row>
    <row r="53" spans="1:49" ht="15">
      <c r="A53" s="82"/>
      <c r="B53" s="82"/>
      <c r="C53" s="82"/>
      <c r="D53" s="82"/>
      <c r="E53" s="82" t="s">
        <v>1367</v>
      </c>
      <c r="F53" s="82"/>
      <c r="G53" s="82" t="s">
        <v>105</v>
      </c>
      <c r="H53" s="82" t="s">
        <v>1368</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v>0</v>
      </c>
      <c r="AS53" s="476">
        <v>0</v>
      </c>
      <c r="AT53" s="476">
        <v>0</v>
      </c>
      <c r="AU53" s="476">
        <v>0</v>
      </c>
      <c r="AV53" s="476">
        <v>0</v>
      </c>
      <c r="AW53" s="184"/>
    </row>
    <row r="54" spans="1:49" ht="15">
      <c r="A54" s="82"/>
      <c r="B54" s="82"/>
      <c r="C54" s="82"/>
      <c r="D54" s="82"/>
      <c r="E54" s="82" t="s">
        <v>1369</v>
      </c>
      <c r="F54" s="82"/>
      <c r="G54" s="82" t="s">
        <v>105</v>
      </c>
      <c r="H54" s="82" t="s">
        <v>1370</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v>0.14042249585758648</v>
      </c>
      <c r="AS54" s="476">
        <v>0.45714424712212476</v>
      </c>
      <c r="AT54" s="476">
        <v>1.1611383297054858</v>
      </c>
      <c r="AU54" s="476">
        <v>1.4473610042006673</v>
      </c>
      <c r="AV54" s="476">
        <v>1.4901918741782023</v>
      </c>
      <c r="AW54" s="184"/>
    </row>
    <row r="55" spans="1:49" ht="15">
      <c r="A55" s="82"/>
      <c r="B55" s="82"/>
      <c r="C55" s="82"/>
      <c r="D55" s="82"/>
      <c r="E55" s="182" t="s">
        <v>1371</v>
      </c>
      <c r="F55" s="82"/>
      <c r="G55" s="82" t="s">
        <v>105</v>
      </c>
      <c r="H55" s="82" t="s">
        <v>1372</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c r="AS55" s="476"/>
      <c r="AT55" s="476"/>
      <c r="AU55" s="476"/>
      <c r="AV55" s="476"/>
      <c r="AW55" s="184"/>
    </row>
    <row r="56" spans="1:49" ht="15">
      <c r="A56" s="82"/>
      <c r="B56" s="82"/>
      <c r="C56" s="82"/>
      <c r="D56" s="82"/>
      <c r="E56" s="182" t="s">
        <v>1373</v>
      </c>
      <c r="F56" s="82"/>
      <c r="G56" s="82" t="s">
        <v>105</v>
      </c>
      <c r="H56" s="82" t="s">
        <v>1374</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c r="AS56" s="476"/>
      <c r="AT56" s="476"/>
      <c r="AU56" s="476"/>
      <c r="AV56" s="476"/>
      <c r="AW56" s="184"/>
    </row>
    <row r="57" spans="1:49" ht="15">
      <c r="A57" s="82"/>
      <c r="B57" s="82"/>
      <c r="C57" s="82"/>
      <c r="D57" s="82"/>
      <c r="E57" s="182" t="s">
        <v>1375</v>
      </c>
      <c r="F57" s="82"/>
      <c r="G57" s="82" t="s">
        <v>105</v>
      </c>
      <c r="H57" s="82" t="s">
        <v>1376</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c r="AS57" s="476"/>
      <c r="AT57" s="476"/>
      <c r="AU57" s="476"/>
      <c r="AV57" s="476"/>
      <c r="AW57" s="184"/>
    </row>
    <row r="58" spans="1:49" ht="15">
      <c r="A58" s="82"/>
      <c r="B58" s="82"/>
      <c r="C58" s="82"/>
      <c r="D58" s="82"/>
      <c r="E58" s="182" t="s">
        <v>1377</v>
      </c>
      <c r="F58" s="82"/>
      <c r="G58" s="82" t="s">
        <v>105</v>
      </c>
      <c r="H58" s="82" t="s">
        <v>1378</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v>0</v>
      </c>
      <c r="AS58" s="476">
        <v>0</v>
      </c>
      <c r="AT58" s="476">
        <v>0</v>
      </c>
      <c r="AU58" s="476">
        <v>0</v>
      </c>
      <c r="AV58" s="476">
        <v>0</v>
      </c>
      <c r="AW58" s="184"/>
    </row>
    <row r="59" spans="1:49" ht="15">
      <c r="A59" s="82"/>
      <c r="B59" s="82"/>
      <c r="C59" s="82"/>
      <c r="D59" s="82"/>
      <c r="E59" s="182" t="s">
        <v>1379</v>
      </c>
      <c r="F59" s="82"/>
      <c r="G59" s="82" t="s">
        <v>105</v>
      </c>
      <c r="H59" s="82" t="s">
        <v>1380</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v>0</v>
      </c>
      <c r="AS59" s="476">
        <v>0</v>
      </c>
      <c r="AT59" s="476">
        <v>0</v>
      </c>
      <c r="AU59" s="476">
        <v>0</v>
      </c>
      <c r="AV59" s="476">
        <v>0</v>
      </c>
      <c r="AW59" s="184"/>
    </row>
    <row r="60" spans="1:49" ht="15">
      <c r="A60" s="82"/>
      <c r="B60" s="82"/>
      <c r="C60" s="82"/>
      <c r="D60" s="82"/>
      <c r="E60" s="182" t="s">
        <v>1381</v>
      </c>
      <c r="F60" s="82"/>
      <c r="G60" s="82" t="s">
        <v>105</v>
      </c>
      <c r="H60" s="82" t="s">
        <v>1382</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v>0</v>
      </c>
      <c r="AS60" s="476">
        <v>0</v>
      </c>
      <c r="AT60" s="476">
        <v>0</v>
      </c>
      <c r="AU60" s="476">
        <v>0</v>
      </c>
      <c r="AV60" s="476">
        <v>0</v>
      </c>
      <c r="AW60" s="184"/>
    </row>
    <row r="61" spans="1:49" ht="15">
      <c r="A61" s="82"/>
      <c r="B61" s="82"/>
      <c r="C61" s="82"/>
      <c r="D61" s="82"/>
      <c r="E61" s="182" t="s">
        <v>1383</v>
      </c>
      <c r="F61" s="82"/>
      <c r="G61" s="82" t="s">
        <v>105</v>
      </c>
      <c r="H61" s="82" t="s">
        <v>1384</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v>9.8873967942453884</v>
      </c>
      <c r="AS61" s="476">
        <v>13.679290695742472</v>
      </c>
      <c r="AT61" s="476">
        <v>0</v>
      </c>
      <c r="AU61" s="476">
        <v>0</v>
      </c>
      <c r="AV61" s="476">
        <v>0</v>
      </c>
      <c r="AW61" s="184"/>
    </row>
    <row r="62" spans="1:49" ht="15">
      <c r="A62" s="82"/>
      <c r="B62" s="82"/>
      <c r="C62" s="82"/>
      <c r="D62" s="82"/>
      <c r="E62" s="182" t="s">
        <v>1385</v>
      </c>
      <c r="F62" s="82"/>
      <c r="G62" s="82" t="s">
        <v>105</v>
      </c>
      <c r="H62" s="82" t="s">
        <v>1386</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v>0</v>
      </c>
      <c r="AS62" s="476">
        <v>0</v>
      </c>
      <c r="AT62" s="476">
        <v>0</v>
      </c>
      <c r="AU62" s="476">
        <v>0</v>
      </c>
      <c r="AV62" s="476">
        <v>0</v>
      </c>
      <c r="AW62" s="184"/>
    </row>
    <row r="63" spans="1:49" ht="15">
      <c r="A63" s="82"/>
      <c r="B63" s="82"/>
      <c r="C63" s="82"/>
      <c r="D63" s="82"/>
      <c r="E63" s="182" t="s">
        <v>1387</v>
      </c>
      <c r="F63" s="82"/>
      <c r="G63" s="82" t="s">
        <v>105</v>
      </c>
      <c r="H63" s="82" t="s">
        <v>1388</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v>0</v>
      </c>
      <c r="AS63" s="476">
        <v>0</v>
      </c>
      <c r="AT63" s="476">
        <v>0</v>
      </c>
      <c r="AU63" s="476">
        <v>0</v>
      </c>
      <c r="AV63" s="476">
        <v>0</v>
      </c>
      <c r="AW63" s="184"/>
    </row>
    <row r="64" spans="1:49" ht="15">
      <c r="A64" s="82"/>
      <c r="B64" s="82"/>
      <c r="C64" s="82"/>
      <c r="D64" s="82"/>
      <c r="E64" s="182">
        <v>0</v>
      </c>
      <c r="F64" s="82"/>
      <c r="G64" s="82" t="s">
        <v>105</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c r="AS64" s="476"/>
      <c r="AT64" s="476"/>
      <c r="AU64" s="476"/>
      <c r="AV64" s="476"/>
      <c r="AW64" s="184"/>
    </row>
    <row r="65" spans="1:49" ht="15">
      <c r="A65" s="82"/>
      <c r="B65" s="82"/>
      <c r="C65" s="82"/>
      <c r="D65" s="82"/>
      <c r="E65" s="182">
        <v>0</v>
      </c>
      <c r="F65" s="82"/>
      <c r="G65" s="82" t="s">
        <v>105</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c r="AS65" s="476"/>
      <c r="AT65" s="476"/>
      <c r="AU65" s="476"/>
      <c r="AV65" s="476"/>
      <c r="AW65" s="184"/>
    </row>
    <row r="66" spans="1:49" ht="15">
      <c r="A66" s="82"/>
      <c r="B66" s="82"/>
      <c r="C66" s="82"/>
      <c r="D66" s="82"/>
      <c r="E66" s="182">
        <v>0</v>
      </c>
      <c r="F66" s="82"/>
      <c r="G66" s="82" t="s">
        <v>105</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c r="AS66" s="476"/>
      <c r="AT66" s="476"/>
      <c r="AU66" s="476"/>
      <c r="AV66" s="476"/>
      <c r="AW66" s="184"/>
    </row>
    <row r="67" spans="1:49" ht="15">
      <c r="A67" s="82"/>
      <c r="B67" s="82"/>
      <c r="C67" s="82"/>
      <c r="D67" s="82"/>
      <c r="E67" s="182">
        <v>0</v>
      </c>
      <c r="F67" s="82"/>
      <c r="G67" s="82" t="s">
        <v>105</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c r="AS67" s="476"/>
      <c r="AT67" s="476"/>
      <c r="AU67" s="476"/>
      <c r="AV67" s="476"/>
      <c r="AW67" s="184"/>
    </row>
    <row r="68" spans="1:49" ht="15">
      <c r="A68" s="82"/>
      <c r="B68" s="82"/>
      <c r="C68" s="82"/>
      <c r="D68" s="82"/>
      <c r="E68" s="182">
        <v>0</v>
      </c>
      <c r="F68" s="82"/>
      <c r="G68" s="82" t="s">
        <v>105</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c r="AS68" s="476"/>
      <c r="AT68" s="476"/>
      <c r="AU68" s="476"/>
      <c r="AV68" s="476"/>
      <c r="AW68" s="184"/>
    </row>
    <row r="69" spans="1:49" ht="15">
      <c r="A69" s="82"/>
      <c r="B69" s="82"/>
      <c r="C69" s="82"/>
      <c r="D69" s="82"/>
      <c r="E69" s="182">
        <v>0</v>
      </c>
      <c r="F69" s="82"/>
      <c r="G69" s="82" t="s">
        <v>105</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c r="AS69" s="476"/>
      <c r="AT69" s="476"/>
      <c r="AU69" s="476"/>
      <c r="AV69" s="476"/>
      <c r="AW69" s="184"/>
    </row>
    <row r="70" spans="1:49" ht="15">
      <c r="A70" s="82"/>
      <c r="B70" s="82"/>
      <c r="C70" s="82"/>
      <c r="D70" s="82"/>
      <c r="E70" s="182">
        <v>0</v>
      </c>
      <c r="F70" s="82"/>
      <c r="G70" s="82" t="s">
        <v>105</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c r="AS70" s="476"/>
      <c r="AT70" s="476"/>
      <c r="AU70" s="476"/>
      <c r="AV70" s="476"/>
      <c r="AW70" s="184"/>
    </row>
    <row r="71" spans="1:49" ht="15">
      <c r="A71" s="82"/>
      <c r="B71" s="82"/>
      <c r="C71" s="82"/>
      <c r="D71" s="82"/>
      <c r="E71" s="182">
        <v>0</v>
      </c>
      <c r="F71" s="82"/>
      <c r="G71" s="82" t="s">
        <v>105</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c r="AS71" s="476"/>
      <c r="AT71" s="476"/>
      <c r="AU71" s="476"/>
      <c r="AV71" s="476"/>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75">
      <c r="A73" s="82"/>
      <c r="B73" s="82"/>
      <c r="C73" s="82"/>
      <c r="D73" s="351" t="s">
        <v>115</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116</v>
      </c>
      <c r="AK73" s="495"/>
      <c r="AL73" s="495" t="s">
        <v>117</v>
      </c>
      <c r="AM73" s="495" t="s">
        <v>118</v>
      </c>
      <c r="AN73" s="495"/>
      <c r="AO73" s="495" t="s">
        <v>119</v>
      </c>
      <c r="AP73" s="495" t="s">
        <v>120</v>
      </c>
      <c r="AQ73" s="496" t="s">
        <v>121</v>
      </c>
      <c r="AR73" s="497" t="s">
        <v>122</v>
      </c>
      <c r="AS73" s="495" t="s">
        <v>123</v>
      </c>
      <c r="AT73" s="495" t="s">
        <v>124</v>
      </c>
      <c r="AU73" s="495" t="s">
        <v>125</v>
      </c>
      <c r="AV73" s="495" t="s">
        <v>21</v>
      </c>
      <c r="AW73" s="184"/>
    </row>
    <row r="74" spans="1:49" ht="15">
      <c r="A74" s="82"/>
      <c r="B74" s="82"/>
      <c r="C74" s="82"/>
      <c r="D74" s="82"/>
      <c r="E74" s="82" t="s">
        <v>1312</v>
      </c>
      <c r="F74" s="82"/>
      <c r="G74" s="82" t="s">
        <v>126</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1303</v>
      </c>
      <c r="AK74" s="321"/>
      <c r="AL74" s="417">
        <v>0</v>
      </c>
      <c r="AM74" s="528">
        <v>1</v>
      </c>
      <c r="AN74" s="321"/>
      <c r="AO74" s="263" cm="1">
        <f t="array" ref="AO74">(SUMPRODUCT((AO$76:AO$121)*(($AR$26:$AR$71)+($AS$26:$AS$71)+($AT$26:$AT$71)+($AU$26:$AU$71)+($AV$26:$AV$71))*($AL$76:$AL$121="RPEs Apply")*($AM$76:$AM$121=1))+SUM($AR$15:$AV$15))/(SUMPRODUCT((($AR$26:$AR$71)+($AS$26:$AS$71)+($AT$26:$AT$71)+($AU$26:$AU$71)+($AV$26:$AV$71))*($AM$76:$AM$121=1)*($AL$76:$AL$121="RPEs Apply"))+SUM($AR$15:$AV$21))</f>
        <v>7.6835609116089221E-2</v>
      </c>
      <c r="AP74" s="263" cm="1">
        <f t="array" ref="AP74">(SUMPRODUCT((AP$76:AP$121)*(($AR$26:$AR$71)+($AS$26:$AS$71)+($AT$26:$AT$71)+($AU$26:$AU$71)+($AV$26:$AV$71))*($AL$76:$AL$121="RPEs Apply")*($AM$76:$AM$121=1))+SUM($AR$16:$AV$16))/(SUMPRODUCT((($AR$26:$AR$71)+($AS$26:$AS$71)+($AT$26:$AT$71)+($AU$26:$AU$71)+($AV$26:$AV$71))*($AM$76:$AM$121=1)*($AL$76:$AL$121="RPEs Apply"))+SUM($AR$15:$AV$21))</f>
        <v>0.30831430098644247</v>
      </c>
      <c r="AQ74" s="494" cm="1">
        <f t="array" ref="AQ74">(SUMPRODUCT((AQ$76:AQ$121)*(($AR$26:$AR$71)+($AS$26:$AS$71)+($AT$26:$AT$71)+($AU$26:$AU$71)+($AV$26:$AV$71))*($AL$76:$AL$121="RPEs Apply")*($AM$76:$AM$121=1))+SUM($AR$17:$AV$17))/(SUMPRODUCT((($AR$26:$AR$71)+($AS$26:$AS$71)+($AT$26:$AT$71)+($AU$26:$AU$71)+($AV$26:$AV$71))*($AM$76:$AM$121=1)*($AL$76:$AL$121="RPEs Apply"))+SUM($AR$15:$AV$21))</f>
        <v>0.10674959910588462</v>
      </c>
      <c r="AR74" s="263" cm="1">
        <f t="array" ref="AR74">(SUMPRODUCT((AR$76:AR$121)*(($AR$26:$AR$71)+($AS$26:$AS$71)+($AT$26:$AT$71)+($AU$26:$AU$71)+($AV$26:$AV$71))*($AL$76:$AL$121="RPEs Apply")*($AM$76:$AM$121=1))+SUM($AR$18:$AV$18))/(SUMPRODUCT((($AR$26:$AR$71)+($AS$26:$AS$71)+($AT$26:$AT$71)+($AU$26:$AU$71)+($AV$26:$AV$71))*($AM$76:$AM$121=1)*($AL$76:$AL$121="RPEs Apply"))+SUM($AR$15:$AV$21))</f>
        <v>0.11674036639292482</v>
      </c>
      <c r="AS74" s="263" cm="1">
        <f t="array" ref="AS74">(SUMPRODUCT((AS$76:AS$121)*(($AR$26:$AR$71)+($AS$26:$AS$71)+($AT$26:$AT$71)+($AU$26:$AU$71)+($AV$26:$AV$71))*($AL$76:$AL$121="RPEs Apply")*($AM$76:$AM$121=1))+SUM($AR$19:$AV$19))/(SUMPRODUCT((($AR$26:$AR$71)+($AS$26:$AS$71)+($AT$26:$AT$71)+($AU$26:$AU$71)+($AV$26:$AV$71))*($AM$76:$AM$121=1)*($AL$76:$AL$121="RPEs Apply"))+SUM($AR$15:$AV$21))</f>
        <v>1.7804558044608582E-2</v>
      </c>
      <c r="AT74" s="263" cm="1">
        <f t="array" ref="AT74">(SUMPRODUCT((AT$76:AT$121)*(($AR$26:$AR$71)+($AS$26:$AS$71)+($AT$26:$AT$71)+($AU$26:$AU$71)+($AV$26:$AV$71))*($AL$76:$AL$121="RPEs Apply")*($AM$76:$AM$121=1))+SUM($AR$20:$AV$20))/(SUMPRODUCT((($AR$26:$AR$71)+($AS$26:$AS$71)+($AT$26:$AT$71)+($AU$26:$AU$71)+($AV$26:$AV$71))*($AM$76:$AM$121=1)*($AL$76:$AL$121="RPEs Apply"))+SUM($AR$15:$AV$21))</f>
        <v>2.9865396763691137E-2</v>
      </c>
      <c r="AU74" s="263" cm="1">
        <f t="array" ref="AU74">(SUMPRODUCT((AU$76:AU$121)*(($AR$26:$AR$71)+($AS$26:$AS$71)+($AT$26:$AT$71)+($AU$26:$AU$71)+($AV$26:$AV$71))*($AL$76:$AL$121="RPEs Apply")*($AM$76:$AM$121=1))+SUM($AR$21:$AV$21))/(SUMPRODUCT((($AR$26:$AR$71)+($AS$26:$AS$71)+($AT$26:$AT$71)+($AU$26:$AU$71)+($AV$26:$AV$71))*($AM$76:$AM$121=1)*($AL$76:$AL$121="RPEs Apply"))+SUM($AR$15:$AV$21))</f>
        <v>0.34369016959035914</v>
      </c>
      <c r="AV74" s="263">
        <f>SUM(AO74:AU74)</f>
        <v>1</v>
      </c>
      <c r="AW74" s="184"/>
    </row>
    <row r="75" spans="1:49" ht="15">
      <c r="A75" s="82"/>
      <c r="B75" s="82"/>
      <c r="C75" s="82"/>
      <c r="D75" s="82"/>
      <c r="E75" s="82" t="s">
        <v>1314</v>
      </c>
      <c r="F75" s="82"/>
      <c r="G75" s="82" t="s">
        <v>126</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1303</v>
      </c>
      <c r="AK75" s="321"/>
      <c r="AL75" s="417">
        <v>0</v>
      </c>
      <c r="AM75" s="528">
        <v>2</v>
      </c>
      <c r="AN75" s="321"/>
      <c r="AO75" s="263" cm="1">
        <f t="array" ref="AO75">IF(SUMPRODUCT((($AR$26:$AR$71)+($AS$26:$AS$71)+($AT$26:$AT$71)+($AU$26:$AU$71)+($AV$26:$AV$71))*($AM$76:$AM$121=2)*($AL$76:$AL$121="RPEs Apply"))=0,0,SUMPRODUCT((AO$76:AO$121)*(($AR$26:$AR$71)+($AS$26:$AS$71)+($AT$26:$AT$71)+($AU$26:$AU$71)+($AV$26:$AV$71))*($AL$76:$AL$121="RPEs Apply")*($AM$76:$AM$121=2))/SUMPRODUCT((($AR$26:$AR$71)+($AS$26:$AS$71)+($AT$26:$AT$71)+($AU$26:$AU$71)+($AV$26:$AV$71))*($AM$76:$AM$121=2)*($AL$76:$AL$121="RPEs Apply")))</f>
        <v>0.73490760336331629</v>
      </c>
      <c r="AP75" s="263" cm="1">
        <f t="array" ref="AP75">IF(SUMPRODUCT((($AR$26:$AR$71)+($AS$26:$AS$71)+($AT$26:$AT$71)+($AU$26:$AU$71)+($AV$26:$AV$71))*($AM$76:$AM$121=2)*($AL$76:$AL$121="RPEs Apply"))=0,0,SUMPRODUCT((AP$76:AP$121)*(($AR$26:$AR$71)+($AS$26:$AS$71)+($AT$26:$AT$71)+($AU$26:$AU$71)+($AV$26:$AV$71))*($AL$76:$AL$121="RPEs Apply")*($AM$76:$AM$121=2))/SUMPRODUCT((($AR$26:$AR$71)+($AS$26:$AS$71)+($AT$26:$AT$71)+($AU$26:$AU$71)+($AV$26:$AV$71))*($AM$76:$AM$121=2)*($AL$76:$AL$121="RPEs Apply")))</f>
        <v>0.26509239663668366</v>
      </c>
      <c r="AQ75" s="494"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3"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3"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3"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3"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3">
        <f t="shared" ref="AV75:AV121" si="0">SUM(AO75:AU75)</f>
        <v>1</v>
      </c>
      <c r="AW75" s="184"/>
    </row>
    <row r="76" spans="1:49" ht="15">
      <c r="A76" s="82"/>
      <c r="B76" s="82"/>
      <c r="C76" s="82"/>
      <c r="D76" s="82"/>
      <c r="E76" s="82" t="s">
        <v>1315</v>
      </c>
      <c r="F76" s="82"/>
      <c r="G76" s="82" t="s">
        <v>126</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1389</v>
      </c>
      <c r="AK76" s="321"/>
      <c r="AL76" s="417" t="s">
        <v>1390</v>
      </c>
      <c r="AM76" s="528">
        <v>2</v>
      </c>
      <c r="AN76" s="321"/>
      <c r="AO76" s="410">
        <v>0</v>
      </c>
      <c r="AP76" s="410">
        <v>1</v>
      </c>
      <c r="AQ76" s="456">
        <v>0</v>
      </c>
      <c r="AR76" s="410">
        <v>0</v>
      </c>
      <c r="AS76" s="410">
        <v>0</v>
      </c>
      <c r="AT76" s="410">
        <v>0</v>
      </c>
      <c r="AU76" s="410">
        <v>0</v>
      </c>
      <c r="AV76" s="263">
        <f t="shared" si="0"/>
        <v>1</v>
      </c>
      <c r="AW76" s="184"/>
    </row>
    <row r="77" spans="1:49" ht="15">
      <c r="A77" s="82"/>
      <c r="B77" s="82"/>
      <c r="C77" s="82"/>
      <c r="D77" s="82"/>
      <c r="E77" s="82" t="s">
        <v>1317</v>
      </c>
      <c r="F77" s="82"/>
      <c r="G77" s="82" t="s">
        <v>126</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1389</v>
      </c>
      <c r="AK77" s="321"/>
      <c r="AL77" s="417" t="s">
        <v>1390</v>
      </c>
      <c r="AM77" s="528">
        <v>2</v>
      </c>
      <c r="AN77" s="321"/>
      <c r="AO77" s="410">
        <v>0</v>
      </c>
      <c r="AP77" s="410">
        <v>0</v>
      </c>
      <c r="AQ77" s="456">
        <v>0</v>
      </c>
      <c r="AR77" s="410">
        <v>0</v>
      </c>
      <c r="AS77" s="410">
        <v>0</v>
      </c>
      <c r="AT77" s="410">
        <v>0</v>
      </c>
      <c r="AU77" s="410">
        <v>1</v>
      </c>
      <c r="AV77" s="263">
        <f t="shared" si="0"/>
        <v>1</v>
      </c>
      <c r="AW77" s="184"/>
    </row>
    <row r="78" spans="1:49" ht="15">
      <c r="A78" s="82"/>
      <c r="B78" s="82"/>
      <c r="C78" s="82"/>
      <c r="D78" s="82"/>
      <c r="E78" s="82" t="s">
        <v>1319</v>
      </c>
      <c r="F78" s="82"/>
      <c r="G78" s="82" t="s">
        <v>126</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1389</v>
      </c>
      <c r="AK78" s="321"/>
      <c r="AL78" s="417" t="s">
        <v>1390</v>
      </c>
      <c r="AM78" s="528">
        <v>2</v>
      </c>
      <c r="AN78" s="321"/>
      <c r="AO78" s="410">
        <v>0</v>
      </c>
      <c r="AP78" s="410">
        <v>1</v>
      </c>
      <c r="AQ78" s="456">
        <v>0</v>
      </c>
      <c r="AR78" s="410">
        <v>0</v>
      </c>
      <c r="AS78" s="410">
        <v>0</v>
      </c>
      <c r="AT78" s="410">
        <v>0</v>
      </c>
      <c r="AU78" s="410">
        <v>0</v>
      </c>
      <c r="AV78" s="263">
        <f t="shared" si="0"/>
        <v>1</v>
      </c>
      <c r="AW78" s="184"/>
    </row>
    <row r="79" spans="1:49" ht="15">
      <c r="A79" s="82"/>
      <c r="B79" s="82"/>
      <c r="C79" s="82"/>
      <c r="D79" s="82"/>
      <c r="E79" s="82" t="s">
        <v>1321</v>
      </c>
      <c r="F79" s="82"/>
      <c r="G79" s="82" t="s">
        <v>126</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1389</v>
      </c>
      <c r="AK79" s="321"/>
      <c r="AL79" s="417" t="s">
        <v>1390</v>
      </c>
      <c r="AM79" s="528">
        <v>2</v>
      </c>
      <c r="AN79" s="321"/>
      <c r="AO79" s="410">
        <v>1</v>
      </c>
      <c r="AP79" s="410">
        <v>0</v>
      </c>
      <c r="AQ79" s="456">
        <v>0</v>
      </c>
      <c r="AR79" s="410">
        <v>0</v>
      </c>
      <c r="AS79" s="410">
        <v>0</v>
      </c>
      <c r="AT79" s="410">
        <v>0</v>
      </c>
      <c r="AU79" s="410">
        <v>0</v>
      </c>
      <c r="AV79" s="263">
        <f t="shared" si="0"/>
        <v>1</v>
      </c>
      <c r="AW79" s="184"/>
    </row>
    <row r="80" spans="1:49" ht="15">
      <c r="A80" s="82"/>
      <c r="B80" s="82"/>
      <c r="C80" s="82"/>
      <c r="D80" s="82"/>
      <c r="E80" s="82" t="s">
        <v>1323</v>
      </c>
      <c r="F80" s="82"/>
      <c r="G80" s="82" t="s">
        <v>126</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1389</v>
      </c>
      <c r="AK80" s="321"/>
      <c r="AL80" s="417" t="s">
        <v>1390</v>
      </c>
      <c r="AM80" s="528">
        <v>2</v>
      </c>
      <c r="AN80" s="321"/>
      <c r="AO80" s="410">
        <v>0</v>
      </c>
      <c r="AP80" s="410">
        <v>0</v>
      </c>
      <c r="AQ80" s="456">
        <v>1</v>
      </c>
      <c r="AR80" s="410">
        <v>0</v>
      </c>
      <c r="AS80" s="410">
        <v>0</v>
      </c>
      <c r="AT80" s="410">
        <v>0</v>
      </c>
      <c r="AU80" s="410">
        <v>0</v>
      </c>
      <c r="AV80" s="263">
        <f t="shared" si="0"/>
        <v>1</v>
      </c>
      <c r="AW80" s="184"/>
    </row>
    <row r="81" spans="1:49" ht="15">
      <c r="A81" s="82"/>
      <c r="B81" s="82"/>
      <c r="C81" s="82"/>
      <c r="D81" s="82"/>
      <c r="E81" s="82" t="s">
        <v>1325</v>
      </c>
      <c r="F81" s="82"/>
      <c r="G81" s="82" t="s">
        <v>126</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1389</v>
      </c>
      <c r="AK81" s="321"/>
      <c r="AL81" s="417" t="s">
        <v>1390</v>
      </c>
      <c r="AM81" s="528">
        <v>2</v>
      </c>
      <c r="AN81" s="321"/>
      <c r="AO81" s="410">
        <v>0</v>
      </c>
      <c r="AP81" s="410">
        <v>1</v>
      </c>
      <c r="AQ81" s="456">
        <v>0</v>
      </c>
      <c r="AR81" s="410">
        <v>0</v>
      </c>
      <c r="AS81" s="410">
        <v>0</v>
      </c>
      <c r="AT81" s="410">
        <v>0</v>
      </c>
      <c r="AU81" s="410">
        <v>0</v>
      </c>
      <c r="AV81" s="263">
        <f t="shared" si="0"/>
        <v>1</v>
      </c>
      <c r="AW81" s="184"/>
    </row>
    <row r="82" spans="1:49" ht="15">
      <c r="A82" s="82"/>
      <c r="B82" s="82"/>
      <c r="C82" s="82"/>
      <c r="D82" s="82"/>
      <c r="E82" s="82" t="s">
        <v>1327</v>
      </c>
      <c r="F82" s="82"/>
      <c r="G82" s="82" t="s">
        <v>126</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1389</v>
      </c>
      <c r="AK82" s="321"/>
      <c r="AL82" s="417" t="s">
        <v>1390</v>
      </c>
      <c r="AM82" s="528">
        <v>2</v>
      </c>
      <c r="AN82" s="321"/>
      <c r="AO82" s="410">
        <v>0</v>
      </c>
      <c r="AP82" s="410">
        <v>1</v>
      </c>
      <c r="AQ82" s="456">
        <v>0</v>
      </c>
      <c r="AR82" s="410">
        <v>0</v>
      </c>
      <c r="AS82" s="410">
        <v>0</v>
      </c>
      <c r="AT82" s="410">
        <v>0</v>
      </c>
      <c r="AU82" s="410">
        <v>0</v>
      </c>
      <c r="AV82" s="263">
        <f t="shared" si="0"/>
        <v>1</v>
      </c>
      <c r="AW82" s="184"/>
    </row>
    <row r="83" spans="1:49" ht="15">
      <c r="A83" s="82"/>
      <c r="B83" s="82"/>
      <c r="C83" s="82"/>
      <c r="D83" s="82"/>
      <c r="E83" s="82" t="s">
        <v>1329</v>
      </c>
      <c r="F83" s="82"/>
      <c r="G83" s="82" t="s">
        <v>126</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1391</v>
      </c>
      <c r="AK83" s="321"/>
      <c r="AL83" s="417" t="s">
        <v>1392</v>
      </c>
      <c r="AM83" s="528">
        <v>1</v>
      </c>
      <c r="AN83" s="321"/>
      <c r="AO83" s="410">
        <v>0</v>
      </c>
      <c r="AP83" s="410">
        <v>1</v>
      </c>
      <c r="AQ83" s="456">
        <v>0</v>
      </c>
      <c r="AR83" s="410">
        <v>0</v>
      </c>
      <c r="AS83" s="410">
        <v>0</v>
      </c>
      <c r="AT83" s="410">
        <v>0</v>
      </c>
      <c r="AU83" s="410">
        <v>0</v>
      </c>
      <c r="AV83" s="263">
        <f t="shared" si="0"/>
        <v>1</v>
      </c>
      <c r="AW83" s="184"/>
    </row>
    <row r="84" spans="1:49" ht="15">
      <c r="A84" s="82"/>
      <c r="B84" s="82"/>
      <c r="C84" s="82"/>
      <c r="D84" s="82"/>
      <c r="E84" s="82" t="s">
        <v>1331</v>
      </c>
      <c r="F84" s="82"/>
      <c r="G84" s="82" t="s">
        <v>126</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1393</v>
      </c>
      <c r="AK84" s="321"/>
      <c r="AL84" s="417" t="s">
        <v>1392</v>
      </c>
      <c r="AM84" s="528">
        <v>2</v>
      </c>
      <c r="AN84" s="321"/>
      <c r="AO84" s="410">
        <v>1</v>
      </c>
      <c r="AP84" s="410">
        <v>0</v>
      </c>
      <c r="AQ84" s="456">
        <v>0</v>
      </c>
      <c r="AR84" s="410">
        <v>0</v>
      </c>
      <c r="AS84" s="410">
        <v>0</v>
      </c>
      <c r="AT84" s="410">
        <v>0</v>
      </c>
      <c r="AU84" s="410">
        <v>0</v>
      </c>
      <c r="AV84" s="263">
        <f t="shared" si="0"/>
        <v>1</v>
      </c>
      <c r="AW84" s="184"/>
    </row>
    <row r="85" spans="1:49" ht="15">
      <c r="A85" s="82"/>
      <c r="B85" s="82"/>
      <c r="C85" s="82"/>
      <c r="D85" s="82"/>
      <c r="E85" s="82" t="s">
        <v>1333</v>
      </c>
      <c r="F85" s="82"/>
      <c r="G85" s="82" t="s">
        <v>126</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1393</v>
      </c>
      <c r="AK85" s="321"/>
      <c r="AL85" s="417" t="s">
        <v>1392</v>
      </c>
      <c r="AM85" s="528">
        <v>2</v>
      </c>
      <c r="AN85" s="321"/>
      <c r="AO85" s="410">
        <v>1</v>
      </c>
      <c r="AP85" s="410">
        <v>0</v>
      </c>
      <c r="AQ85" s="456">
        <v>0</v>
      </c>
      <c r="AR85" s="410">
        <v>0</v>
      </c>
      <c r="AS85" s="410">
        <v>0</v>
      </c>
      <c r="AT85" s="410">
        <v>0</v>
      </c>
      <c r="AU85" s="410">
        <v>0</v>
      </c>
      <c r="AV85" s="263">
        <f t="shared" si="0"/>
        <v>1</v>
      </c>
      <c r="AW85" s="184"/>
    </row>
    <row r="86" spans="1:49" ht="15">
      <c r="A86" s="82"/>
      <c r="B86" s="82"/>
      <c r="C86" s="82"/>
      <c r="D86" s="82"/>
      <c r="E86" s="82" t="s">
        <v>1335</v>
      </c>
      <c r="F86" s="82"/>
      <c r="G86" s="82" t="s">
        <v>126</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1389</v>
      </c>
      <c r="AK86" s="321"/>
      <c r="AL86" s="417" t="s">
        <v>1390</v>
      </c>
      <c r="AM86" s="528">
        <v>2</v>
      </c>
      <c r="AN86" s="321"/>
      <c r="AO86" s="410">
        <v>1</v>
      </c>
      <c r="AP86" s="410">
        <v>0</v>
      </c>
      <c r="AQ86" s="456">
        <v>0</v>
      </c>
      <c r="AR86" s="410">
        <v>0</v>
      </c>
      <c r="AS86" s="410">
        <v>0</v>
      </c>
      <c r="AT86" s="410">
        <v>0</v>
      </c>
      <c r="AU86" s="410">
        <v>0</v>
      </c>
      <c r="AV86" s="263">
        <f t="shared" si="0"/>
        <v>1</v>
      </c>
      <c r="AW86" s="184"/>
    </row>
    <row r="87" spans="1:49" ht="15">
      <c r="A87" s="82"/>
      <c r="B87" s="82"/>
      <c r="C87" s="82"/>
      <c r="D87" s="82"/>
      <c r="E87" s="82" t="s">
        <v>1337</v>
      </c>
      <c r="F87" s="82"/>
      <c r="G87" s="82" t="s">
        <v>126</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1389</v>
      </c>
      <c r="AK87" s="321"/>
      <c r="AL87" s="417" t="s">
        <v>1390</v>
      </c>
      <c r="AM87" s="528">
        <v>2</v>
      </c>
      <c r="AN87" s="321"/>
      <c r="AO87" s="410">
        <v>0</v>
      </c>
      <c r="AP87" s="410">
        <v>0</v>
      </c>
      <c r="AQ87" s="456">
        <v>0.5</v>
      </c>
      <c r="AR87" s="410">
        <v>0</v>
      </c>
      <c r="AS87" s="410">
        <v>0</v>
      </c>
      <c r="AT87" s="410">
        <v>0</v>
      </c>
      <c r="AU87" s="410">
        <v>0.5</v>
      </c>
      <c r="AV87" s="263">
        <f t="shared" si="0"/>
        <v>1</v>
      </c>
      <c r="AW87" s="184"/>
    </row>
    <row r="88" spans="1:49" ht="15">
      <c r="A88" s="82"/>
      <c r="B88" s="82"/>
      <c r="C88" s="82"/>
      <c r="D88" s="82"/>
      <c r="E88" s="82" t="s">
        <v>1339</v>
      </c>
      <c r="F88" s="82"/>
      <c r="G88" s="82" t="s">
        <v>126</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1393</v>
      </c>
      <c r="AK88" s="321"/>
      <c r="AL88" s="417" t="s">
        <v>1392</v>
      </c>
      <c r="AM88" s="528">
        <v>2</v>
      </c>
      <c r="AN88" s="321"/>
      <c r="AO88" s="410">
        <v>0</v>
      </c>
      <c r="AP88" s="410">
        <v>1</v>
      </c>
      <c r="AQ88" s="456">
        <v>0</v>
      </c>
      <c r="AR88" s="410">
        <v>0</v>
      </c>
      <c r="AS88" s="410">
        <v>0</v>
      </c>
      <c r="AT88" s="410">
        <v>0</v>
      </c>
      <c r="AU88" s="410">
        <v>0</v>
      </c>
      <c r="AV88" s="263">
        <f t="shared" si="0"/>
        <v>1</v>
      </c>
      <c r="AW88" s="184"/>
    </row>
    <row r="89" spans="1:49" ht="15">
      <c r="A89" s="82"/>
      <c r="B89" s="82"/>
      <c r="C89" s="82"/>
      <c r="D89" s="82"/>
      <c r="E89" s="82" t="s">
        <v>1341</v>
      </c>
      <c r="F89" s="82"/>
      <c r="G89" s="82" t="s">
        <v>126</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1394</v>
      </c>
      <c r="AK89" s="321"/>
      <c r="AL89" s="417" t="s">
        <v>1390</v>
      </c>
      <c r="AM89" s="528">
        <v>1</v>
      </c>
      <c r="AN89" s="321"/>
      <c r="AO89" s="410">
        <v>0</v>
      </c>
      <c r="AP89" s="410">
        <v>0</v>
      </c>
      <c r="AQ89" s="456">
        <v>1</v>
      </c>
      <c r="AR89" s="410">
        <v>0</v>
      </c>
      <c r="AS89" s="410">
        <v>0</v>
      </c>
      <c r="AT89" s="410">
        <v>0</v>
      </c>
      <c r="AU89" s="410">
        <v>0</v>
      </c>
      <c r="AV89" s="263">
        <f t="shared" si="0"/>
        <v>1</v>
      </c>
      <c r="AW89" s="184"/>
    </row>
    <row r="90" spans="1:49" ht="15">
      <c r="A90" s="82"/>
      <c r="B90" s="82"/>
      <c r="C90" s="82"/>
      <c r="D90" s="82"/>
      <c r="E90" s="82" t="s">
        <v>1343</v>
      </c>
      <c r="F90" s="82"/>
      <c r="G90" s="82" t="s">
        <v>126</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1391</v>
      </c>
      <c r="AK90" s="321"/>
      <c r="AL90" s="417" t="s">
        <v>1392</v>
      </c>
      <c r="AM90" s="528">
        <v>1</v>
      </c>
      <c r="AN90" s="321"/>
      <c r="AO90" s="410">
        <v>0</v>
      </c>
      <c r="AP90" s="410">
        <v>0</v>
      </c>
      <c r="AQ90" s="456">
        <v>1</v>
      </c>
      <c r="AR90" s="410">
        <v>0</v>
      </c>
      <c r="AS90" s="410">
        <v>0</v>
      </c>
      <c r="AT90" s="410">
        <v>0</v>
      </c>
      <c r="AU90" s="410">
        <v>0</v>
      </c>
      <c r="AV90" s="263">
        <f t="shared" si="0"/>
        <v>1</v>
      </c>
      <c r="AW90" s="184"/>
    </row>
    <row r="91" spans="1:49" ht="15">
      <c r="A91" s="82"/>
      <c r="B91" s="82"/>
      <c r="C91" s="82"/>
      <c r="D91" s="82"/>
      <c r="E91" s="82" t="s">
        <v>1345</v>
      </c>
      <c r="F91" s="82"/>
      <c r="G91" s="82" t="s">
        <v>126</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1389</v>
      </c>
      <c r="AK91" s="321"/>
      <c r="AL91" s="417" t="s">
        <v>1390</v>
      </c>
      <c r="AM91" s="528">
        <v>2</v>
      </c>
      <c r="AN91" s="321"/>
      <c r="AO91" s="410">
        <v>0</v>
      </c>
      <c r="AP91" s="410">
        <v>0</v>
      </c>
      <c r="AQ91" s="456">
        <v>1</v>
      </c>
      <c r="AR91" s="410">
        <v>0</v>
      </c>
      <c r="AS91" s="410">
        <v>0</v>
      </c>
      <c r="AT91" s="410">
        <v>0</v>
      </c>
      <c r="AU91" s="410">
        <v>0</v>
      </c>
      <c r="AV91" s="263">
        <f t="shared" si="0"/>
        <v>1</v>
      </c>
      <c r="AW91" s="184"/>
    </row>
    <row r="92" spans="1:49" ht="15">
      <c r="A92" s="82"/>
      <c r="B92" s="82"/>
      <c r="C92" s="82"/>
      <c r="D92" s="82"/>
      <c r="E92" s="82" t="s">
        <v>1347</v>
      </c>
      <c r="F92" s="82"/>
      <c r="G92" s="82" t="s">
        <v>126</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1389</v>
      </c>
      <c r="AK92" s="321"/>
      <c r="AL92" s="417" t="s">
        <v>1390</v>
      </c>
      <c r="AM92" s="528">
        <v>2</v>
      </c>
      <c r="AN92" s="321"/>
      <c r="AO92" s="410">
        <v>0</v>
      </c>
      <c r="AP92" s="410">
        <v>0</v>
      </c>
      <c r="AQ92" s="456">
        <v>0</v>
      </c>
      <c r="AR92" s="410">
        <v>0</v>
      </c>
      <c r="AS92" s="410">
        <v>0</v>
      </c>
      <c r="AT92" s="410">
        <v>0</v>
      </c>
      <c r="AU92" s="410">
        <v>1</v>
      </c>
      <c r="AV92" s="263">
        <f t="shared" si="0"/>
        <v>1</v>
      </c>
      <c r="AW92" s="184"/>
    </row>
    <row r="93" spans="1:49" ht="15">
      <c r="A93" s="82"/>
      <c r="B93" s="82"/>
      <c r="C93" s="82"/>
      <c r="D93" s="82"/>
      <c r="E93" s="82" t="s">
        <v>1349</v>
      </c>
      <c r="F93" s="82"/>
      <c r="G93" s="82" t="s">
        <v>126</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1391</v>
      </c>
      <c r="AK93" s="321"/>
      <c r="AL93" s="417" t="s">
        <v>1392</v>
      </c>
      <c r="AM93" s="528">
        <v>1</v>
      </c>
      <c r="AN93" s="321"/>
      <c r="AO93" s="410">
        <v>1</v>
      </c>
      <c r="AP93" s="410">
        <v>0</v>
      </c>
      <c r="AQ93" s="456">
        <v>0</v>
      </c>
      <c r="AR93" s="410">
        <v>0</v>
      </c>
      <c r="AS93" s="410">
        <v>0</v>
      </c>
      <c r="AT93" s="410">
        <v>0</v>
      </c>
      <c r="AU93" s="410">
        <v>0</v>
      </c>
      <c r="AV93" s="263">
        <f t="shared" si="0"/>
        <v>1</v>
      </c>
      <c r="AW93" s="184"/>
    </row>
    <row r="94" spans="1:49" ht="15">
      <c r="A94" s="82"/>
      <c r="B94" s="82"/>
      <c r="C94" s="82"/>
      <c r="D94" s="82"/>
      <c r="E94" s="82" t="s">
        <v>113</v>
      </c>
      <c r="F94" s="82"/>
      <c r="G94" s="82" t="s">
        <v>126</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1303</v>
      </c>
      <c r="AK94" s="321"/>
      <c r="AL94" s="417" t="s">
        <v>1390</v>
      </c>
      <c r="AM94" s="528">
        <v>2</v>
      </c>
      <c r="AN94" s="321"/>
      <c r="AO94" s="410">
        <v>0</v>
      </c>
      <c r="AP94" s="410">
        <v>0</v>
      </c>
      <c r="AQ94" s="456">
        <v>0.9</v>
      </c>
      <c r="AR94" s="410">
        <v>0</v>
      </c>
      <c r="AS94" s="410">
        <v>0</v>
      </c>
      <c r="AT94" s="410">
        <v>0</v>
      </c>
      <c r="AU94" s="410">
        <v>0.1</v>
      </c>
      <c r="AV94" s="263">
        <f t="shared" si="0"/>
        <v>1</v>
      </c>
      <c r="AW94" s="184"/>
    </row>
    <row r="95" spans="1:49" ht="15">
      <c r="A95" s="82"/>
      <c r="B95" s="82"/>
      <c r="C95" s="82"/>
      <c r="D95" s="82"/>
      <c r="E95" s="82" t="s">
        <v>1352</v>
      </c>
      <c r="F95" s="82"/>
      <c r="G95" s="82" t="s">
        <v>126</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1389</v>
      </c>
      <c r="AK95" s="321"/>
      <c r="AL95" s="417" t="s">
        <v>1390</v>
      </c>
      <c r="AM95" s="528">
        <v>2</v>
      </c>
      <c r="AN95" s="321"/>
      <c r="AO95" s="410">
        <v>0</v>
      </c>
      <c r="AP95" s="410">
        <v>0</v>
      </c>
      <c r="AQ95" s="456">
        <v>1</v>
      </c>
      <c r="AR95" s="410">
        <v>0</v>
      </c>
      <c r="AS95" s="410">
        <v>0</v>
      </c>
      <c r="AT95" s="410">
        <v>0</v>
      </c>
      <c r="AU95" s="410">
        <v>0</v>
      </c>
      <c r="AV95" s="263">
        <f t="shared" si="0"/>
        <v>1</v>
      </c>
      <c r="AW95" s="184"/>
    </row>
    <row r="96" spans="1:49" ht="15">
      <c r="A96" s="82"/>
      <c r="B96" s="82"/>
      <c r="C96" s="82"/>
      <c r="D96" s="82"/>
      <c r="E96" s="82" t="s">
        <v>1354</v>
      </c>
      <c r="F96" s="82"/>
      <c r="G96" s="82" t="s">
        <v>126</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1389</v>
      </c>
      <c r="AK96" s="321"/>
      <c r="AL96" s="417" t="s">
        <v>1390</v>
      </c>
      <c r="AM96" s="528">
        <v>2</v>
      </c>
      <c r="AN96" s="321"/>
      <c r="AO96" s="410">
        <v>0</v>
      </c>
      <c r="AP96" s="410">
        <v>0</v>
      </c>
      <c r="AQ96" s="456">
        <v>0</v>
      </c>
      <c r="AR96" s="410">
        <v>0</v>
      </c>
      <c r="AS96" s="410">
        <v>0</v>
      </c>
      <c r="AT96" s="410">
        <v>0</v>
      </c>
      <c r="AU96" s="410">
        <v>1</v>
      </c>
      <c r="AV96" s="263">
        <f t="shared" si="0"/>
        <v>1</v>
      </c>
      <c r="AW96" s="184"/>
    </row>
    <row r="97" spans="1:49" ht="15">
      <c r="A97" s="82"/>
      <c r="B97" s="82"/>
      <c r="C97" s="82"/>
      <c r="D97" s="82"/>
      <c r="E97" s="82" t="s">
        <v>1355</v>
      </c>
      <c r="F97" s="82"/>
      <c r="G97" s="82" t="s">
        <v>126</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1389</v>
      </c>
      <c r="AK97" s="321"/>
      <c r="AL97" s="417" t="s">
        <v>1390</v>
      </c>
      <c r="AM97" s="528">
        <v>2</v>
      </c>
      <c r="AN97" s="321"/>
      <c r="AO97" s="410">
        <v>0</v>
      </c>
      <c r="AP97" s="410">
        <v>1</v>
      </c>
      <c r="AQ97" s="456">
        <v>0</v>
      </c>
      <c r="AR97" s="410">
        <v>0</v>
      </c>
      <c r="AS97" s="410">
        <v>0</v>
      </c>
      <c r="AT97" s="410">
        <v>0</v>
      </c>
      <c r="AU97" s="410">
        <v>0</v>
      </c>
      <c r="AV97" s="263">
        <f t="shared" si="0"/>
        <v>1</v>
      </c>
      <c r="AW97" s="184"/>
    </row>
    <row r="98" spans="1:49" ht="15">
      <c r="A98" s="82"/>
      <c r="B98" s="82"/>
      <c r="C98" s="82"/>
      <c r="D98" s="82"/>
      <c r="E98" s="82" t="s">
        <v>1357</v>
      </c>
      <c r="F98" s="82"/>
      <c r="G98" s="82" t="s">
        <v>126</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1389</v>
      </c>
      <c r="AK98" s="321"/>
      <c r="AL98" s="417" t="s">
        <v>1390</v>
      </c>
      <c r="AM98" s="528">
        <v>2</v>
      </c>
      <c r="AN98" s="321"/>
      <c r="AO98" s="410">
        <v>0</v>
      </c>
      <c r="AP98" s="410">
        <v>1</v>
      </c>
      <c r="AQ98" s="456">
        <v>0</v>
      </c>
      <c r="AR98" s="410">
        <v>0</v>
      </c>
      <c r="AS98" s="410">
        <v>0</v>
      </c>
      <c r="AT98" s="410">
        <v>0</v>
      </c>
      <c r="AU98" s="410">
        <v>0</v>
      </c>
      <c r="AV98" s="263">
        <f t="shared" si="0"/>
        <v>1</v>
      </c>
      <c r="AW98" s="184"/>
    </row>
    <row r="99" spans="1:49" ht="15">
      <c r="A99" s="82"/>
      <c r="B99" s="82"/>
      <c r="C99" s="82"/>
      <c r="D99" s="82"/>
      <c r="E99" s="82" t="s">
        <v>1359</v>
      </c>
      <c r="F99" s="82"/>
      <c r="G99" s="82" t="s">
        <v>126</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1391</v>
      </c>
      <c r="AK99" s="321"/>
      <c r="AL99" s="417" t="s">
        <v>1392</v>
      </c>
      <c r="AM99" s="528">
        <v>1</v>
      </c>
      <c r="AN99" s="321"/>
      <c r="AO99" s="410">
        <v>1</v>
      </c>
      <c r="AP99" s="410">
        <v>0</v>
      </c>
      <c r="AQ99" s="456">
        <v>0</v>
      </c>
      <c r="AR99" s="410">
        <v>0</v>
      </c>
      <c r="AS99" s="410">
        <v>0</v>
      </c>
      <c r="AT99" s="410">
        <v>0</v>
      </c>
      <c r="AU99" s="410">
        <v>0</v>
      </c>
      <c r="AV99" s="263">
        <f t="shared" si="0"/>
        <v>1</v>
      </c>
      <c r="AW99" s="184"/>
    </row>
    <row r="100" spans="1:49" ht="15">
      <c r="A100" s="82"/>
      <c r="B100" s="82"/>
      <c r="C100" s="82"/>
      <c r="D100" s="82"/>
      <c r="E100" s="82" t="s">
        <v>1361</v>
      </c>
      <c r="F100" s="82"/>
      <c r="G100" s="82" t="s">
        <v>126</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1394</v>
      </c>
      <c r="AK100" s="321"/>
      <c r="AL100" s="417" t="s">
        <v>1390</v>
      </c>
      <c r="AM100" s="528">
        <v>1</v>
      </c>
      <c r="AN100" s="321"/>
      <c r="AO100" s="410">
        <v>0</v>
      </c>
      <c r="AP100" s="410">
        <v>0</v>
      </c>
      <c r="AQ100" s="456">
        <v>1</v>
      </c>
      <c r="AR100" s="410">
        <v>0</v>
      </c>
      <c r="AS100" s="410">
        <v>0</v>
      </c>
      <c r="AT100" s="410">
        <v>0</v>
      </c>
      <c r="AU100" s="410">
        <v>0</v>
      </c>
      <c r="AV100" s="263">
        <f t="shared" si="0"/>
        <v>1</v>
      </c>
      <c r="AW100" s="184"/>
    </row>
    <row r="101" spans="1:49" ht="15">
      <c r="A101" s="82"/>
      <c r="B101" s="82"/>
      <c r="C101" s="82"/>
      <c r="D101" s="82"/>
      <c r="E101" s="82" t="s">
        <v>1363</v>
      </c>
      <c r="F101" s="82"/>
      <c r="G101" s="82" t="s">
        <v>126</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1394</v>
      </c>
      <c r="AK101" s="321"/>
      <c r="AL101" s="417" t="s">
        <v>1390</v>
      </c>
      <c r="AM101" s="528">
        <v>1</v>
      </c>
      <c r="AN101" s="321"/>
      <c r="AO101" s="410">
        <v>0</v>
      </c>
      <c r="AP101" s="410">
        <v>0</v>
      </c>
      <c r="AQ101" s="456">
        <v>0</v>
      </c>
      <c r="AR101" s="410">
        <v>0</v>
      </c>
      <c r="AS101" s="410">
        <v>0</v>
      </c>
      <c r="AT101" s="410">
        <v>0</v>
      </c>
      <c r="AU101" s="410">
        <v>1</v>
      </c>
      <c r="AV101" s="263">
        <f t="shared" si="0"/>
        <v>1</v>
      </c>
      <c r="AW101" s="184"/>
    </row>
    <row r="102" spans="1:49" ht="15">
      <c r="A102" s="82"/>
      <c r="B102" s="82"/>
      <c r="C102" s="82"/>
      <c r="D102" s="82"/>
      <c r="E102" s="82" t="s">
        <v>1365</v>
      </c>
      <c r="F102" s="82"/>
      <c r="G102" s="82" t="s">
        <v>126</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1391</v>
      </c>
      <c r="AK102" s="321"/>
      <c r="AL102" s="417" t="s">
        <v>1392</v>
      </c>
      <c r="AM102" s="528">
        <v>1</v>
      </c>
      <c r="AN102" s="321"/>
      <c r="AO102" s="410">
        <v>0</v>
      </c>
      <c r="AP102" s="410">
        <v>0</v>
      </c>
      <c r="AQ102" s="456">
        <v>0</v>
      </c>
      <c r="AR102" s="410">
        <v>0</v>
      </c>
      <c r="AS102" s="410">
        <v>0</v>
      </c>
      <c r="AT102" s="410">
        <v>0</v>
      </c>
      <c r="AU102" s="410">
        <v>1</v>
      </c>
      <c r="AV102" s="263">
        <f t="shared" si="0"/>
        <v>1</v>
      </c>
      <c r="AW102" s="184"/>
    </row>
    <row r="103" spans="1:49" ht="15">
      <c r="A103" s="82"/>
      <c r="B103" s="82"/>
      <c r="C103" s="82"/>
      <c r="D103" s="82"/>
      <c r="E103" s="82" t="s">
        <v>1367</v>
      </c>
      <c r="F103" s="82"/>
      <c r="G103" s="82" t="s">
        <v>126</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1389</v>
      </c>
      <c r="AK103" s="321"/>
      <c r="AL103" s="417" t="s">
        <v>1390</v>
      </c>
      <c r="AM103" s="528">
        <v>2</v>
      </c>
      <c r="AN103" s="321"/>
      <c r="AO103" s="410">
        <v>0</v>
      </c>
      <c r="AP103" s="410">
        <v>1</v>
      </c>
      <c r="AQ103" s="456">
        <v>0</v>
      </c>
      <c r="AR103" s="410">
        <v>0</v>
      </c>
      <c r="AS103" s="410">
        <v>0</v>
      </c>
      <c r="AT103" s="410">
        <v>0</v>
      </c>
      <c r="AU103" s="410">
        <v>0</v>
      </c>
      <c r="AV103" s="263">
        <f t="shared" si="0"/>
        <v>1</v>
      </c>
      <c r="AW103" s="184"/>
    </row>
    <row r="104" spans="1:49" ht="15">
      <c r="A104" s="82"/>
      <c r="B104" s="82"/>
      <c r="C104" s="82"/>
      <c r="D104" s="82"/>
      <c r="E104" s="82" t="s">
        <v>1369</v>
      </c>
      <c r="F104" s="82"/>
      <c r="G104" s="82" t="s">
        <v>126</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1303</v>
      </c>
      <c r="AK104" s="321"/>
      <c r="AL104" s="417" t="s">
        <v>1390</v>
      </c>
      <c r="AM104" s="528">
        <v>2</v>
      </c>
      <c r="AN104" s="321"/>
      <c r="AO104" s="410">
        <v>0</v>
      </c>
      <c r="AP104" s="410">
        <v>0</v>
      </c>
      <c r="AQ104" s="456">
        <v>0</v>
      </c>
      <c r="AR104" s="410">
        <v>0</v>
      </c>
      <c r="AS104" s="410">
        <v>0</v>
      </c>
      <c r="AT104" s="410">
        <v>0</v>
      </c>
      <c r="AU104" s="410">
        <v>1</v>
      </c>
      <c r="AV104" s="263">
        <f t="shared" si="0"/>
        <v>1</v>
      </c>
      <c r="AW104" s="184"/>
    </row>
    <row r="105" spans="1:49" ht="15">
      <c r="A105" s="82"/>
      <c r="B105" s="82"/>
      <c r="C105" s="82"/>
      <c r="D105" s="82"/>
      <c r="E105" s="182" t="s">
        <v>1371</v>
      </c>
      <c r="F105" s="82"/>
      <c r="G105" s="82" t="s">
        <v>126</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1391</v>
      </c>
      <c r="AK105" s="321"/>
      <c r="AL105" s="417" t="s">
        <v>1392</v>
      </c>
      <c r="AM105" s="528">
        <v>1</v>
      </c>
      <c r="AN105" s="321"/>
      <c r="AO105" s="410">
        <v>0</v>
      </c>
      <c r="AP105" s="410">
        <v>1</v>
      </c>
      <c r="AQ105" s="456">
        <v>0</v>
      </c>
      <c r="AR105" s="410">
        <v>0</v>
      </c>
      <c r="AS105" s="410">
        <v>0</v>
      </c>
      <c r="AT105" s="410">
        <v>0</v>
      </c>
      <c r="AU105" s="410">
        <v>0</v>
      </c>
      <c r="AV105" s="263">
        <f t="shared" si="0"/>
        <v>1</v>
      </c>
      <c r="AW105" s="184"/>
    </row>
    <row r="106" spans="1:49" ht="15">
      <c r="A106" s="82"/>
      <c r="B106" s="82"/>
      <c r="C106" s="82"/>
      <c r="D106" s="82"/>
      <c r="E106" s="182" t="s">
        <v>1373</v>
      </c>
      <c r="F106" s="82"/>
      <c r="G106" s="82" t="s">
        <v>126</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1391</v>
      </c>
      <c r="AK106" s="321"/>
      <c r="AL106" s="417" t="s">
        <v>1392</v>
      </c>
      <c r="AM106" s="528">
        <v>1</v>
      </c>
      <c r="AN106" s="321"/>
      <c r="AO106" s="410">
        <v>0</v>
      </c>
      <c r="AP106" s="410">
        <v>0</v>
      </c>
      <c r="AQ106" s="456">
        <v>1</v>
      </c>
      <c r="AR106" s="410">
        <v>0</v>
      </c>
      <c r="AS106" s="410">
        <v>0</v>
      </c>
      <c r="AT106" s="410">
        <v>0</v>
      </c>
      <c r="AU106" s="410">
        <v>0</v>
      </c>
      <c r="AV106" s="263">
        <f t="shared" si="0"/>
        <v>1</v>
      </c>
      <c r="AW106" s="184"/>
    </row>
    <row r="107" spans="1:49" ht="15">
      <c r="A107" s="82"/>
      <c r="B107" s="82"/>
      <c r="C107" s="82"/>
      <c r="D107" s="82"/>
      <c r="E107" s="182" t="s">
        <v>1375</v>
      </c>
      <c r="F107" s="82"/>
      <c r="G107" s="82" t="s">
        <v>126</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1391</v>
      </c>
      <c r="AK107" s="321"/>
      <c r="AL107" s="417" t="s">
        <v>1392</v>
      </c>
      <c r="AM107" s="528">
        <v>1</v>
      </c>
      <c r="AN107" s="321"/>
      <c r="AO107" s="410">
        <v>0</v>
      </c>
      <c r="AP107" s="410">
        <v>1</v>
      </c>
      <c r="AQ107" s="456">
        <v>0</v>
      </c>
      <c r="AR107" s="410">
        <v>0</v>
      </c>
      <c r="AS107" s="410">
        <v>0</v>
      </c>
      <c r="AT107" s="410">
        <v>0</v>
      </c>
      <c r="AU107" s="410">
        <v>0</v>
      </c>
      <c r="AV107" s="263">
        <f t="shared" si="0"/>
        <v>1</v>
      </c>
      <c r="AW107" s="184"/>
    </row>
    <row r="108" spans="1:49" ht="15">
      <c r="A108" s="82"/>
      <c r="B108" s="82"/>
      <c r="C108" s="82"/>
      <c r="D108" s="82"/>
      <c r="E108" s="182" t="s">
        <v>1377</v>
      </c>
      <c r="F108" s="82"/>
      <c r="G108" s="82" t="s">
        <v>126</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1389</v>
      </c>
      <c r="AK108" s="321"/>
      <c r="AL108" s="417" t="s">
        <v>1390</v>
      </c>
      <c r="AM108" s="528">
        <v>2</v>
      </c>
      <c r="AN108" s="321"/>
      <c r="AO108" s="410">
        <v>0</v>
      </c>
      <c r="AP108" s="410">
        <v>0</v>
      </c>
      <c r="AQ108" s="456">
        <v>0</v>
      </c>
      <c r="AR108" s="410">
        <v>1</v>
      </c>
      <c r="AS108" s="410">
        <v>0</v>
      </c>
      <c r="AT108" s="410">
        <v>0</v>
      </c>
      <c r="AU108" s="410">
        <v>0</v>
      </c>
      <c r="AV108" s="263">
        <f t="shared" si="0"/>
        <v>1</v>
      </c>
      <c r="AW108" s="184"/>
    </row>
    <row r="109" spans="1:49" ht="15">
      <c r="A109" s="82"/>
      <c r="B109" s="82"/>
      <c r="C109" s="82"/>
      <c r="D109" s="82"/>
      <c r="E109" s="182" t="s">
        <v>1379</v>
      </c>
      <c r="F109" s="82"/>
      <c r="G109" s="82" t="s">
        <v>126</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1389</v>
      </c>
      <c r="AK109" s="321"/>
      <c r="AL109" s="417" t="s">
        <v>1390</v>
      </c>
      <c r="AM109" s="528">
        <v>2</v>
      </c>
      <c r="AN109" s="321"/>
      <c r="AO109" s="410">
        <v>0</v>
      </c>
      <c r="AP109" s="410">
        <v>1</v>
      </c>
      <c r="AQ109" s="456">
        <v>0</v>
      </c>
      <c r="AR109" s="410">
        <v>0</v>
      </c>
      <c r="AS109" s="410">
        <v>0</v>
      </c>
      <c r="AT109" s="410">
        <v>0</v>
      </c>
      <c r="AU109" s="410">
        <v>0</v>
      </c>
      <c r="AV109" s="263">
        <f t="shared" si="0"/>
        <v>1</v>
      </c>
      <c r="AW109" s="184"/>
    </row>
    <row r="110" spans="1:49" ht="15">
      <c r="A110" s="82"/>
      <c r="B110" s="82"/>
      <c r="C110" s="82"/>
      <c r="D110" s="82"/>
      <c r="E110" s="182" t="s">
        <v>1381</v>
      </c>
      <c r="F110" s="82"/>
      <c r="G110" s="82" t="s">
        <v>126</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1303</v>
      </c>
      <c r="AK110" s="321"/>
      <c r="AL110" s="417" t="s">
        <v>1390</v>
      </c>
      <c r="AM110" s="528">
        <v>2</v>
      </c>
      <c r="AN110" s="321"/>
      <c r="AO110" s="410">
        <v>1</v>
      </c>
      <c r="AP110" s="410">
        <v>0</v>
      </c>
      <c r="AQ110" s="456">
        <v>0</v>
      </c>
      <c r="AR110" s="410">
        <v>0</v>
      </c>
      <c r="AS110" s="410">
        <v>0</v>
      </c>
      <c r="AT110" s="410">
        <v>0</v>
      </c>
      <c r="AU110" s="410">
        <v>0</v>
      </c>
      <c r="AV110" s="263">
        <f t="shared" si="0"/>
        <v>1</v>
      </c>
      <c r="AW110" s="184"/>
    </row>
    <row r="111" spans="1:49" ht="15">
      <c r="A111" s="82"/>
      <c r="B111" s="82"/>
      <c r="C111" s="82"/>
      <c r="D111" s="82"/>
      <c r="E111" s="182" t="s">
        <v>1383</v>
      </c>
      <c r="F111" s="82"/>
      <c r="G111" s="82" t="s">
        <v>126</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1303</v>
      </c>
      <c r="AK111" s="321"/>
      <c r="AL111" s="417" t="s">
        <v>1390</v>
      </c>
      <c r="AM111" s="528">
        <v>2</v>
      </c>
      <c r="AN111" s="321"/>
      <c r="AO111" s="410">
        <v>1</v>
      </c>
      <c r="AP111" s="410">
        <v>0</v>
      </c>
      <c r="AQ111" s="456">
        <v>0</v>
      </c>
      <c r="AR111" s="410">
        <v>0</v>
      </c>
      <c r="AS111" s="410">
        <v>0</v>
      </c>
      <c r="AT111" s="410">
        <v>0</v>
      </c>
      <c r="AU111" s="410">
        <v>0</v>
      </c>
      <c r="AV111" s="263">
        <f t="shared" si="0"/>
        <v>1</v>
      </c>
      <c r="AW111" s="184"/>
    </row>
    <row r="112" spans="1:49" ht="15">
      <c r="A112" s="82"/>
      <c r="B112" s="82"/>
      <c r="C112" s="82"/>
      <c r="D112" s="82"/>
      <c r="E112" s="182" t="s">
        <v>1385</v>
      </c>
      <c r="F112" s="82"/>
      <c r="G112" s="82" t="s">
        <v>126</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1303</v>
      </c>
      <c r="AK112" s="321"/>
      <c r="AL112" s="417" t="s">
        <v>1390</v>
      </c>
      <c r="AM112" s="528">
        <v>2</v>
      </c>
      <c r="AN112" s="321"/>
      <c r="AO112" s="410">
        <v>0</v>
      </c>
      <c r="AP112" s="410">
        <v>0</v>
      </c>
      <c r="AQ112" s="456">
        <v>0</v>
      </c>
      <c r="AR112" s="410">
        <v>1</v>
      </c>
      <c r="AS112" s="410">
        <v>0</v>
      </c>
      <c r="AT112" s="410">
        <v>0</v>
      </c>
      <c r="AU112" s="410">
        <v>0</v>
      </c>
      <c r="AV112" s="263">
        <f t="shared" si="0"/>
        <v>1</v>
      </c>
      <c r="AW112" s="184"/>
    </row>
    <row r="113" spans="1:49" ht="15">
      <c r="A113" s="82"/>
      <c r="B113" s="82"/>
      <c r="C113" s="82"/>
      <c r="D113" s="82"/>
      <c r="E113" s="182" t="s">
        <v>1387</v>
      </c>
      <c r="F113" s="82"/>
      <c r="G113" s="82" t="s">
        <v>126</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1303</v>
      </c>
      <c r="AK113" s="321"/>
      <c r="AL113" s="417" t="s">
        <v>1390</v>
      </c>
      <c r="AM113" s="528">
        <v>2</v>
      </c>
      <c r="AN113" s="321"/>
      <c r="AO113" s="410">
        <v>1</v>
      </c>
      <c r="AP113" s="410">
        <v>0</v>
      </c>
      <c r="AQ113" s="456">
        <v>0</v>
      </c>
      <c r="AR113" s="410">
        <v>0</v>
      </c>
      <c r="AS113" s="410">
        <v>0</v>
      </c>
      <c r="AT113" s="410">
        <v>0</v>
      </c>
      <c r="AU113" s="410">
        <v>0</v>
      </c>
      <c r="AV113" s="263">
        <f t="shared" si="0"/>
        <v>1</v>
      </c>
      <c r="AW113" s="184"/>
    </row>
    <row r="114" spans="1:49" ht="15">
      <c r="A114" s="82"/>
      <c r="B114" s="82"/>
      <c r="C114" s="82"/>
      <c r="D114" s="82"/>
      <c r="E114" s="182">
        <v>0</v>
      </c>
      <c r="F114" s="82"/>
      <c r="G114" s="82" t="s">
        <v>126</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v>0</v>
      </c>
      <c r="AK114" s="321"/>
      <c r="AL114" s="528">
        <v>0</v>
      </c>
      <c r="AM114" s="528">
        <v>0</v>
      </c>
      <c r="AN114" s="321"/>
      <c r="AO114" s="410">
        <v>0</v>
      </c>
      <c r="AP114" s="410">
        <v>0</v>
      </c>
      <c r="AQ114" s="456">
        <v>0</v>
      </c>
      <c r="AR114" s="410">
        <v>0</v>
      </c>
      <c r="AS114" s="410">
        <v>0</v>
      </c>
      <c r="AT114" s="410">
        <v>0</v>
      </c>
      <c r="AU114" s="410">
        <v>0</v>
      </c>
      <c r="AV114" s="263">
        <f t="shared" si="0"/>
        <v>0</v>
      </c>
      <c r="AW114" s="184"/>
    </row>
    <row r="115" spans="1:49" ht="15">
      <c r="A115" s="82"/>
      <c r="B115" s="82"/>
      <c r="C115" s="82"/>
      <c r="D115" s="82"/>
      <c r="E115" s="182">
        <v>0</v>
      </c>
      <c r="F115" s="82"/>
      <c r="G115" s="82" t="s">
        <v>126</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v>0</v>
      </c>
      <c r="AK115" s="321"/>
      <c r="AL115" s="528">
        <v>0</v>
      </c>
      <c r="AM115" s="528">
        <v>0</v>
      </c>
      <c r="AN115" s="321"/>
      <c r="AO115" s="410">
        <v>0</v>
      </c>
      <c r="AP115" s="410">
        <v>0</v>
      </c>
      <c r="AQ115" s="456">
        <v>0</v>
      </c>
      <c r="AR115" s="410">
        <v>0</v>
      </c>
      <c r="AS115" s="410">
        <v>0</v>
      </c>
      <c r="AT115" s="410">
        <v>0</v>
      </c>
      <c r="AU115" s="410">
        <v>0</v>
      </c>
      <c r="AV115" s="263">
        <f t="shared" si="0"/>
        <v>0</v>
      </c>
      <c r="AW115" s="184"/>
    </row>
    <row r="116" spans="1:49" ht="15">
      <c r="A116" s="82"/>
      <c r="B116" s="82"/>
      <c r="C116" s="82"/>
      <c r="D116" s="82"/>
      <c r="E116" s="182">
        <v>0</v>
      </c>
      <c r="F116" s="82"/>
      <c r="G116" s="82" t="s">
        <v>126</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v>0</v>
      </c>
      <c r="AK116" s="321"/>
      <c r="AL116" s="528">
        <v>0</v>
      </c>
      <c r="AM116" s="528">
        <v>0</v>
      </c>
      <c r="AN116" s="321"/>
      <c r="AO116" s="410">
        <v>0</v>
      </c>
      <c r="AP116" s="410">
        <v>0</v>
      </c>
      <c r="AQ116" s="456">
        <v>0</v>
      </c>
      <c r="AR116" s="410">
        <v>0</v>
      </c>
      <c r="AS116" s="410">
        <v>0</v>
      </c>
      <c r="AT116" s="410">
        <v>0</v>
      </c>
      <c r="AU116" s="410">
        <v>0</v>
      </c>
      <c r="AV116" s="263">
        <f t="shared" si="0"/>
        <v>0</v>
      </c>
      <c r="AW116" s="184"/>
    </row>
    <row r="117" spans="1:49" ht="15">
      <c r="A117" s="82"/>
      <c r="B117" s="82"/>
      <c r="C117" s="82"/>
      <c r="D117" s="82"/>
      <c r="E117" s="182">
        <v>0</v>
      </c>
      <c r="F117" s="82"/>
      <c r="G117" s="82" t="s">
        <v>126</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v>0</v>
      </c>
      <c r="AK117" s="321"/>
      <c r="AL117" s="528">
        <v>0</v>
      </c>
      <c r="AM117" s="528">
        <v>0</v>
      </c>
      <c r="AN117" s="321"/>
      <c r="AO117" s="410">
        <v>0</v>
      </c>
      <c r="AP117" s="410">
        <v>0</v>
      </c>
      <c r="AQ117" s="456">
        <v>0</v>
      </c>
      <c r="AR117" s="410">
        <v>0</v>
      </c>
      <c r="AS117" s="410">
        <v>0</v>
      </c>
      <c r="AT117" s="410">
        <v>0</v>
      </c>
      <c r="AU117" s="410">
        <v>0</v>
      </c>
      <c r="AV117" s="263">
        <f t="shared" si="0"/>
        <v>0</v>
      </c>
      <c r="AW117" s="184"/>
    </row>
    <row r="118" spans="1:49" ht="15">
      <c r="A118" s="82"/>
      <c r="B118" s="82"/>
      <c r="C118" s="82"/>
      <c r="D118" s="82"/>
      <c r="E118" s="182">
        <v>0</v>
      </c>
      <c r="F118" s="82"/>
      <c r="G118" s="82" t="s">
        <v>126</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v>0</v>
      </c>
      <c r="AK118" s="321"/>
      <c r="AL118" s="528">
        <v>0</v>
      </c>
      <c r="AM118" s="528">
        <v>0</v>
      </c>
      <c r="AN118" s="321"/>
      <c r="AO118" s="410">
        <v>0</v>
      </c>
      <c r="AP118" s="410">
        <v>0</v>
      </c>
      <c r="AQ118" s="456">
        <v>0</v>
      </c>
      <c r="AR118" s="410">
        <v>0</v>
      </c>
      <c r="AS118" s="410">
        <v>0</v>
      </c>
      <c r="AT118" s="410">
        <v>0</v>
      </c>
      <c r="AU118" s="410">
        <v>0</v>
      </c>
      <c r="AV118" s="263">
        <f t="shared" si="0"/>
        <v>0</v>
      </c>
      <c r="AW118" s="184"/>
    </row>
    <row r="119" spans="1:49" ht="15">
      <c r="A119" s="82"/>
      <c r="B119" s="82"/>
      <c r="C119" s="82"/>
      <c r="D119" s="82"/>
      <c r="E119" s="182">
        <v>0</v>
      </c>
      <c r="F119" s="82"/>
      <c r="G119" s="82" t="s">
        <v>126</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v>0</v>
      </c>
      <c r="AK119" s="321"/>
      <c r="AL119" s="528">
        <v>0</v>
      </c>
      <c r="AM119" s="528">
        <v>0</v>
      </c>
      <c r="AN119" s="321"/>
      <c r="AO119" s="410">
        <v>0</v>
      </c>
      <c r="AP119" s="410">
        <v>0</v>
      </c>
      <c r="AQ119" s="456">
        <v>0</v>
      </c>
      <c r="AR119" s="410">
        <v>0</v>
      </c>
      <c r="AS119" s="410">
        <v>0</v>
      </c>
      <c r="AT119" s="410">
        <v>0</v>
      </c>
      <c r="AU119" s="410">
        <v>0</v>
      </c>
      <c r="AV119" s="263">
        <f t="shared" si="0"/>
        <v>0</v>
      </c>
      <c r="AW119" s="184"/>
    </row>
    <row r="120" spans="1:49" ht="15">
      <c r="A120" s="82"/>
      <c r="B120" s="82"/>
      <c r="C120" s="82"/>
      <c r="D120" s="82"/>
      <c r="E120" s="182">
        <v>0</v>
      </c>
      <c r="F120" s="82"/>
      <c r="G120" s="82" t="s">
        <v>126</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v>0</v>
      </c>
      <c r="AK120" s="321"/>
      <c r="AL120" s="528">
        <v>0</v>
      </c>
      <c r="AM120" s="528">
        <v>0</v>
      </c>
      <c r="AN120" s="321"/>
      <c r="AO120" s="410">
        <v>0</v>
      </c>
      <c r="AP120" s="410">
        <v>0</v>
      </c>
      <c r="AQ120" s="456">
        <v>0</v>
      </c>
      <c r="AR120" s="410">
        <v>0</v>
      </c>
      <c r="AS120" s="410">
        <v>0</v>
      </c>
      <c r="AT120" s="410">
        <v>0</v>
      </c>
      <c r="AU120" s="410">
        <v>0</v>
      </c>
      <c r="AV120" s="263">
        <f t="shared" si="0"/>
        <v>0</v>
      </c>
      <c r="AW120" s="184"/>
    </row>
    <row r="121" spans="1:49" ht="15">
      <c r="A121" s="82"/>
      <c r="B121" s="82"/>
      <c r="C121" s="82"/>
      <c r="D121" s="82"/>
      <c r="E121" s="182">
        <v>0</v>
      </c>
      <c r="F121" s="82"/>
      <c r="G121" s="82" t="s">
        <v>126</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v>0</v>
      </c>
      <c r="AK121" s="321"/>
      <c r="AL121" s="528">
        <v>0</v>
      </c>
      <c r="AM121" s="528">
        <v>0</v>
      </c>
      <c r="AN121" s="321"/>
      <c r="AO121" s="410">
        <v>0</v>
      </c>
      <c r="AP121" s="410">
        <v>0</v>
      </c>
      <c r="AQ121" s="456">
        <v>0</v>
      </c>
      <c r="AR121" s="410">
        <v>0</v>
      </c>
      <c r="AS121" s="410">
        <v>0</v>
      </c>
      <c r="AT121" s="410">
        <v>0</v>
      </c>
      <c r="AU121" s="410">
        <v>0</v>
      </c>
      <c r="AV121" s="263">
        <f t="shared" si="0"/>
        <v>0</v>
      </c>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127</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128</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129</v>
      </c>
      <c r="F126" s="82"/>
      <c r="G126" s="82" t="s">
        <v>105</v>
      </c>
      <c r="H126" s="82" t="s">
        <v>130</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v>5.6441949704916112</v>
      </c>
      <c r="AS126" s="476">
        <v>10.854847671154825</v>
      </c>
      <c r="AT126" s="476">
        <v>19.740566201116323</v>
      </c>
      <c r="AU126" s="476">
        <v>19.928515586489453</v>
      </c>
      <c r="AV126" s="476">
        <v>10.360167542702149</v>
      </c>
      <c r="AW126" s="184"/>
    </row>
    <row r="127" spans="1:49" ht="15">
      <c r="A127" s="82"/>
      <c r="B127" s="82"/>
      <c r="C127" s="82"/>
      <c r="D127" s="82"/>
      <c r="E127" s="13" t="s">
        <v>131</v>
      </c>
      <c r="F127" s="82"/>
      <c r="G127" s="82" t="s">
        <v>105</v>
      </c>
      <c r="H127" s="82" t="s">
        <v>132</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v>42.875037909642728</v>
      </c>
      <c r="AS127" s="476">
        <v>55.92420108196071</v>
      </c>
      <c r="AT127" s="476">
        <v>69.636729856971769</v>
      </c>
      <c r="AU127" s="476">
        <v>72.843036591530648</v>
      </c>
      <c r="AV127" s="476">
        <v>70.113198889340723</v>
      </c>
      <c r="AW127" s="184"/>
    </row>
    <row r="128" spans="1:49" ht="15">
      <c r="A128" s="82"/>
      <c r="B128" s="82"/>
      <c r="C128" s="82"/>
      <c r="D128" s="82"/>
      <c r="E128" s="13" t="s">
        <v>133</v>
      </c>
      <c r="F128" s="82"/>
      <c r="G128" s="82" t="s">
        <v>105</v>
      </c>
      <c r="H128" s="82" t="s">
        <v>134</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v>21.48967087690496</v>
      </c>
      <c r="AS128" s="476">
        <v>29.605590629781283</v>
      </c>
      <c r="AT128" s="476">
        <v>26.138531424366626</v>
      </c>
      <c r="AU128" s="476">
        <v>22.191257680374214</v>
      </c>
      <c r="AV128" s="476">
        <v>19.437941296371157</v>
      </c>
      <c r="AW128" s="184"/>
    </row>
    <row r="129" spans="1:49" ht="15">
      <c r="A129" s="82"/>
      <c r="B129" s="82"/>
      <c r="C129" s="82"/>
      <c r="D129" s="82"/>
      <c r="E129" s="13" t="s">
        <v>135</v>
      </c>
      <c r="F129" s="82"/>
      <c r="G129" s="82" t="s">
        <v>105</v>
      </c>
      <c r="H129" s="82" t="s">
        <v>136</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v>27.703300516138484</v>
      </c>
      <c r="AS129" s="476">
        <v>29.490477993800184</v>
      </c>
      <c r="AT129" s="476">
        <v>29.528860632521543</v>
      </c>
      <c r="AU129" s="476">
        <v>29.553204470273357</v>
      </c>
      <c r="AV129" s="476">
        <v>29.584603555058059</v>
      </c>
      <c r="AW129" s="184"/>
    </row>
    <row r="130" spans="1:49" ht="15">
      <c r="A130" s="82"/>
      <c r="B130" s="82"/>
      <c r="C130" s="82"/>
      <c r="D130" s="82"/>
      <c r="E130" s="13" t="s">
        <v>137</v>
      </c>
      <c r="F130" s="82"/>
      <c r="G130" s="82" t="s">
        <v>105</v>
      </c>
      <c r="H130" s="82" t="s">
        <v>138</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v>3.497849952457512</v>
      </c>
      <c r="AS130" s="476">
        <v>6.0335689889629887</v>
      </c>
      <c r="AT130" s="476">
        <v>4.1967251720223633</v>
      </c>
      <c r="AU130" s="476">
        <v>4.1790438753201657</v>
      </c>
      <c r="AV130" s="476">
        <v>4.3620959591330903</v>
      </c>
      <c r="AW130" s="184"/>
    </row>
    <row r="131" spans="1:49" ht="15">
      <c r="A131" s="82"/>
      <c r="B131" s="82"/>
      <c r="C131" s="82"/>
      <c r="D131" s="82"/>
      <c r="E131" s="13" t="s">
        <v>139</v>
      </c>
      <c r="F131" s="82"/>
      <c r="G131" s="82" t="s">
        <v>105</v>
      </c>
      <c r="H131" s="82" t="s">
        <v>140</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v>6.3093940938820356</v>
      </c>
      <c r="AS131" s="476">
        <v>6.3712449237630864</v>
      </c>
      <c r="AT131" s="476">
        <v>6.3718517862666531</v>
      </c>
      <c r="AU131" s="476">
        <v>6.4381156839255151</v>
      </c>
      <c r="AV131" s="476">
        <v>6.3775426168462737</v>
      </c>
      <c r="AW131" s="184"/>
    </row>
    <row r="132" spans="1:49" ht="15">
      <c r="A132" s="82"/>
      <c r="B132" s="82"/>
      <c r="C132" s="82"/>
      <c r="D132" s="82"/>
      <c r="E132" s="13" t="s">
        <v>141</v>
      </c>
      <c r="F132" s="82"/>
      <c r="G132" s="82" t="s">
        <v>105</v>
      </c>
      <c r="H132" s="82" t="s">
        <v>142</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v>64.054982120607036</v>
      </c>
      <c r="AS132" s="476">
        <v>72.147617177621967</v>
      </c>
      <c r="AT132" s="476">
        <v>71.044673183229065</v>
      </c>
      <c r="AU132" s="476">
        <v>71.603711316021545</v>
      </c>
      <c r="AV132" s="476">
        <v>71.70597954765303</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143</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129</v>
      </c>
      <c r="F135" s="82"/>
      <c r="G135" s="82" t="s">
        <v>105</v>
      </c>
      <c r="H135" s="82" t="s">
        <v>144</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v>11.187605089223041</v>
      </c>
      <c r="AS135" s="476">
        <v>17.91210779872511</v>
      </c>
      <c r="AT135" s="476">
        <v>10.751280830606349</v>
      </c>
      <c r="AU135" s="476">
        <v>13.401490779635807</v>
      </c>
      <c r="AV135" s="476">
        <v>13.79807290905743</v>
      </c>
      <c r="AW135" s="184"/>
    </row>
    <row r="136" spans="1:49" ht="15">
      <c r="A136" s="82"/>
      <c r="B136" s="82"/>
      <c r="C136" s="82"/>
      <c r="D136" s="82"/>
      <c r="E136" s="13" t="s">
        <v>131</v>
      </c>
      <c r="F136" s="82"/>
      <c r="G136" s="82" t="s">
        <v>105</v>
      </c>
      <c r="H136" s="82" t="s">
        <v>145</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v>2.7062262368035324</v>
      </c>
      <c r="AS136" s="476">
        <v>6.9940535978616722</v>
      </c>
      <c r="AT136" s="476">
        <v>5.2259429124744754</v>
      </c>
      <c r="AU136" s="476">
        <v>0</v>
      </c>
      <c r="AV136" s="476">
        <v>0</v>
      </c>
      <c r="AW136" s="184"/>
    </row>
    <row r="137" spans="1:49" ht="15">
      <c r="A137" s="82"/>
      <c r="B137" s="82"/>
      <c r="C137" s="82"/>
      <c r="D137" s="82"/>
      <c r="E137" s="13" t="s">
        <v>133</v>
      </c>
      <c r="F137" s="82"/>
      <c r="G137" s="82" t="s">
        <v>105</v>
      </c>
      <c r="H137" s="82" t="s">
        <v>146</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v>1.5877466719699669</v>
      </c>
      <c r="AS137" s="476">
        <v>6.7147175286724359</v>
      </c>
      <c r="AT137" s="476">
        <v>14.916843891614612</v>
      </c>
      <c r="AU137" s="476">
        <v>13.784043800349032</v>
      </c>
      <c r="AV137" s="476">
        <v>3.1165862457718783</v>
      </c>
      <c r="AW137" s="184"/>
    </row>
    <row r="138" spans="1:49" ht="15">
      <c r="A138" s="82"/>
      <c r="B138" s="82"/>
      <c r="C138" s="82"/>
      <c r="D138" s="82"/>
      <c r="E138" s="13" t="s">
        <v>135</v>
      </c>
      <c r="F138" s="82"/>
      <c r="G138" s="82" t="s">
        <v>105</v>
      </c>
      <c r="H138" s="82" t="s">
        <v>147</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v>0</v>
      </c>
      <c r="AS138" s="476">
        <v>0</v>
      </c>
      <c r="AT138" s="476">
        <v>0</v>
      </c>
      <c r="AU138" s="476">
        <v>0</v>
      </c>
      <c r="AV138" s="476">
        <v>0</v>
      </c>
      <c r="AW138" s="184"/>
    </row>
    <row r="139" spans="1:49" ht="15">
      <c r="A139" s="82"/>
      <c r="B139" s="82"/>
      <c r="C139" s="82"/>
      <c r="D139" s="82"/>
      <c r="E139" s="13" t="s">
        <v>137</v>
      </c>
      <c r="F139" s="82"/>
      <c r="G139" s="82" t="s">
        <v>105</v>
      </c>
      <c r="H139" s="82" t="s">
        <v>148</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v>0</v>
      </c>
      <c r="AS139" s="476">
        <v>0</v>
      </c>
      <c r="AT139" s="476">
        <v>0</v>
      </c>
      <c r="AU139" s="476">
        <v>0</v>
      </c>
      <c r="AV139" s="476">
        <v>0</v>
      </c>
      <c r="AW139" s="184"/>
    </row>
    <row r="140" spans="1:49" ht="15">
      <c r="A140" s="82"/>
      <c r="B140" s="82"/>
      <c r="C140" s="82"/>
      <c r="D140" s="82"/>
      <c r="E140" s="13" t="s">
        <v>139</v>
      </c>
      <c r="F140" s="82"/>
      <c r="G140" s="82" t="s">
        <v>105</v>
      </c>
      <c r="H140" s="82" t="s">
        <v>149</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v>0</v>
      </c>
      <c r="AS140" s="476">
        <v>0</v>
      </c>
      <c r="AT140" s="476">
        <v>0</v>
      </c>
      <c r="AU140" s="476">
        <v>0</v>
      </c>
      <c r="AV140" s="476">
        <v>0</v>
      </c>
      <c r="AW140" s="184"/>
    </row>
    <row r="141" spans="1:49" ht="15">
      <c r="A141" s="82"/>
      <c r="B141" s="82"/>
      <c r="C141" s="82"/>
      <c r="D141" s="82"/>
      <c r="E141" s="13" t="s">
        <v>141</v>
      </c>
      <c r="F141" s="82"/>
      <c r="G141" s="82" t="s">
        <v>105</v>
      </c>
      <c r="H141" s="82" t="s">
        <v>150</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v>0.81267582388761972</v>
      </c>
      <c r="AS141" s="476">
        <v>1.5461345750730646</v>
      </c>
      <c r="AT141" s="476">
        <v>3.3156284457099203</v>
      </c>
      <c r="AU141" s="476">
        <v>3.1234222211676519</v>
      </c>
      <c r="AV141" s="476">
        <v>2.0638801868478822</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151</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152</v>
      </c>
      <c r="F145" s="82"/>
      <c r="G145" s="82" t="s">
        <v>105</v>
      </c>
      <c r="H145" s="82" t="s">
        <v>153</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v>1.4595106105592219</v>
      </c>
      <c r="AS145" s="476">
        <v>1.4595106105592219</v>
      </c>
      <c r="AT145" s="476">
        <v>1.4595106105592219</v>
      </c>
      <c r="AU145" s="476">
        <v>1.4595106105592219</v>
      </c>
      <c r="AV145" s="476">
        <v>1.4595106105592219</v>
      </c>
      <c r="AW145" s="184"/>
    </row>
    <row r="146" spans="1:49" ht="15">
      <c r="A146" s="82"/>
      <c r="B146" s="82"/>
      <c r="C146" s="82"/>
      <c r="D146" s="82"/>
      <c r="E146" s="82" t="s">
        <v>154</v>
      </c>
      <c r="F146" s="82"/>
      <c r="G146" s="82" t="s">
        <v>105</v>
      </c>
      <c r="H146" s="82" t="s">
        <v>155</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v>17.633146778986198</v>
      </c>
      <c r="AS146" s="476">
        <v>18.731910757989276</v>
      </c>
      <c r="AT146" s="476">
        <v>18.996992491398359</v>
      </c>
      <c r="AU146" s="476">
        <v>19.025331085621112</v>
      </c>
      <c r="AV146" s="476">
        <v>18.9732162166456</v>
      </c>
      <c r="AW146" s="184"/>
    </row>
    <row r="147" spans="1:49" ht="15">
      <c r="A147" s="82"/>
      <c r="B147" s="82"/>
      <c r="C147" s="82"/>
      <c r="D147" s="82"/>
      <c r="E147" s="82" t="s">
        <v>156</v>
      </c>
      <c r="F147" s="82"/>
      <c r="G147" s="82" t="s">
        <v>105</v>
      </c>
      <c r="H147" s="82" t="s">
        <v>157</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v>9.8619519740510775</v>
      </c>
      <c r="AS147" s="476">
        <v>9.333543372489256</v>
      </c>
      <c r="AT147" s="476">
        <v>9.6064885139086424</v>
      </c>
      <c r="AU147" s="476">
        <v>9.9165578226378717</v>
      </c>
      <c r="AV147" s="476">
        <v>10.183240575384069</v>
      </c>
      <c r="AW147" s="184"/>
    </row>
    <row r="148" spans="1:49" ht="15">
      <c r="A148" s="82"/>
      <c r="B148" s="82"/>
      <c r="C148" s="82"/>
      <c r="D148" s="82"/>
      <c r="E148" s="82" t="s">
        <v>158</v>
      </c>
      <c r="F148" s="82"/>
      <c r="G148" s="82" t="s">
        <v>105</v>
      </c>
      <c r="H148" s="82" t="s">
        <v>159</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v>1.5425606931445355</v>
      </c>
      <c r="AS148" s="476">
        <v>1.5425606931445355</v>
      </c>
      <c r="AT148" s="476">
        <v>1.5425606931445355</v>
      </c>
      <c r="AU148" s="476">
        <v>1.5468991450940044</v>
      </c>
      <c r="AV148" s="476">
        <v>1.5426248081979754</v>
      </c>
      <c r="AW148" s="184"/>
    </row>
    <row r="149" spans="1:49" ht="15">
      <c r="A149" s="82"/>
      <c r="B149" s="82"/>
      <c r="C149" s="82"/>
      <c r="D149" s="82"/>
      <c r="E149" s="82" t="s">
        <v>160</v>
      </c>
      <c r="F149" s="82"/>
      <c r="G149" s="82" t="s">
        <v>105</v>
      </c>
      <c r="H149" s="82" t="s">
        <v>161</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v>0.26886303637049769</v>
      </c>
      <c r="AS149" s="476">
        <v>0.45317844893538078</v>
      </c>
      <c r="AT149" s="476">
        <v>0.45317844893538073</v>
      </c>
      <c r="AU149" s="476">
        <v>0.45317844893538078</v>
      </c>
      <c r="AV149" s="476">
        <v>0.45317844893538078</v>
      </c>
      <c r="AW149" s="184"/>
    </row>
    <row r="150" spans="1:49" ht="15">
      <c r="A150" s="82"/>
      <c r="B150" s="82"/>
      <c r="C150" s="82"/>
      <c r="D150" s="82"/>
      <c r="E150" s="82" t="s">
        <v>494</v>
      </c>
      <c r="F150" s="82"/>
      <c r="G150" s="82" t="s">
        <v>105</v>
      </c>
      <c r="H150" s="82" t="s">
        <v>163</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v>2.8989749688509259E-2</v>
      </c>
      <c r="AS150" s="476">
        <v>2.9275362985932998E-2</v>
      </c>
      <c r="AT150" s="476">
        <v>2.9563790207469284E-2</v>
      </c>
      <c r="AU150" s="476">
        <v>2.985505907650839E-2</v>
      </c>
      <c r="AV150" s="476">
        <v>3.0149197589577438E-2</v>
      </c>
      <c r="AW150" s="184"/>
    </row>
    <row r="151" spans="1:49" ht="15">
      <c r="A151" s="82"/>
      <c r="B151" s="82"/>
      <c r="C151" s="82"/>
      <c r="D151" s="82"/>
      <c r="E151" s="82" t="s">
        <v>164</v>
      </c>
      <c r="F151" s="82"/>
      <c r="G151" s="82" t="s">
        <v>105</v>
      </c>
      <c r="H151" s="82" t="s">
        <v>165</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v>11.24847481786259</v>
      </c>
      <c r="AS151" s="476">
        <v>0.35355742461087197</v>
      </c>
      <c r="AT151" s="476">
        <v>0</v>
      </c>
      <c r="AU151" s="476">
        <v>0</v>
      </c>
      <c r="AV151" s="476">
        <v>0</v>
      </c>
      <c r="AW151" s="184"/>
    </row>
    <row r="152" spans="1:49" ht="15">
      <c r="A152" s="82"/>
      <c r="B152" s="82"/>
      <c r="C152" s="82"/>
      <c r="D152" s="82"/>
      <c r="E152" s="82" t="s">
        <v>166</v>
      </c>
      <c r="F152" s="82"/>
      <c r="G152" s="82" t="s">
        <v>105</v>
      </c>
      <c r="H152" s="82" t="s">
        <v>167</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v>0</v>
      </c>
      <c r="AS152" s="476">
        <v>0</v>
      </c>
      <c r="AT152" s="476">
        <v>0</v>
      </c>
      <c r="AU152" s="476">
        <v>0</v>
      </c>
      <c r="AV152" s="476">
        <v>0</v>
      </c>
      <c r="AW152" s="184"/>
    </row>
    <row r="153" spans="1:49" ht="15">
      <c r="A153" s="82"/>
      <c r="B153" s="82"/>
      <c r="C153" s="82"/>
      <c r="D153" s="82"/>
      <c r="E153" s="82" t="s">
        <v>168</v>
      </c>
      <c r="F153" s="82"/>
      <c r="G153" s="82" t="s">
        <v>105</v>
      </c>
      <c r="H153" s="82" t="s">
        <v>169</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v>5.2299114725253526</v>
      </c>
      <c r="AS153" s="476">
        <v>-31.882685707301704</v>
      </c>
      <c r="AT153" s="476">
        <v>0</v>
      </c>
      <c r="AU153" s="476">
        <v>0</v>
      </c>
      <c r="AV153" s="476">
        <v>0</v>
      </c>
      <c r="AW153" s="184"/>
    </row>
    <row r="154" spans="1:49" ht="15">
      <c r="A154" s="82"/>
      <c r="B154" s="82"/>
      <c r="C154" s="82"/>
      <c r="D154" s="82"/>
      <c r="E154" s="82" t="s">
        <v>170</v>
      </c>
      <c r="F154" s="82"/>
      <c r="G154" s="82" t="s">
        <v>105</v>
      </c>
      <c r="H154" s="82" t="s">
        <v>171</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v>0</v>
      </c>
      <c r="AS154" s="476">
        <v>0</v>
      </c>
      <c r="AT154" s="476">
        <v>0</v>
      </c>
      <c r="AU154" s="476">
        <v>0</v>
      </c>
      <c r="AV154" s="476">
        <v>0</v>
      </c>
      <c r="AW154" s="184"/>
    </row>
    <row r="155" spans="1:49" ht="15">
      <c r="A155" s="82"/>
      <c r="B155" s="82"/>
      <c r="C155" s="82"/>
      <c r="D155" s="82"/>
      <c r="E155" s="82" t="s">
        <v>172</v>
      </c>
      <c r="F155" s="82"/>
      <c r="G155" s="82" t="s">
        <v>105</v>
      </c>
      <c r="H155" s="82" t="s">
        <v>173</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v>0</v>
      </c>
      <c r="AS155" s="476">
        <v>0</v>
      </c>
      <c r="AT155" s="476">
        <v>0</v>
      </c>
      <c r="AU155" s="476">
        <v>0</v>
      </c>
      <c r="AV155" s="476">
        <v>0</v>
      </c>
      <c r="AW155" s="184"/>
    </row>
    <row r="156" spans="1:49" ht="15">
      <c r="A156" s="82"/>
      <c r="B156" s="82"/>
      <c r="C156" s="82"/>
      <c r="D156" s="82"/>
      <c r="E156" s="82" t="s">
        <v>174</v>
      </c>
      <c r="F156" s="82"/>
      <c r="G156" s="82" t="s">
        <v>105</v>
      </c>
      <c r="H156" s="82" t="s">
        <v>175</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v>0</v>
      </c>
      <c r="AS156" s="476">
        <v>0</v>
      </c>
      <c r="AT156" s="476">
        <v>0</v>
      </c>
      <c r="AU156" s="476">
        <v>0</v>
      </c>
      <c r="AV156" s="476">
        <v>0</v>
      </c>
      <c r="AW156" s="184"/>
    </row>
    <row r="157" spans="1:49" ht="15">
      <c r="A157" s="82"/>
      <c r="B157" s="82"/>
      <c r="C157" s="82"/>
      <c r="D157" s="82"/>
      <c r="E157" s="182" t="s">
        <v>176</v>
      </c>
      <c r="F157" s="82"/>
      <c r="G157" s="82" t="s">
        <v>105</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c r="AS157" s="476"/>
      <c r="AT157" s="476"/>
      <c r="AU157" s="476"/>
      <c r="AV157" s="476"/>
      <c r="AW157" s="184"/>
    </row>
    <row r="158" spans="1:49" ht="15">
      <c r="A158" s="82"/>
      <c r="B158" s="82"/>
      <c r="C158" s="82"/>
      <c r="D158" s="82"/>
      <c r="E158" s="182" t="s">
        <v>176</v>
      </c>
      <c r="F158" s="82"/>
      <c r="G158" s="82" t="s">
        <v>105</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c r="AS158" s="476"/>
      <c r="AT158" s="476"/>
      <c r="AU158" s="476"/>
      <c r="AV158" s="476"/>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177</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178</v>
      </c>
      <c r="F162" s="82"/>
      <c r="G162" s="82" t="s">
        <v>105</v>
      </c>
      <c r="H162" s="82" t="s">
        <v>179</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v>0</v>
      </c>
      <c r="AS162" s="476">
        <v>0</v>
      </c>
      <c r="AT162" s="476">
        <v>0</v>
      </c>
      <c r="AU162" s="476">
        <v>0</v>
      </c>
      <c r="AV162" s="476">
        <v>0</v>
      </c>
      <c r="AW162" s="184"/>
    </row>
    <row r="163" spans="1:49" ht="15">
      <c r="A163" s="82"/>
      <c r="B163" s="82"/>
      <c r="C163" s="82"/>
      <c r="D163" s="82"/>
      <c r="E163" s="82" t="s">
        <v>180</v>
      </c>
      <c r="F163" s="82"/>
      <c r="G163" s="82" t="s">
        <v>105</v>
      </c>
      <c r="H163" s="82" t="s">
        <v>181</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v>0</v>
      </c>
      <c r="AS163" s="476">
        <v>0</v>
      </c>
      <c r="AT163" s="476">
        <v>0</v>
      </c>
      <c r="AU163" s="476">
        <v>0</v>
      </c>
      <c r="AV163" s="476">
        <v>0</v>
      </c>
      <c r="AW163" s="184"/>
    </row>
    <row r="164" spans="1:49" ht="15">
      <c r="A164" s="82"/>
      <c r="B164" s="82"/>
      <c r="C164" s="82"/>
      <c r="D164" s="82"/>
      <c r="E164" s="82" t="s">
        <v>182</v>
      </c>
      <c r="F164" s="82"/>
      <c r="G164" s="82" t="s">
        <v>105</v>
      </c>
      <c r="H164" s="82" t="s">
        <v>183</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v>-1.3314740347543448</v>
      </c>
      <c r="AS164" s="476">
        <v>0</v>
      </c>
      <c r="AT164" s="476">
        <v>0</v>
      </c>
      <c r="AU164" s="476">
        <v>0</v>
      </c>
      <c r="AV164" s="476">
        <v>0</v>
      </c>
      <c r="AW164" s="184"/>
    </row>
    <row r="165" spans="1:49" ht="15">
      <c r="A165" s="82"/>
      <c r="B165" s="82"/>
      <c r="C165" s="82"/>
      <c r="D165" s="82"/>
      <c r="E165" s="82" t="s">
        <v>184</v>
      </c>
      <c r="F165" s="82"/>
      <c r="G165" s="82" t="s">
        <v>105</v>
      </c>
      <c r="H165" s="82" t="s">
        <v>185</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v>0</v>
      </c>
      <c r="AS165" s="476">
        <v>0</v>
      </c>
      <c r="AT165" s="476">
        <v>0</v>
      </c>
      <c r="AU165" s="476">
        <v>0</v>
      </c>
      <c r="AV165" s="476">
        <v>0</v>
      </c>
      <c r="AW165" s="184"/>
    </row>
    <row r="166" spans="1:49" ht="15">
      <c r="A166" s="82"/>
      <c r="B166" s="82"/>
      <c r="C166" s="82"/>
      <c r="D166" s="82"/>
      <c r="E166" s="82" t="s">
        <v>186</v>
      </c>
      <c r="F166" s="82"/>
      <c r="G166" s="82" t="s">
        <v>105</v>
      </c>
      <c r="H166" s="82" t="s">
        <v>187</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v>0</v>
      </c>
      <c r="AS166" s="476">
        <v>0</v>
      </c>
      <c r="AT166" s="476">
        <v>0</v>
      </c>
      <c r="AU166" s="476">
        <v>0</v>
      </c>
      <c r="AV166" s="476">
        <v>0</v>
      </c>
      <c r="AW166" s="184"/>
    </row>
    <row r="167" spans="1:49" ht="15">
      <c r="A167" s="82"/>
      <c r="B167" s="82"/>
      <c r="C167" s="82"/>
      <c r="D167" s="82"/>
      <c r="E167" s="82" t="s">
        <v>188</v>
      </c>
      <c r="F167" s="82"/>
      <c r="G167" s="82" t="s">
        <v>105</v>
      </c>
      <c r="H167" s="82" t="s">
        <v>189</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v>0</v>
      </c>
      <c r="AS167" s="476">
        <v>0</v>
      </c>
      <c r="AT167" s="476">
        <v>0</v>
      </c>
      <c r="AU167" s="476">
        <v>0</v>
      </c>
      <c r="AV167" s="476">
        <v>0</v>
      </c>
      <c r="AW167" s="184"/>
    </row>
    <row r="168" spans="1:49" ht="15">
      <c r="A168" s="82"/>
      <c r="B168" s="82"/>
      <c r="C168" s="82"/>
      <c r="D168" s="82"/>
      <c r="E168" s="82" t="s">
        <v>190</v>
      </c>
      <c r="F168" s="82"/>
      <c r="G168" s="82" t="s">
        <v>105</v>
      </c>
      <c r="H168" s="82" t="s">
        <v>191</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v>0</v>
      </c>
      <c r="AS168" s="476">
        <v>0</v>
      </c>
      <c r="AT168" s="476">
        <v>0</v>
      </c>
      <c r="AU168" s="476">
        <v>0</v>
      </c>
      <c r="AV168" s="476">
        <v>0</v>
      </c>
      <c r="AW168" s="184"/>
    </row>
    <row r="169" spans="1:49" ht="15">
      <c r="A169" s="82"/>
      <c r="B169" s="82"/>
      <c r="C169" s="82"/>
      <c r="D169" s="82"/>
      <c r="E169" s="82" t="s">
        <v>192</v>
      </c>
      <c r="F169" s="82"/>
      <c r="G169" s="82" t="s">
        <v>105</v>
      </c>
      <c r="H169" s="82" t="s">
        <v>193</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v>0</v>
      </c>
      <c r="AS169" s="476">
        <v>0</v>
      </c>
      <c r="AT169" s="476">
        <v>0</v>
      </c>
      <c r="AU169" s="476">
        <v>0</v>
      </c>
      <c r="AV169" s="476">
        <v>0</v>
      </c>
      <c r="AW169" s="184"/>
    </row>
    <row r="170" spans="1:49" ht="15">
      <c r="A170" s="82"/>
      <c r="B170" s="82"/>
      <c r="C170" s="82"/>
      <c r="D170" s="82"/>
      <c r="E170" s="182" t="s">
        <v>176</v>
      </c>
      <c r="F170" s="82"/>
      <c r="G170" s="82" t="s">
        <v>105</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c r="AS170" s="476"/>
      <c r="AT170" s="476"/>
      <c r="AU170" s="476"/>
      <c r="AV170" s="476"/>
      <c r="AW170" s="184"/>
    </row>
    <row r="171" spans="1:49" ht="15">
      <c r="A171" s="82"/>
      <c r="B171" s="82"/>
      <c r="C171" s="82"/>
      <c r="D171" s="82"/>
      <c r="E171" s="182" t="s">
        <v>176</v>
      </c>
      <c r="F171" s="82"/>
      <c r="G171" s="82" t="s">
        <v>105</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c r="AS171" s="476"/>
      <c r="AT171" s="476"/>
      <c r="AU171" s="476"/>
      <c r="AV171" s="476"/>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194</v>
      </c>
      <c r="F173" s="82"/>
      <c r="G173" s="82" t="s">
        <v>105</v>
      </c>
      <c r="H173" s="82" t="s">
        <v>195</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v>0</v>
      </c>
      <c r="AS173" s="476">
        <v>0</v>
      </c>
      <c r="AT173" s="476">
        <v>0</v>
      </c>
      <c r="AU173" s="476">
        <v>0</v>
      </c>
      <c r="AV173" s="476">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3</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196</v>
      </c>
      <c r="F177" s="82"/>
      <c r="G177" s="82" t="s">
        <v>105</v>
      </c>
      <c r="H177" s="82" t="s">
        <v>197</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v>0.64894579200000002</v>
      </c>
      <c r="AS177" s="476">
        <v>0.64894579200000002</v>
      </c>
      <c r="AT177" s="476">
        <v>0.64894579200000002</v>
      </c>
      <c r="AU177" s="476">
        <v>0.64894579200000002</v>
      </c>
      <c r="AV177" s="476">
        <v>0.60421683200000009</v>
      </c>
      <c r="AW177" s="184"/>
    </row>
    <row r="178" spans="1:49" ht="15">
      <c r="A178" s="82"/>
      <c r="B178" s="82"/>
      <c r="C178" s="82"/>
      <c r="D178" s="82"/>
      <c r="E178" s="82" t="s">
        <v>198</v>
      </c>
      <c r="F178" s="82"/>
      <c r="G178" s="82" t="s">
        <v>105</v>
      </c>
      <c r="H178" s="82" t="s">
        <v>199</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v>0.40313568928037186</v>
      </c>
      <c r="AS178" s="476">
        <v>0</v>
      </c>
      <c r="AT178" s="476">
        <v>0</v>
      </c>
      <c r="AU178" s="476">
        <v>0</v>
      </c>
      <c r="AV178" s="476">
        <v>0</v>
      </c>
      <c r="AW178" s="184"/>
    </row>
    <row r="179" spans="1:49" ht="15">
      <c r="A179" s="82"/>
      <c r="B179" s="82"/>
      <c r="C179" s="82"/>
      <c r="D179" s="82"/>
      <c r="E179" s="82" t="s">
        <v>200</v>
      </c>
      <c r="F179" s="82"/>
      <c r="G179" s="82" t="s">
        <v>105</v>
      </c>
      <c r="H179" s="82" t="s">
        <v>201</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v>0</v>
      </c>
      <c r="AS179" s="476">
        <v>0</v>
      </c>
      <c r="AT179" s="476">
        <v>0</v>
      </c>
      <c r="AU179" s="476">
        <v>0</v>
      </c>
      <c r="AV179" s="476">
        <v>0</v>
      </c>
      <c r="AW179" s="184"/>
    </row>
    <row r="180" spans="1:49" ht="15">
      <c r="A180" s="82"/>
      <c r="B180" s="82"/>
      <c r="C180" s="82"/>
      <c r="D180" s="82"/>
      <c r="E180" s="82" t="s">
        <v>202</v>
      </c>
      <c r="F180" s="82"/>
      <c r="G180" s="82" t="s">
        <v>105</v>
      </c>
      <c r="H180" s="82" t="s">
        <v>203</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v>0</v>
      </c>
      <c r="AS180" s="476">
        <v>0</v>
      </c>
      <c r="AT180" s="476">
        <v>0</v>
      </c>
      <c r="AU180" s="476">
        <v>0</v>
      </c>
      <c r="AV180" s="476">
        <v>0</v>
      </c>
      <c r="AW180" s="184"/>
    </row>
    <row r="181" spans="1:49" ht="15">
      <c r="A181" s="82"/>
      <c r="B181" s="82"/>
      <c r="C181" s="82"/>
      <c r="D181" s="82"/>
      <c r="E181" s="82" t="s">
        <v>204</v>
      </c>
      <c r="F181" s="82"/>
      <c r="G181" s="82" t="s">
        <v>105</v>
      </c>
      <c r="H181" s="82" t="s">
        <v>205</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528">
        <v>0</v>
      </c>
      <c r="AS181" s="528">
        <v>0</v>
      </c>
      <c r="AT181" s="528">
        <v>0</v>
      </c>
      <c r="AU181" s="528">
        <v>0</v>
      </c>
      <c r="AV181" s="528">
        <v>0</v>
      </c>
      <c r="AW181" s="184"/>
    </row>
    <row r="182" spans="1:49" ht="15">
      <c r="A182" s="82"/>
      <c r="B182" s="82"/>
      <c r="C182" s="82"/>
      <c r="D182" s="82"/>
      <c r="E182" s="82" t="s">
        <v>206</v>
      </c>
      <c r="F182" s="82"/>
      <c r="G182" s="82" t="s">
        <v>105</v>
      </c>
      <c r="H182" s="82" t="s">
        <v>207</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528">
        <v>0</v>
      </c>
      <c r="AS182" s="528">
        <v>0</v>
      </c>
      <c r="AT182" s="528">
        <v>0</v>
      </c>
      <c r="AU182" s="528">
        <v>0</v>
      </c>
      <c r="AV182" s="528">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1395</v>
      </c>
      <c r="F184" s="82"/>
      <c r="G184" s="82" t="s">
        <v>209</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v>1.111111</v>
      </c>
      <c r="AS184" s="207"/>
      <c r="AT184" s="207"/>
      <c r="AU184" s="207"/>
      <c r="AV184" s="207"/>
      <c r="AW184" s="184"/>
    </row>
    <row r="185" spans="1:49" ht="15">
      <c r="A185" s="82"/>
      <c r="B185" s="82"/>
      <c r="C185" s="82"/>
      <c r="D185" s="82"/>
      <c r="E185" s="82" t="s">
        <v>210</v>
      </c>
      <c r="F185" s="82"/>
      <c r="G185" s="82" t="s">
        <v>209</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v>1.111111</v>
      </c>
      <c r="AS185" s="207"/>
      <c r="AT185" s="207"/>
      <c r="AU185" s="207"/>
      <c r="AV185" s="207"/>
      <c r="AW185" s="184"/>
    </row>
    <row r="186" spans="1:49" ht="15">
      <c r="A186" s="82"/>
      <c r="B186" s="82"/>
      <c r="C186" s="82"/>
      <c r="D186" s="82"/>
      <c r="E186" s="82" t="s">
        <v>211</v>
      </c>
      <c r="F186" s="82"/>
      <c r="G186" s="82" t="s">
        <v>209</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212</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213</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214</v>
      </c>
      <c r="F191" s="82"/>
      <c r="G191" s="82" t="s">
        <v>105</v>
      </c>
      <c r="H191" s="82" t="s">
        <v>215</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v>30.382676723211503</v>
      </c>
      <c r="AS191" s="476">
        <v>30.354387251843882</v>
      </c>
      <c r="AT191" s="476">
        <v>30.422963373807043</v>
      </c>
      <c r="AU191" s="476">
        <v>30.569850594111124</v>
      </c>
      <c r="AV191" s="476">
        <v>30.782463404431688</v>
      </c>
      <c r="AW191" s="184"/>
    </row>
    <row r="192" spans="1:49" ht="15">
      <c r="A192" s="82"/>
      <c r="B192" s="82"/>
      <c r="C192" s="82"/>
      <c r="D192" s="27"/>
      <c r="E192" s="82" t="s">
        <v>216</v>
      </c>
      <c r="F192" s="82"/>
      <c r="G192" s="82" t="s">
        <v>105</v>
      </c>
      <c r="H192" s="82" t="s">
        <v>217</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v>-30.152701627776086</v>
      </c>
      <c r="AS192" s="476">
        <v>-30.126420932630207</v>
      </c>
      <c r="AT192" s="476">
        <v>-30.194158398737418</v>
      </c>
      <c r="AU192" s="476">
        <v>-30.338072363849495</v>
      </c>
      <c r="AV192" s="476">
        <v>-30.546116006737311</v>
      </c>
      <c r="AW192" s="184"/>
    </row>
    <row r="193" spans="1:49" ht="15">
      <c r="A193" s="82"/>
      <c r="B193" s="82"/>
      <c r="C193" s="82"/>
      <c r="D193" s="82"/>
      <c r="E193" s="82" t="s">
        <v>218</v>
      </c>
      <c r="F193" s="82"/>
      <c r="G193" s="82" t="s">
        <v>105</v>
      </c>
      <c r="H193" s="82" t="s">
        <v>219</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v>3.6505223470895505</v>
      </c>
      <c r="AS193" s="476">
        <v>3.6505223470895505</v>
      </c>
      <c r="AT193" s="476">
        <v>3.6505223470895505</v>
      </c>
      <c r="AU193" s="476">
        <v>3.6505223470895505</v>
      </c>
      <c r="AV193" s="476">
        <v>3.6505223470895505</v>
      </c>
      <c r="AW193" s="184"/>
    </row>
    <row r="194" spans="1:49" ht="15">
      <c r="A194" s="82"/>
      <c r="B194" s="82"/>
      <c r="C194" s="82"/>
      <c r="D194" s="82"/>
      <c r="E194" s="82" t="s">
        <v>220</v>
      </c>
      <c r="F194" s="82"/>
      <c r="G194" s="82" t="s">
        <v>105</v>
      </c>
      <c r="H194" s="82" t="s">
        <v>221</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v>-3.6512633256537765</v>
      </c>
      <c r="AS194" s="476">
        <v>-3.6512633256537765</v>
      </c>
      <c r="AT194" s="476">
        <v>-3.6512633256537765</v>
      </c>
      <c r="AU194" s="476">
        <v>-3.6512633256537765</v>
      </c>
      <c r="AV194" s="476">
        <v>-3.6512633256537765</v>
      </c>
      <c r="AW194" s="184"/>
    </row>
    <row r="195" spans="1:49" ht="15">
      <c r="A195" s="82"/>
      <c r="B195" s="82"/>
      <c r="C195" s="82"/>
      <c r="D195" s="82"/>
      <c r="E195" s="82" t="s">
        <v>222</v>
      </c>
      <c r="F195" s="82"/>
      <c r="G195" s="82" t="s">
        <v>105</v>
      </c>
      <c r="H195" s="82" t="s">
        <v>223</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v>1.5824153286714904</v>
      </c>
      <c r="AS195" s="476">
        <v>1.5824153286714904</v>
      </c>
      <c r="AT195" s="476">
        <v>1.5824153286714904</v>
      </c>
      <c r="AU195" s="476">
        <v>1.5824153286714904</v>
      </c>
      <c r="AV195" s="476">
        <v>1.5824153286714904</v>
      </c>
      <c r="AW195" s="184"/>
    </row>
    <row r="196" spans="1:49" ht="15">
      <c r="A196" s="82"/>
      <c r="B196" s="82"/>
      <c r="C196" s="82"/>
      <c r="D196" s="82"/>
      <c r="E196" s="82" t="s">
        <v>224</v>
      </c>
      <c r="F196" s="82"/>
      <c r="G196" s="82" t="s">
        <v>105</v>
      </c>
      <c r="H196" s="82" t="s">
        <v>225</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v>-1.3136782269317175</v>
      </c>
      <c r="AS196" s="476">
        <v>-1.3136782269317175</v>
      </c>
      <c r="AT196" s="476">
        <v>-1.3136782269317175</v>
      </c>
      <c r="AU196" s="476">
        <v>-1.3136782269317175</v>
      </c>
      <c r="AV196" s="476">
        <v>-1.3136782269317175</v>
      </c>
      <c r="AW196" s="184"/>
    </row>
    <row r="197" spans="1:49" ht="15">
      <c r="A197" s="82"/>
      <c r="B197" s="82"/>
      <c r="C197" s="82"/>
      <c r="D197" s="82"/>
      <c r="E197" s="82" t="s">
        <v>226</v>
      </c>
      <c r="F197" s="82"/>
      <c r="G197" s="82" t="s">
        <v>105</v>
      </c>
      <c r="H197" s="82" t="s">
        <v>227</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v>0</v>
      </c>
      <c r="AS197" s="476">
        <v>0</v>
      </c>
      <c r="AT197" s="476">
        <v>0</v>
      </c>
      <c r="AU197" s="476">
        <v>0</v>
      </c>
      <c r="AV197" s="476">
        <v>0</v>
      </c>
      <c r="AW197" s="184"/>
    </row>
    <row r="198" spans="1:49" ht="15">
      <c r="A198" s="82"/>
      <c r="B198" s="82"/>
      <c r="C198" s="82"/>
      <c r="D198" s="82"/>
      <c r="E198" s="82" t="s">
        <v>228</v>
      </c>
      <c r="F198" s="82"/>
      <c r="G198" s="82" t="s">
        <v>105</v>
      </c>
      <c r="H198" s="82" t="s">
        <v>229</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v>0</v>
      </c>
      <c r="AS198" s="476">
        <v>0</v>
      </c>
      <c r="AT198" s="476">
        <v>0</v>
      </c>
      <c r="AU198" s="476">
        <v>0</v>
      </c>
      <c r="AV198" s="476">
        <v>0</v>
      </c>
      <c r="AW198" s="184"/>
    </row>
    <row r="199" spans="1:49" ht="15">
      <c r="A199" s="82"/>
      <c r="B199" s="82"/>
      <c r="C199" s="82"/>
      <c r="D199" s="82"/>
      <c r="E199" s="82" t="s">
        <v>230</v>
      </c>
      <c r="F199" s="82"/>
      <c r="G199" s="82" t="s">
        <v>105</v>
      </c>
      <c r="H199" s="82" t="s">
        <v>231</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v>0</v>
      </c>
      <c r="AS199" s="476">
        <v>0</v>
      </c>
      <c r="AT199" s="476">
        <v>0</v>
      </c>
      <c r="AU199" s="476">
        <v>0</v>
      </c>
      <c r="AV199" s="476">
        <v>0</v>
      </c>
      <c r="AW199" s="184"/>
    </row>
    <row r="200" spans="1:49" ht="15">
      <c r="A200" s="82"/>
      <c r="B200" s="82"/>
      <c r="C200" s="82"/>
      <c r="D200" s="82"/>
      <c r="E200" s="82" t="s">
        <v>232</v>
      </c>
      <c r="F200" s="82"/>
      <c r="G200" s="82" t="s">
        <v>105</v>
      </c>
      <c r="H200" s="82" t="s">
        <v>233</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v>0</v>
      </c>
      <c r="AS200" s="476">
        <v>0</v>
      </c>
      <c r="AT200" s="476">
        <v>0</v>
      </c>
      <c r="AU200" s="476">
        <v>0</v>
      </c>
      <c r="AV200" s="476">
        <v>0</v>
      </c>
      <c r="AW200" s="184"/>
    </row>
    <row r="201" spans="1:49" ht="15">
      <c r="A201" s="82"/>
      <c r="B201" s="82"/>
      <c r="C201" s="82"/>
      <c r="D201" s="82"/>
      <c r="E201" s="82" t="s">
        <v>234</v>
      </c>
      <c r="F201" s="82"/>
      <c r="G201" s="82" t="s">
        <v>105</v>
      </c>
      <c r="H201" s="82" t="s">
        <v>235</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v>1.1352307266188899</v>
      </c>
      <c r="AS201" s="476">
        <v>0.64529761871795399</v>
      </c>
      <c r="AT201" s="476">
        <v>0.30960396111429667</v>
      </c>
      <c r="AU201" s="476">
        <v>0.10523998392586797</v>
      </c>
      <c r="AV201" s="476">
        <v>5.6766784139361093E-2</v>
      </c>
      <c r="AW201" s="184"/>
    </row>
    <row r="202" spans="1:49" ht="15">
      <c r="A202" s="82"/>
      <c r="B202" s="82"/>
      <c r="C202" s="82"/>
      <c r="D202" s="82"/>
      <c r="E202" s="82" t="s">
        <v>236</v>
      </c>
      <c r="F202" s="82"/>
      <c r="G202" s="82" t="s">
        <v>105</v>
      </c>
      <c r="H202" s="82" t="s">
        <v>237</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v>-4.5826821609020144E-2</v>
      </c>
      <c r="AS202" s="476">
        <v>-4.5826821609020144E-2</v>
      </c>
      <c r="AT202" s="476">
        <v>-4.5826821609020144E-2</v>
      </c>
      <c r="AU202" s="476">
        <v>-4.5826821609020144E-2</v>
      </c>
      <c r="AV202" s="476">
        <v>-4.5826821609020144E-2</v>
      </c>
      <c r="AW202" s="184"/>
    </row>
    <row r="203" spans="1:49" ht="15">
      <c r="A203" s="82"/>
      <c r="B203" s="82"/>
      <c r="C203" s="82"/>
      <c r="D203" s="82"/>
      <c r="E203" s="82" t="s">
        <v>238</v>
      </c>
      <c r="F203" s="82"/>
      <c r="G203" s="82" t="s">
        <v>105</v>
      </c>
      <c r="H203" s="82" t="s">
        <v>239</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v>0</v>
      </c>
      <c r="AS203" s="476">
        <v>0</v>
      </c>
      <c r="AT203" s="476">
        <v>0</v>
      </c>
      <c r="AU203" s="476">
        <v>0</v>
      </c>
      <c r="AV203" s="476">
        <v>0</v>
      </c>
      <c r="AW203" s="184"/>
    </row>
    <row r="204" spans="1:49" ht="15">
      <c r="A204" s="82"/>
      <c r="B204" s="82"/>
      <c r="C204" s="82"/>
      <c r="D204" s="82"/>
      <c r="E204" s="82" t="s">
        <v>240</v>
      </c>
      <c r="F204" s="82"/>
      <c r="G204" s="82" t="s">
        <v>105</v>
      </c>
      <c r="H204" s="82" t="s">
        <v>241</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v>0</v>
      </c>
      <c r="AS204" s="476">
        <v>0</v>
      </c>
      <c r="AT204" s="476">
        <v>0</v>
      </c>
      <c r="AU204" s="476">
        <v>0</v>
      </c>
      <c r="AV204" s="476">
        <v>0</v>
      </c>
      <c r="AW204" s="184"/>
    </row>
    <row r="205" spans="1:49" ht="15">
      <c r="A205" s="82"/>
      <c r="B205" s="82"/>
      <c r="C205" s="82"/>
      <c r="D205" s="82"/>
      <c r="E205" s="82" t="s">
        <v>242</v>
      </c>
      <c r="F205" s="82"/>
      <c r="G205" s="82" t="s">
        <v>105</v>
      </c>
      <c r="H205" s="82" t="s">
        <v>243</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v>3.7623428995071047E-2</v>
      </c>
      <c r="AS205" s="476">
        <v>3.7623428995071047E-2</v>
      </c>
      <c r="AT205" s="476">
        <v>3.7623428995071047E-2</v>
      </c>
      <c r="AU205" s="476">
        <v>3.7623428995071047E-2</v>
      </c>
      <c r="AV205" s="476">
        <v>3.7623428995071047E-2</v>
      </c>
      <c r="AW205" s="184"/>
    </row>
    <row r="206" spans="1:49" ht="15">
      <c r="A206" s="82"/>
      <c r="B206" s="82"/>
      <c r="C206" s="82"/>
      <c r="D206" s="82"/>
      <c r="E206" s="82" t="s">
        <v>244</v>
      </c>
      <c r="F206" s="82"/>
      <c r="G206" s="82" t="s">
        <v>105</v>
      </c>
      <c r="H206" s="82" t="s">
        <v>245</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v>0</v>
      </c>
      <c r="AS206" s="476">
        <v>0</v>
      </c>
      <c r="AT206" s="476">
        <v>0</v>
      </c>
      <c r="AU206" s="476">
        <v>0</v>
      </c>
      <c r="AV206" s="476">
        <v>0</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246</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247</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248</v>
      </c>
      <c r="F211" s="82"/>
      <c r="G211" s="82" t="s">
        <v>249</v>
      </c>
      <c r="H211" s="82" t="s">
        <v>250</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v>3.1E-2</v>
      </c>
      <c r="AS211" s="390">
        <v>3.1699999999999999E-2</v>
      </c>
      <c r="AT211" s="390">
        <v>3.2300000000000002E-2</v>
      </c>
      <c r="AU211" s="390">
        <v>3.2399999999999998E-2</v>
      </c>
      <c r="AV211" s="390">
        <v>3.2599999999999997E-2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251</v>
      </c>
      <c r="F213" s="82"/>
      <c r="G213" s="82" t="s">
        <v>249</v>
      </c>
      <c r="H213" s="82" t="s">
        <v>252</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v>1.46E-2</v>
      </c>
      <c r="AS213" s="390">
        <v>2.7199999999999998E-2</v>
      </c>
      <c r="AT213" s="390">
        <v>2.4299999999999999E-2</v>
      </c>
      <c r="AU213" s="390">
        <v>2.4899999999999999E-2</v>
      </c>
      <c r="AV213" s="390">
        <v>2.5600000000000001E-2</v>
      </c>
      <c r="AW213" s="184"/>
    </row>
    <row r="214" spans="1:49" ht="15">
      <c r="A214" s="82"/>
      <c r="B214" s="82"/>
      <c r="C214" s="82"/>
      <c r="D214" s="82"/>
      <c r="E214" s="82" t="s">
        <v>253</v>
      </c>
      <c r="F214" s="82"/>
      <c r="G214" s="82" t="s">
        <v>100</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v>0.75861000000000001</v>
      </c>
      <c r="AS214" s="409">
        <v>0.75861000000000001</v>
      </c>
      <c r="AT214" s="409">
        <v>0.75861000000000001</v>
      </c>
      <c r="AU214" s="409">
        <v>0.75861000000000001</v>
      </c>
      <c r="AV214" s="409">
        <v>0.75861000000000001</v>
      </c>
      <c r="AW214" s="184"/>
    </row>
    <row r="215" spans="1:49" ht="15">
      <c r="A215" s="82"/>
      <c r="B215" s="82"/>
      <c r="C215" s="82"/>
      <c r="D215" s="82"/>
      <c r="E215" s="82" t="s">
        <v>254</v>
      </c>
      <c r="F215" s="82"/>
      <c r="G215" s="82" t="s">
        <v>209</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v>6.5000000000000002E-2</v>
      </c>
      <c r="AS215" s="409">
        <v>6.5000000000000002E-2</v>
      </c>
      <c r="AT215" s="409">
        <v>6.5000000000000002E-2</v>
      </c>
      <c r="AU215" s="409">
        <v>6.5000000000000002E-2</v>
      </c>
      <c r="AV215" s="409">
        <v>6.5000000000000002E-2</v>
      </c>
      <c r="AW215" s="184"/>
    </row>
    <row r="216" spans="1:49" ht="15">
      <c r="A216" s="82"/>
      <c r="B216" s="82"/>
      <c r="C216" s="82"/>
      <c r="D216" s="82"/>
      <c r="E216" s="82" t="s">
        <v>255</v>
      </c>
      <c r="F216" s="82"/>
      <c r="G216" s="82" t="s">
        <v>209</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v>0.6</v>
      </c>
      <c r="AS216" s="409">
        <v>0.6</v>
      </c>
      <c r="AT216" s="409">
        <v>0.6</v>
      </c>
      <c r="AU216" s="409">
        <v>0.6</v>
      </c>
      <c r="AV216" s="409">
        <v>0.6</v>
      </c>
      <c r="AW216" s="184"/>
    </row>
    <row r="217" spans="1:49" ht="15">
      <c r="A217" s="82"/>
      <c r="B217" s="82"/>
      <c r="C217" s="82"/>
      <c r="D217" s="82"/>
      <c r="E217" s="82" t="s">
        <v>256</v>
      </c>
      <c r="F217" s="82"/>
      <c r="G217" s="82" t="s">
        <v>209</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v>0.6</v>
      </c>
      <c r="AS217" s="409">
        <v>0.6</v>
      </c>
      <c r="AT217" s="409">
        <v>0.6</v>
      </c>
      <c r="AU217" s="409">
        <v>0.6</v>
      </c>
      <c r="AV217" s="409">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1399</v>
      </c>
      <c r="F219" s="82"/>
      <c r="G219" s="82" t="s">
        <v>249</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3.7574999999999997E-2</v>
      </c>
      <c r="AK219" s="409">
        <v>3.6729999999999999E-2</v>
      </c>
      <c r="AL219" s="409">
        <v>3.5885E-2</v>
      </c>
      <c r="AM219" s="409">
        <v>3.4584999999999998E-2</v>
      </c>
      <c r="AN219" s="409">
        <v>3.3610000000000001E-2</v>
      </c>
      <c r="AO219" s="409">
        <v>3.2570000000000002E-2</v>
      </c>
      <c r="AP219" s="409">
        <v>3.1529999999999996E-2</v>
      </c>
      <c r="AQ219" s="457">
        <v>3.0359999999999998E-2</v>
      </c>
      <c r="AR219" s="145"/>
      <c r="AS219" s="184"/>
      <c r="AT219" s="184"/>
      <c r="AU219" s="184"/>
      <c r="AV219" s="184"/>
      <c r="AW219" s="184"/>
    </row>
    <row r="220" spans="1:49" ht="15">
      <c r="A220" s="82"/>
      <c r="B220" s="82"/>
      <c r="C220" s="82"/>
      <c r="D220" s="82"/>
      <c r="E220" s="82" t="s">
        <v>258</v>
      </c>
      <c r="F220" s="82"/>
      <c r="G220" s="82" t="s">
        <v>209</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259</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260</v>
      </c>
      <c r="F223" s="82"/>
      <c r="G223" s="82" t="s">
        <v>209</v>
      </c>
      <c r="H223" s="82" t="s">
        <v>261</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v>0.9919</v>
      </c>
      <c r="AS223" s="390">
        <v>1.0008999999999999</v>
      </c>
      <c r="AT223" s="390">
        <v>1.0102</v>
      </c>
      <c r="AU223" s="390">
        <v>1.0202</v>
      </c>
      <c r="AV223" s="390">
        <v>1.0306</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262</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263</v>
      </c>
      <c r="F226" s="82"/>
      <c r="G226" s="82" t="s">
        <v>209</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v>0.05</v>
      </c>
      <c r="AS226" s="409">
        <v>0.05</v>
      </c>
      <c r="AT226" s="409">
        <v>0.05</v>
      </c>
      <c r="AU226" s="409">
        <v>0.05</v>
      </c>
      <c r="AV226" s="409">
        <v>0.05</v>
      </c>
      <c r="AW226" s="184"/>
    </row>
    <row r="227" spans="1:49" ht="15">
      <c r="A227" s="82"/>
      <c r="B227" s="82"/>
      <c r="C227" s="82"/>
      <c r="D227" s="82"/>
      <c r="E227" s="82" t="s">
        <v>264</v>
      </c>
      <c r="F227" s="82"/>
      <c r="G227" s="82" t="s">
        <v>209</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v>0.05</v>
      </c>
      <c r="AS227" s="409">
        <v>0.05</v>
      </c>
      <c r="AT227" s="409">
        <v>0.05</v>
      </c>
      <c r="AU227" s="409">
        <v>0.05</v>
      </c>
      <c r="AV227" s="409">
        <v>0.05</v>
      </c>
      <c r="AW227" s="184"/>
    </row>
    <row r="228" spans="1:49" ht="15">
      <c r="A228" s="82"/>
      <c r="B228" s="82"/>
      <c r="C228" s="82"/>
      <c r="D228" s="82"/>
      <c r="E228" s="82" t="s">
        <v>265</v>
      </c>
      <c r="F228" s="82"/>
      <c r="G228" s="82" t="s">
        <v>209</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v>0.03</v>
      </c>
      <c r="AS228" s="409">
        <v>0.03</v>
      </c>
      <c r="AT228" s="409">
        <v>0.03</v>
      </c>
      <c r="AU228" s="409">
        <v>0.03</v>
      </c>
      <c r="AV228" s="409">
        <v>0.03</v>
      </c>
      <c r="AW228" s="184"/>
    </row>
    <row r="229" spans="1:49" ht="15">
      <c r="A229" s="82"/>
      <c r="B229" s="82"/>
      <c r="C229" s="82"/>
      <c r="D229" s="82"/>
      <c r="E229" s="82" t="s">
        <v>266</v>
      </c>
      <c r="F229" s="82"/>
      <c r="G229" s="82" t="s">
        <v>209</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v>0.6</v>
      </c>
      <c r="AS229" s="409">
        <v>0.6</v>
      </c>
      <c r="AT229" s="409">
        <v>0.6</v>
      </c>
      <c r="AU229" s="409">
        <v>0.6</v>
      </c>
      <c r="AV229" s="409">
        <v>0.6</v>
      </c>
      <c r="AW229" s="184"/>
    </row>
    <row r="230" spans="1:49" ht="15">
      <c r="A230" s="82"/>
      <c r="B230" s="82"/>
      <c r="C230" s="82"/>
      <c r="D230" s="82"/>
      <c r="E230" s="82" t="s">
        <v>267</v>
      </c>
      <c r="F230" s="82"/>
      <c r="G230" s="82" t="s">
        <v>209</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v>0.25</v>
      </c>
      <c r="AS230" s="409">
        <v>0.25</v>
      </c>
      <c r="AT230" s="409">
        <v>0.25</v>
      </c>
      <c r="AU230" s="409">
        <v>0.25</v>
      </c>
      <c r="AV230" s="409">
        <v>0.25</v>
      </c>
      <c r="AW230" s="184"/>
    </row>
    <row r="231" spans="1:49" ht="15">
      <c r="A231" s="82"/>
      <c r="B231" s="82"/>
      <c r="C231" s="82"/>
      <c r="D231" s="82"/>
      <c r="E231" s="82" t="s">
        <v>268</v>
      </c>
      <c r="F231" s="82"/>
      <c r="G231" s="82" t="s">
        <v>209</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v>0</v>
      </c>
      <c r="AS231" s="409">
        <v>0</v>
      </c>
      <c r="AT231" s="409">
        <v>0</v>
      </c>
      <c r="AU231" s="409">
        <v>0</v>
      </c>
      <c r="AV231" s="409">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269</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270</v>
      </c>
      <c r="F234" s="82"/>
      <c r="G234" s="82" t="s">
        <v>209</v>
      </c>
      <c r="H234" s="82"/>
      <c r="I234" s="409">
        <v>0.73</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271</v>
      </c>
      <c r="F235" s="82"/>
      <c r="G235" s="82" t="s">
        <v>209</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272</v>
      </c>
      <c r="F237" s="82"/>
      <c r="G237" s="82" t="s">
        <v>209</v>
      </c>
      <c r="H237" s="82" t="s">
        <v>273</v>
      </c>
      <c r="I237" s="409">
        <v>0.499</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274</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275</v>
      </c>
      <c r="F241" s="82"/>
      <c r="G241" s="2" t="s">
        <v>105</v>
      </c>
      <c r="H241" s="82"/>
      <c r="I241" s="415">
        <v>25.519621594927063</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276</v>
      </c>
      <c r="F242" s="82"/>
      <c r="G242" s="2" t="s">
        <v>277</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278</v>
      </c>
      <c r="F243" s="82"/>
      <c r="G243" s="2" t="s">
        <v>279</v>
      </c>
      <c r="H243" s="82"/>
      <c r="I243" s="415">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280</v>
      </c>
      <c r="F245" s="82"/>
      <c r="G245" s="2" t="s">
        <v>281</v>
      </c>
      <c r="H245" s="82"/>
      <c r="I245" s="411">
        <v>14</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282</v>
      </c>
      <c r="F246" s="82"/>
      <c r="G246" s="2" t="s">
        <v>281</v>
      </c>
      <c r="H246" s="82"/>
      <c r="I246" s="414"/>
      <c r="J246" s="334"/>
      <c r="K246" s="413">
        <v>33.299999999999997</v>
      </c>
      <c r="L246" s="413">
        <v>33.299999999999997</v>
      </c>
      <c r="M246" s="413">
        <v>33.299999999999997</v>
      </c>
      <c r="N246" s="413">
        <v>33.299999999999997</v>
      </c>
      <c r="O246" s="413">
        <v>33.299999999999997</v>
      </c>
      <c r="P246" s="413">
        <v>33.299999999999997</v>
      </c>
      <c r="Q246" s="413">
        <v>33.299999999999997</v>
      </c>
      <c r="R246" s="413">
        <v>33.299999999999997</v>
      </c>
      <c r="S246" s="413">
        <v>33.299999999999997</v>
      </c>
      <c r="T246" s="413">
        <v>33.299999999999997</v>
      </c>
      <c r="U246" s="413">
        <v>33.299999999999997</v>
      </c>
      <c r="V246" s="413">
        <v>33.299999999999997</v>
      </c>
      <c r="W246" s="413">
        <v>33.299999999999997</v>
      </c>
      <c r="X246" s="413">
        <v>33.299999999999997</v>
      </c>
      <c r="Y246" s="413">
        <v>33.299999999999997</v>
      </c>
      <c r="Z246" s="413">
        <v>33.299999999999997</v>
      </c>
      <c r="AA246" s="413">
        <v>33.299999999999997</v>
      </c>
      <c r="AB246" s="413">
        <v>33.299999999999997</v>
      </c>
      <c r="AC246" s="413">
        <v>33.299999999999997</v>
      </c>
      <c r="AD246" s="413">
        <v>33.299999999999997</v>
      </c>
      <c r="AE246" s="413">
        <v>33.299999999999997</v>
      </c>
      <c r="AF246" s="413">
        <v>33.299999999999997</v>
      </c>
      <c r="AG246" s="413">
        <v>33.299999999999997</v>
      </c>
      <c r="AH246" s="413">
        <v>33.299999999999997</v>
      </c>
      <c r="AI246" s="413">
        <v>33.299999999999997</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5">
      <c r="A247" s="82"/>
      <c r="B247" s="82"/>
      <c r="C247" s="82"/>
      <c r="D247" s="82"/>
      <c r="E247" s="7" t="s">
        <v>283</v>
      </c>
      <c r="F247" s="82"/>
      <c r="G247" s="7" t="s">
        <v>281</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5">
      <c r="A248" s="82"/>
      <c r="B248" s="82"/>
      <c r="C248" s="82"/>
      <c r="D248" s="82"/>
      <c r="E248" s="41" t="s">
        <v>284</v>
      </c>
      <c r="F248" s="82"/>
      <c r="G248" s="2" t="s">
        <v>281</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285</v>
      </c>
      <c r="F249" s="82"/>
      <c r="G249" s="2" t="s">
        <v>281</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286</v>
      </c>
      <c r="F250" s="82"/>
      <c r="G250" s="2" t="s">
        <v>105</v>
      </c>
      <c r="H250" s="82"/>
      <c r="I250" s="207"/>
      <c r="J250" s="333"/>
      <c r="K250" s="413">
        <v>24.265624180091308</v>
      </c>
      <c r="L250" s="413">
        <v>75.575379125780543</v>
      </c>
      <c r="M250" s="413">
        <v>78.539119483654289</v>
      </c>
      <c r="N250" s="413">
        <v>89.097444508579528</v>
      </c>
      <c r="O250" s="413">
        <v>105.21278270451801</v>
      </c>
      <c r="P250" s="413">
        <v>77.61295062181874</v>
      </c>
      <c r="Q250" s="413">
        <v>83.169963792832021</v>
      </c>
      <c r="R250" s="413">
        <v>76.316314215248994</v>
      </c>
      <c r="S250" s="413">
        <v>81.374484759045359</v>
      </c>
      <c r="T250" s="413">
        <v>86.472798316801928</v>
      </c>
      <c r="U250" s="413">
        <v>88.773713396244773</v>
      </c>
      <c r="V250" s="413">
        <v>99.987059669302653</v>
      </c>
      <c r="W250" s="413">
        <v>92.334630861645195</v>
      </c>
      <c r="X250" s="413">
        <v>97.405183056914325</v>
      </c>
      <c r="Y250" s="413">
        <v>91.254455029953064</v>
      </c>
      <c r="Z250" s="413">
        <v>107.8513973764981</v>
      </c>
      <c r="AA250" s="413">
        <v>112.7814106362575</v>
      </c>
      <c r="AB250" s="413">
        <v>129.46104758722427</v>
      </c>
      <c r="AC250" s="413">
        <v>128.05734461084816</v>
      </c>
      <c r="AD250" s="413">
        <v>124.36188074160526</v>
      </c>
      <c r="AE250" s="413">
        <v>110.51366635320358</v>
      </c>
      <c r="AF250" s="413">
        <v>110.87417588734979</v>
      </c>
      <c r="AG250" s="413">
        <v>159.43632367418397</v>
      </c>
      <c r="AH250" s="413">
        <v>179.23991373181218</v>
      </c>
      <c r="AI250" s="413">
        <v>158.09167183610603</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287</v>
      </c>
      <c r="F251" s="82"/>
      <c r="G251" s="2" t="s">
        <v>105</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288</v>
      </c>
      <c r="F252" s="82"/>
      <c r="G252" s="2" t="s">
        <v>105</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-0.45374134482442691</v>
      </c>
      <c r="AI252" s="413">
        <v>31.826224156279334</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289</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256</v>
      </c>
      <c r="F256" s="82"/>
      <c r="G256" s="82" t="s">
        <v>209</v>
      </c>
      <c r="H256" s="82" t="s">
        <v>290</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291</v>
      </c>
      <c r="F257" s="82"/>
      <c r="G257" s="82" t="s">
        <v>249</v>
      </c>
      <c r="H257" s="82" t="s">
        <v>292</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293</v>
      </c>
      <c r="F258" s="82"/>
      <c r="G258" s="82" t="s">
        <v>249</v>
      </c>
      <c r="H258" s="82" t="s">
        <v>294</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295</v>
      </c>
      <c r="F259" s="82"/>
      <c r="G259" s="82" t="s">
        <v>209</v>
      </c>
      <c r="H259" s="82" t="s">
        <v>296</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297</v>
      </c>
      <c r="F260" s="82"/>
      <c r="G260" s="82" t="s">
        <v>209</v>
      </c>
      <c r="H260" s="82" t="s">
        <v>298</v>
      </c>
      <c r="I260" s="409">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299</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1396</v>
      </c>
      <c r="F264" s="2"/>
      <c r="G264" s="82" t="s">
        <v>105</v>
      </c>
      <c r="H264" s="82" t="s">
        <v>302</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477"/>
      <c r="AR264" s="207"/>
      <c r="AS264" s="207"/>
      <c r="AT264" s="207"/>
      <c r="AU264" s="207"/>
      <c r="AV264" s="207"/>
      <c r="AW264" s="184"/>
    </row>
    <row r="265" spans="1:49" ht="15">
      <c r="A265" s="82"/>
      <c r="B265" s="82"/>
      <c r="C265" s="82"/>
      <c r="D265" s="82"/>
      <c r="E265" s="82" t="s">
        <v>303</v>
      </c>
      <c r="F265" s="2"/>
      <c r="G265" s="82" t="s">
        <v>304</v>
      </c>
      <c r="H265" s="82" t="s">
        <v>305</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v>358.9475594299426</v>
      </c>
      <c r="AS265" s="476">
        <v>501.22414267437853</v>
      </c>
      <c r="AT265" s="476"/>
      <c r="AU265" s="476"/>
      <c r="AV265" s="476"/>
      <c r="AW265" s="184"/>
    </row>
    <row r="266" spans="1:49" ht="15">
      <c r="A266" s="82"/>
      <c r="B266" s="82"/>
      <c r="C266" s="82"/>
      <c r="D266" s="82"/>
      <c r="E266" s="82" t="s">
        <v>306</v>
      </c>
      <c r="F266" s="2"/>
      <c r="G266" s="82" t="s">
        <v>304</v>
      </c>
      <c r="H266" s="82" t="s">
        <v>307</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244"/>
      <c r="AR266" s="476"/>
      <c r="AS266" s="476"/>
      <c r="AT266" s="476"/>
      <c r="AU266" s="476"/>
      <c r="AV266" s="476"/>
      <c r="AW266" s="184"/>
    </row>
    <row r="267" spans="1:49" ht="15">
      <c r="A267" s="82"/>
      <c r="B267" s="82"/>
      <c r="C267" s="82"/>
      <c r="D267" s="82"/>
      <c r="E267" s="82" t="s">
        <v>308</v>
      </c>
      <c r="F267" s="2"/>
      <c r="G267" s="82" t="s">
        <v>105</v>
      </c>
      <c r="H267" s="82" t="s">
        <v>309</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477"/>
      <c r="AR267" s="476"/>
      <c r="AS267" s="476"/>
      <c r="AT267" s="476"/>
      <c r="AU267" s="476"/>
      <c r="AV267" s="476"/>
      <c r="AW267" s="184"/>
    </row>
    <row r="268" spans="1:49" ht="15">
      <c r="A268" s="82"/>
      <c r="B268" s="82"/>
      <c r="C268" s="82"/>
      <c r="D268" s="82"/>
      <c r="E268" s="82" t="s">
        <v>310</v>
      </c>
      <c r="F268" s="82"/>
      <c r="G268" s="82" t="s">
        <v>304</v>
      </c>
      <c r="H268" s="82" t="s">
        <v>311</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c r="AS268" s="476"/>
      <c r="AT268" s="476"/>
      <c r="AU268" s="476"/>
      <c r="AV268" s="476"/>
      <c r="AW268" s="184"/>
    </row>
    <row r="269" spans="1:49" ht="15">
      <c r="A269" s="82"/>
      <c r="B269" s="82"/>
      <c r="C269" s="82"/>
      <c r="D269" s="82"/>
      <c r="E269" s="82" t="s">
        <v>1397</v>
      </c>
      <c r="F269" s="82"/>
      <c r="G269" s="82" t="s">
        <v>304</v>
      </c>
      <c r="H269" s="82" t="s">
        <v>313</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244"/>
      <c r="AR269" s="476">
        <v>-3.2831683333333334E-2</v>
      </c>
      <c r="AS269" s="476"/>
      <c r="AT269" s="476"/>
      <c r="AU269" s="476"/>
      <c r="AV269" s="476"/>
      <c r="AW269" s="184"/>
    </row>
    <row r="270" spans="1:49" ht="15">
      <c r="A270" s="82"/>
      <c r="B270" s="82"/>
      <c r="C270" s="82"/>
      <c r="D270" s="82"/>
      <c r="E270" s="131" t="s">
        <v>314</v>
      </c>
      <c r="F270" s="34"/>
      <c r="G270" s="7" t="s">
        <v>315</v>
      </c>
      <c r="H270" s="34" t="s">
        <v>316</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476"/>
      <c r="AS270" s="476"/>
      <c r="AT270" s="476"/>
      <c r="AU270" s="476"/>
      <c r="AV270" s="476"/>
      <c r="AW270" s="184"/>
    </row>
    <row r="271" spans="1:49" ht="15">
      <c r="A271" s="82"/>
      <c r="B271" s="82"/>
      <c r="C271" s="82"/>
      <c r="D271" s="82"/>
      <c r="E271" s="131" t="s">
        <v>317</v>
      </c>
      <c r="F271" s="34"/>
      <c r="G271" s="7" t="s">
        <v>315</v>
      </c>
      <c r="H271" s="34" t="s">
        <v>318</v>
      </c>
      <c r="I271" s="82"/>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477"/>
      <c r="AR271" s="476"/>
      <c r="AS271" s="476"/>
      <c r="AT271" s="476"/>
      <c r="AU271" s="476"/>
      <c r="AV271" s="476"/>
      <c r="AW271" s="184"/>
    </row>
    <row r="272" spans="1:49" ht="15">
      <c r="A272" s="82"/>
      <c r="B272" s="82"/>
      <c r="C272" s="82"/>
      <c r="D272" s="82"/>
      <c r="E272" s="82" t="s">
        <v>319</v>
      </c>
      <c r="F272" s="2"/>
      <c r="G272" s="82" t="s">
        <v>209</v>
      </c>
      <c r="H272" s="82"/>
      <c r="I272" s="409">
        <v>0.06</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320</v>
      </c>
      <c r="F273" s="2"/>
      <c r="G273" s="82" t="s">
        <v>209</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t="s">
        <v>321</v>
      </c>
      <c r="F274" s="82"/>
      <c r="G274" s="82" t="s">
        <v>209</v>
      </c>
      <c r="H274" s="82"/>
      <c r="I274" s="409">
        <v>1.15E-2</v>
      </c>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4"/>
      <c r="AR274" s="207"/>
      <c r="AS274" s="207"/>
      <c r="AT274" s="207"/>
      <c r="AU274" s="207"/>
      <c r="AV274" s="207"/>
      <c r="AW274" s="184"/>
    </row>
    <row r="275" spans="1:49" ht="15">
      <c r="A275" s="82"/>
      <c r="B275" s="82"/>
      <c r="C275" s="82"/>
      <c r="D275" s="82"/>
      <c r="E275" s="82"/>
      <c r="F275" s="82"/>
      <c r="G275" s="82"/>
      <c r="H275" s="82"/>
      <c r="I275" s="82"/>
      <c r="J275" s="82"/>
      <c r="K275" s="82"/>
      <c r="L275" s="82"/>
      <c r="M275" s="82"/>
      <c r="N275" s="82"/>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43"/>
      <c r="AR275" s="145"/>
      <c r="AS275" s="184"/>
      <c r="AT275" s="184"/>
      <c r="AU275" s="184"/>
      <c r="AV275" s="184"/>
      <c r="AW275" s="184"/>
    </row>
    <row r="276" spans="1:49" ht="15">
      <c r="A276" s="82"/>
      <c r="B276" s="408" t="s">
        <v>322</v>
      </c>
      <c r="C276" s="408"/>
      <c r="D276" s="408"/>
      <c r="E276" s="408"/>
      <c r="F276" s="408"/>
      <c r="G276" s="408"/>
      <c r="H276" s="408"/>
      <c r="I276" s="408"/>
      <c r="J276" s="408"/>
      <c r="K276" s="408"/>
      <c r="L276" s="408"/>
      <c r="M276" s="408"/>
      <c r="N276" s="408"/>
      <c r="O276" s="405"/>
      <c r="P276" s="405"/>
      <c r="Q276" s="405"/>
      <c r="R276" s="405"/>
      <c r="S276" s="405"/>
      <c r="T276" s="405"/>
      <c r="U276" s="405"/>
      <c r="V276" s="405"/>
      <c r="W276" s="405"/>
      <c r="X276" s="405"/>
      <c r="Y276" s="405"/>
      <c r="Z276" s="405"/>
      <c r="AA276" s="405"/>
      <c r="AB276" s="405"/>
      <c r="AC276" s="405"/>
      <c r="AD276" s="405"/>
      <c r="AE276" s="405"/>
      <c r="AF276" s="405"/>
      <c r="AG276" s="405"/>
      <c r="AH276" s="405"/>
      <c r="AI276" s="405"/>
      <c r="AJ276" s="405"/>
      <c r="AK276" s="405"/>
      <c r="AL276" s="405"/>
      <c r="AM276" s="405"/>
      <c r="AN276" s="405"/>
      <c r="AO276" s="405"/>
      <c r="AP276" s="405"/>
      <c r="AQ276" s="407"/>
      <c r="AR276" s="406"/>
      <c r="AS276" s="405"/>
      <c r="AT276" s="405"/>
      <c r="AU276" s="405"/>
      <c r="AV276" s="405"/>
      <c r="AW276" s="184"/>
    </row>
    <row r="277" spans="1:49" ht="15">
      <c r="A277" s="82"/>
      <c r="B277" s="82"/>
      <c r="C277" s="82"/>
      <c r="D277" s="82"/>
      <c r="E277" s="82"/>
      <c r="F277" s="82"/>
      <c r="G277" s="82"/>
      <c r="H277" s="82"/>
      <c r="I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145"/>
      <c r="AS277" s="184"/>
      <c r="AT277" s="184"/>
      <c r="AU277" s="184"/>
      <c r="AV277" s="184"/>
      <c r="AW277" s="184"/>
    </row>
    <row r="278" spans="1:49" ht="15">
      <c r="A278" s="82"/>
      <c r="B278" s="82"/>
      <c r="C278" s="82"/>
      <c r="D278" s="82"/>
      <c r="E278" s="82" t="s">
        <v>323</v>
      </c>
      <c r="F278" s="82"/>
      <c r="G278" s="82" t="s">
        <v>105</v>
      </c>
      <c r="H278" s="82" t="s">
        <v>324</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v>-7.9935858132739916</v>
      </c>
      <c r="AS278" s="476">
        <v>-11.634130968728453</v>
      </c>
      <c r="AT278" s="476">
        <v>-12.361923422214995</v>
      </c>
      <c r="AU278" s="476">
        <v>0</v>
      </c>
      <c r="AV278" s="476">
        <v>0</v>
      </c>
      <c r="AW278" s="184"/>
    </row>
    <row r="279" spans="1:49" ht="15">
      <c r="A279" s="82"/>
      <c r="B279" s="82"/>
      <c r="C279" s="82"/>
      <c r="D279" s="82"/>
      <c r="E279" s="82" t="s">
        <v>325</v>
      </c>
      <c r="F279" s="82"/>
      <c r="G279" s="21" t="s">
        <v>304</v>
      </c>
      <c r="H279" s="82" t="s">
        <v>326</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c r="AS279" s="476"/>
      <c r="AT279" s="476"/>
      <c r="AU279" s="476"/>
      <c r="AV279" s="476"/>
      <c r="AW279" s="184"/>
    </row>
    <row r="280" spans="1:49" ht="15">
      <c r="A280" s="82"/>
      <c r="B280" s="82"/>
      <c r="C280" s="82"/>
      <c r="D280" s="82"/>
      <c r="E280" s="82" t="s">
        <v>327</v>
      </c>
      <c r="F280" s="82"/>
      <c r="G280" s="21" t="s">
        <v>304</v>
      </c>
      <c r="H280" s="82" t="s">
        <v>328</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c r="AS280" s="476"/>
      <c r="AT280" s="476"/>
      <c r="AU280" s="476"/>
      <c r="AV280" s="476"/>
      <c r="AW280" s="184"/>
    </row>
    <row r="281" spans="1:49" ht="15">
      <c r="A281" s="82"/>
      <c r="B281" s="82"/>
      <c r="C281" s="82"/>
      <c r="D281" s="82"/>
      <c r="E281" s="82" t="s">
        <v>329</v>
      </c>
      <c r="F281" s="82"/>
      <c r="G281" s="21" t="s">
        <v>304</v>
      </c>
      <c r="H281" s="82" t="s">
        <v>330</v>
      </c>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476"/>
      <c r="AS281" s="476"/>
      <c r="AT281" s="476"/>
      <c r="AU281" s="476"/>
      <c r="AV281" s="476"/>
      <c r="AW281" s="184"/>
    </row>
    <row r="282" spans="1:49" ht="15">
      <c r="A282" s="82"/>
      <c r="B282" s="82"/>
      <c r="C282" s="82"/>
      <c r="D282" s="82"/>
      <c r="E282" s="82"/>
      <c r="F282" s="82"/>
      <c r="G282" s="21"/>
      <c r="H282" s="82"/>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207"/>
      <c r="AS282" s="207"/>
      <c r="AT282" s="207"/>
      <c r="AU282" s="207"/>
      <c r="AV282" s="207"/>
      <c r="AW282" s="184"/>
    </row>
    <row r="283" spans="1:49" ht="15">
      <c r="A283" s="82"/>
      <c r="B283" s="82"/>
      <c r="C283" s="82"/>
      <c r="D283" s="82"/>
      <c r="E283" s="82" t="s">
        <v>331</v>
      </c>
      <c r="F283" s="82"/>
      <c r="G283" s="21" t="s">
        <v>304</v>
      </c>
      <c r="H283" s="82" t="s">
        <v>332</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v>0</v>
      </c>
      <c r="AS283" s="476">
        <v>-14.218782134167178</v>
      </c>
      <c r="AT283" s="476">
        <v>-18.927396656876439</v>
      </c>
      <c r="AU283" s="476">
        <v>-22.966508902510938</v>
      </c>
      <c r="AV283" s="476">
        <v>0</v>
      </c>
      <c r="AW283" s="184"/>
    </row>
    <row r="284" spans="1:49" ht="15">
      <c r="A284" s="82"/>
      <c r="B284" s="82"/>
      <c r="C284" s="82"/>
      <c r="D284" s="82"/>
      <c r="E284" s="82" t="s">
        <v>333</v>
      </c>
      <c r="F284" s="82"/>
      <c r="G284" s="21" t="s">
        <v>304</v>
      </c>
      <c r="H284" s="82" t="s">
        <v>334</v>
      </c>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476">
        <v>0</v>
      </c>
      <c r="AS284" s="476">
        <v>-16.696026047804605</v>
      </c>
      <c r="AT284" s="476">
        <v>-27.438203410875573</v>
      </c>
      <c r="AU284" s="476">
        <v>-27.142104708419637</v>
      </c>
      <c r="AV284" s="476">
        <v>0</v>
      </c>
      <c r="AW284" s="184"/>
    </row>
    <row r="285" spans="1:49" ht="15">
      <c r="A285" s="82"/>
      <c r="B285" s="82"/>
      <c r="C285" s="82"/>
      <c r="D285" s="82"/>
      <c r="E285" s="82"/>
      <c r="F285" s="82"/>
      <c r="G285" s="82"/>
      <c r="H285" s="82"/>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145"/>
      <c r="AS285" s="184"/>
      <c r="AT285" s="184"/>
      <c r="AU285" s="184"/>
      <c r="AV285" s="184"/>
      <c r="AW285" s="184"/>
    </row>
    <row r="286" spans="1:49" ht="15">
      <c r="A286" s="82"/>
      <c r="B286" s="82"/>
      <c r="C286" s="82"/>
      <c r="D286" s="82"/>
      <c r="E286" s="7" t="s">
        <v>335</v>
      </c>
      <c r="F286" s="86"/>
      <c r="G286" s="82" t="s">
        <v>209</v>
      </c>
      <c r="H286" s="2" t="s">
        <v>336</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v>0.25</v>
      </c>
      <c r="AS286" s="420">
        <v>0.25</v>
      </c>
      <c r="AT286" s="420">
        <v>0.25</v>
      </c>
      <c r="AU286" s="420">
        <v>0.25</v>
      </c>
      <c r="AV286" s="420">
        <v>0.25</v>
      </c>
      <c r="AW286" s="184"/>
    </row>
    <row r="287" spans="1:49" ht="15">
      <c r="A287" s="82"/>
      <c r="B287" s="82"/>
      <c r="C287" s="82"/>
      <c r="D287" s="82"/>
      <c r="E287" s="7" t="s">
        <v>337</v>
      </c>
      <c r="F287" s="86"/>
      <c r="G287" s="82" t="s">
        <v>209</v>
      </c>
      <c r="H287" s="7" t="s">
        <v>338</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v>0.18</v>
      </c>
      <c r="AS287" s="420">
        <v>0.18</v>
      </c>
      <c r="AT287" s="420">
        <v>0.18</v>
      </c>
      <c r="AU287" s="420">
        <v>0.18</v>
      </c>
      <c r="AV287" s="420">
        <v>0.18</v>
      </c>
      <c r="AW287" s="184"/>
    </row>
    <row r="288" spans="1:49" ht="15">
      <c r="A288" s="82"/>
      <c r="B288" s="82"/>
      <c r="C288" s="82"/>
      <c r="D288" s="82"/>
      <c r="E288" s="7" t="s">
        <v>339</v>
      </c>
      <c r="F288" s="86"/>
      <c r="G288" s="82" t="s">
        <v>209</v>
      </c>
      <c r="H288" s="7" t="s">
        <v>340</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v>0.06</v>
      </c>
      <c r="AS288" s="420">
        <v>0.06</v>
      </c>
      <c r="AT288" s="420">
        <v>0.06</v>
      </c>
      <c r="AU288" s="420">
        <v>0.06</v>
      </c>
      <c r="AV288" s="420">
        <v>0.06</v>
      </c>
      <c r="AW288" s="184"/>
    </row>
    <row r="289" spans="1:49" ht="15">
      <c r="A289" s="82"/>
      <c r="B289" s="82"/>
      <c r="C289" s="82"/>
      <c r="D289" s="82"/>
      <c r="E289" s="7" t="s">
        <v>341</v>
      </c>
      <c r="F289" s="86"/>
      <c r="G289" s="82" t="s">
        <v>209</v>
      </c>
      <c r="H289" s="7" t="s">
        <v>342</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v>0.03</v>
      </c>
      <c r="AS289" s="420">
        <v>0.03</v>
      </c>
      <c r="AT289" s="420">
        <v>0.03</v>
      </c>
      <c r="AU289" s="420">
        <v>0.03</v>
      </c>
      <c r="AV289" s="420">
        <v>0.03</v>
      </c>
      <c r="AW289" s="184"/>
    </row>
    <row r="290" spans="1:49" ht="15">
      <c r="A290" s="82"/>
      <c r="B290" s="82"/>
      <c r="C290" s="82"/>
      <c r="D290" s="82"/>
      <c r="E290" s="7" t="s">
        <v>343</v>
      </c>
      <c r="F290" s="86"/>
      <c r="G290" s="82" t="s">
        <v>209</v>
      </c>
      <c r="H290" s="7" t="s">
        <v>344</v>
      </c>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420">
        <v>2.2200000000000001E-2</v>
      </c>
      <c r="AS290" s="420">
        <v>2.2200000000000001E-2</v>
      </c>
      <c r="AT290" s="420">
        <v>2.2200000000000001E-2</v>
      </c>
      <c r="AU290" s="420">
        <v>2.2200000000000001E-2</v>
      </c>
      <c r="AV290" s="420">
        <v>2.2200000000000001E-2</v>
      </c>
      <c r="AW290" s="184"/>
    </row>
    <row r="291" spans="1:49" ht="15">
      <c r="A291" s="82"/>
      <c r="B291" s="82"/>
      <c r="C291" s="82"/>
      <c r="D291" s="82"/>
      <c r="E291" s="82"/>
      <c r="F291" s="82"/>
      <c r="G291" s="82"/>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145"/>
      <c r="AS291" s="184"/>
      <c r="AT291" s="184"/>
      <c r="AU291" s="184"/>
      <c r="AV291" s="184"/>
      <c r="AW291" s="184"/>
    </row>
    <row r="292" spans="1:49" ht="15">
      <c r="A292" s="82"/>
      <c r="B292" s="82"/>
      <c r="C292" s="82"/>
      <c r="D292" s="82"/>
      <c r="E292" s="82" t="s">
        <v>345</v>
      </c>
      <c r="F292" s="82"/>
      <c r="G292" s="82" t="s">
        <v>105</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528">
        <v>1.368578491828039</v>
      </c>
      <c r="AS292" s="528">
        <v>1.4008338175049104</v>
      </c>
      <c r="AT292" s="528">
        <v>1.2944169556388054</v>
      </c>
      <c r="AU292" s="528">
        <v>1.1615288221705597</v>
      </c>
      <c r="AV292" s="528">
        <v>1.0171476978779488</v>
      </c>
      <c r="AW292" s="184"/>
    </row>
    <row r="293" spans="1:49" ht="15">
      <c r="A293" s="82"/>
      <c r="B293" s="82"/>
      <c r="C293" s="82"/>
      <c r="D293" s="82"/>
      <c r="E293" s="82" t="s">
        <v>346</v>
      </c>
      <c r="F293" s="82"/>
      <c r="G293" s="82" t="s">
        <v>209</v>
      </c>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410">
        <v>0.65</v>
      </c>
      <c r="AS293" s="410">
        <v>0.64</v>
      </c>
      <c r="AT293" s="410">
        <v>0.63</v>
      </c>
      <c r="AU293" s="410">
        <v>0.61</v>
      </c>
      <c r="AV293" s="410">
        <v>0.6</v>
      </c>
      <c r="AW293" s="184"/>
    </row>
    <row r="294" spans="1:49" ht="15">
      <c r="A294" s="82"/>
      <c r="B294" s="82"/>
      <c r="C294" s="82"/>
      <c r="D294" s="82"/>
      <c r="E294" s="82"/>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145"/>
      <c r="AS294" s="184"/>
      <c r="AT294" s="184"/>
      <c r="AU294" s="184"/>
      <c r="AV294" s="184"/>
      <c r="AW294" s="184"/>
    </row>
    <row r="295" spans="1:49" ht="15">
      <c r="A295" s="82"/>
      <c r="B295" s="82"/>
      <c r="C295" s="82"/>
      <c r="D295" s="351" t="s">
        <v>347</v>
      </c>
      <c r="E295" s="351"/>
      <c r="F295" s="82"/>
      <c r="G295" s="82"/>
      <c r="H295" s="82"/>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364"/>
      <c r="AS295" s="184"/>
      <c r="AT295" s="184"/>
      <c r="AU295" s="184"/>
      <c r="AV295" s="184"/>
      <c r="AW295" s="184"/>
    </row>
    <row r="296" spans="1:49" ht="15">
      <c r="A296" s="82"/>
      <c r="B296" s="82"/>
      <c r="C296" s="82"/>
      <c r="D296" s="82"/>
      <c r="E296" s="82" t="s">
        <v>348</v>
      </c>
      <c r="F296" s="82"/>
      <c r="G296" s="82" t="s">
        <v>209</v>
      </c>
      <c r="H296" s="82" t="s">
        <v>349</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v>0</v>
      </c>
      <c r="AS296" s="508">
        <v>0</v>
      </c>
      <c r="AT296" s="508">
        <v>0</v>
      </c>
      <c r="AU296" s="508">
        <v>0</v>
      </c>
      <c r="AV296" s="508">
        <v>0</v>
      </c>
      <c r="AW296" s="184"/>
    </row>
    <row r="297" spans="1:49" ht="15">
      <c r="A297" s="82"/>
      <c r="B297" s="82"/>
      <c r="C297" s="82"/>
      <c r="D297" s="82"/>
      <c r="E297" s="82" t="s">
        <v>350</v>
      </c>
      <c r="F297" s="82"/>
      <c r="G297" s="82" t="s">
        <v>209</v>
      </c>
      <c r="H297" s="82" t="s">
        <v>349</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v>0</v>
      </c>
      <c r="AS297" s="508">
        <v>0</v>
      </c>
      <c r="AT297" s="508">
        <v>0</v>
      </c>
      <c r="AU297" s="508">
        <v>0</v>
      </c>
      <c r="AV297" s="508">
        <v>0</v>
      </c>
      <c r="AW297" s="184"/>
    </row>
    <row r="298" spans="1:49" ht="15">
      <c r="A298" s="82"/>
      <c r="B298" s="82"/>
      <c r="C298" s="82"/>
      <c r="D298" s="82"/>
      <c r="E298" s="82" t="s">
        <v>351</v>
      </c>
      <c r="F298" s="82"/>
      <c r="G298" s="82" t="s">
        <v>209</v>
      </c>
      <c r="H298" s="82" t="s">
        <v>349</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v>0.55574653918249073</v>
      </c>
      <c r="AS298" s="508">
        <v>0.48081865554122877</v>
      </c>
      <c r="AT298" s="508">
        <v>0.51988175725456021</v>
      </c>
      <c r="AU298" s="508">
        <v>0.51625751298308531</v>
      </c>
      <c r="AV298" s="508">
        <v>0.54885426554035799</v>
      </c>
      <c r="AW298" s="184"/>
    </row>
    <row r="299" spans="1:49" ht="15">
      <c r="A299" s="82"/>
      <c r="B299" s="82"/>
      <c r="C299" s="82"/>
      <c r="D299" s="82"/>
      <c r="E299" s="82" t="s">
        <v>352</v>
      </c>
      <c r="F299" s="82"/>
      <c r="G299" s="82" t="s">
        <v>209</v>
      </c>
      <c r="H299" s="82" t="s">
        <v>349</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v>0</v>
      </c>
      <c r="AS299" s="508">
        <v>0</v>
      </c>
      <c r="AT299" s="508">
        <v>0</v>
      </c>
      <c r="AU299" s="508">
        <v>0</v>
      </c>
      <c r="AV299" s="508">
        <v>0</v>
      </c>
      <c r="AW299" s="184"/>
    </row>
    <row r="300" spans="1:49" ht="15">
      <c r="A300" s="82"/>
      <c r="B300" s="82"/>
      <c r="C300" s="82"/>
      <c r="D300" s="82"/>
      <c r="E300" s="82" t="s">
        <v>353</v>
      </c>
      <c r="F300" s="82"/>
      <c r="G300" s="82" t="s">
        <v>209</v>
      </c>
      <c r="H300" s="82" t="s">
        <v>349</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v>0</v>
      </c>
      <c r="AS300" s="508">
        <v>0</v>
      </c>
      <c r="AT300" s="508">
        <v>0</v>
      </c>
      <c r="AU300" s="508">
        <v>0</v>
      </c>
      <c r="AV300" s="508">
        <v>0</v>
      </c>
      <c r="AW300" s="184"/>
    </row>
    <row r="301" spans="1:49" ht="15">
      <c r="A301" s="82"/>
      <c r="B301" s="82"/>
      <c r="C301" s="82"/>
      <c r="D301" s="82"/>
      <c r="E301" s="82" t="s">
        <v>354</v>
      </c>
      <c r="F301" s="82"/>
      <c r="G301" s="82" t="s">
        <v>209</v>
      </c>
      <c r="H301" s="82" t="s">
        <v>349</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v>0</v>
      </c>
      <c r="AS301" s="508">
        <v>0</v>
      </c>
      <c r="AT301" s="508">
        <v>0</v>
      </c>
      <c r="AU301" s="508">
        <v>0</v>
      </c>
      <c r="AV301" s="508">
        <v>0</v>
      </c>
      <c r="AW301" s="184"/>
    </row>
    <row r="302" spans="1:49" ht="15">
      <c r="A302" s="82"/>
      <c r="B302" s="82"/>
      <c r="C302" s="82"/>
      <c r="D302" s="82"/>
      <c r="E302" s="82" t="s">
        <v>355</v>
      </c>
      <c r="F302" s="82"/>
      <c r="G302" s="82" t="s">
        <v>209</v>
      </c>
      <c r="H302" s="82" t="s">
        <v>349</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v>6.1481795939682726E-2</v>
      </c>
      <c r="AS302" s="508">
        <v>5.7750421065792715E-2</v>
      </c>
      <c r="AT302" s="508">
        <v>6.1419491483458988E-2</v>
      </c>
      <c r="AU302" s="508">
        <v>5.5368591274214847E-2</v>
      </c>
      <c r="AV302" s="508">
        <v>4.4185155140046277E-2</v>
      </c>
      <c r="AW302" s="184"/>
    </row>
    <row r="303" spans="1:49" ht="15">
      <c r="A303" s="82"/>
      <c r="B303" s="82"/>
      <c r="C303" s="82"/>
      <c r="D303" s="82"/>
      <c r="E303" s="82" t="s">
        <v>356</v>
      </c>
      <c r="F303" s="82"/>
      <c r="G303" s="82" t="s">
        <v>209</v>
      </c>
      <c r="H303" s="82" t="s">
        <v>357</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v>0.93986808700581914</v>
      </c>
      <c r="AS303" s="508">
        <v>0.96481628590185897</v>
      </c>
      <c r="AT303" s="508">
        <v>0.96680659142513647</v>
      </c>
      <c r="AU303" s="508">
        <v>0.96963311900969584</v>
      </c>
      <c r="AV303" s="508">
        <v>0.95810421960377123</v>
      </c>
      <c r="AW303" s="184"/>
    </row>
    <row r="304" spans="1:49" ht="15">
      <c r="A304" s="82"/>
      <c r="B304" s="82"/>
      <c r="C304" s="82"/>
      <c r="D304" s="82"/>
      <c r="E304" s="82" t="s">
        <v>358</v>
      </c>
      <c r="F304" s="82"/>
      <c r="G304" s="82" t="s">
        <v>209</v>
      </c>
      <c r="H304" s="82" t="s">
        <v>357</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v>0.13970159936123508</v>
      </c>
      <c r="AS304" s="508">
        <v>0.15485397499171774</v>
      </c>
      <c r="AT304" s="508">
        <v>0.10516058410539117</v>
      </c>
      <c r="AU304" s="508">
        <v>3.6697914942998046E-2</v>
      </c>
      <c r="AV304" s="508">
        <v>2.7136494214915343E-2</v>
      </c>
      <c r="AW304" s="184"/>
    </row>
    <row r="305" spans="1:49" ht="15">
      <c r="A305" s="82"/>
      <c r="B305" s="82"/>
      <c r="C305" s="82"/>
      <c r="D305" s="82"/>
      <c r="E305" s="82" t="s">
        <v>359</v>
      </c>
      <c r="F305" s="82"/>
      <c r="G305" s="82" t="s">
        <v>209</v>
      </c>
      <c r="H305" s="82" t="s">
        <v>357</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v>6.5391447442296399E-3</v>
      </c>
      <c r="AS305" s="508">
        <v>4.3425136394023341E-3</v>
      </c>
      <c r="AT305" s="508">
        <v>4.088497780003455E-3</v>
      </c>
      <c r="AU305" s="508">
        <v>5.0346823142526764E-3</v>
      </c>
      <c r="AV305" s="508">
        <v>8.080523684580147E-3</v>
      </c>
      <c r="AW305" s="184"/>
    </row>
    <row r="306" spans="1:49" ht="15">
      <c r="A306" s="82"/>
      <c r="B306" s="82"/>
      <c r="C306" s="82"/>
      <c r="D306" s="82"/>
      <c r="E306" s="82" t="s">
        <v>360</v>
      </c>
      <c r="F306" s="82"/>
      <c r="G306" s="82" t="s">
        <v>209</v>
      </c>
      <c r="H306" s="82" t="s">
        <v>357</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v>0</v>
      </c>
      <c r="AS306" s="508">
        <v>0</v>
      </c>
      <c r="AT306" s="508">
        <v>0</v>
      </c>
      <c r="AU306" s="508">
        <v>0</v>
      </c>
      <c r="AV306" s="508">
        <v>0</v>
      </c>
      <c r="AW306" s="184"/>
    </row>
    <row r="307" spans="1:49" ht="15">
      <c r="A307" s="82"/>
      <c r="B307" s="82"/>
      <c r="C307" s="82"/>
      <c r="D307" s="82"/>
      <c r="E307" s="82" t="s">
        <v>361</v>
      </c>
      <c r="F307" s="82"/>
      <c r="G307" s="82" t="s">
        <v>209</v>
      </c>
      <c r="H307" s="82" t="s">
        <v>357</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v>0</v>
      </c>
      <c r="AS307" s="508">
        <v>0</v>
      </c>
      <c r="AT307" s="508">
        <v>0</v>
      </c>
      <c r="AU307" s="508">
        <v>0</v>
      </c>
      <c r="AV307" s="508">
        <v>0</v>
      </c>
      <c r="AW307" s="184"/>
    </row>
    <row r="308" spans="1:49" ht="15">
      <c r="A308" s="82"/>
      <c r="B308" s="82"/>
      <c r="C308" s="82"/>
      <c r="D308" s="82"/>
      <c r="E308" s="82" t="s">
        <v>362</v>
      </c>
      <c r="F308" s="82"/>
      <c r="G308" s="82" t="s">
        <v>209</v>
      </c>
      <c r="H308" s="82" t="s">
        <v>357</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v>0</v>
      </c>
      <c r="AS308" s="508">
        <v>0</v>
      </c>
      <c r="AT308" s="508">
        <v>0</v>
      </c>
      <c r="AU308" s="508">
        <v>0</v>
      </c>
      <c r="AV308" s="508">
        <v>0</v>
      </c>
      <c r="AW308" s="184"/>
    </row>
    <row r="309" spans="1:49" ht="15">
      <c r="A309" s="82"/>
      <c r="B309" s="82"/>
      <c r="C309" s="82"/>
      <c r="D309" s="82"/>
      <c r="E309" s="82" t="s">
        <v>363</v>
      </c>
      <c r="F309" s="82"/>
      <c r="G309" s="82" t="s">
        <v>209</v>
      </c>
      <c r="H309" s="82" t="s">
        <v>357</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v>0.10939432957639103</v>
      </c>
      <c r="AS309" s="508">
        <v>0.12601323242261098</v>
      </c>
      <c r="AT309" s="508">
        <v>0.10939375095165546</v>
      </c>
      <c r="AU309" s="508">
        <v>0.10612667636190133</v>
      </c>
      <c r="AV309" s="508">
        <v>9.1228309643191952E-2</v>
      </c>
      <c r="AW309" s="184"/>
    </row>
    <row r="310" spans="1:49" ht="15">
      <c r="A310" s="82"/>
      <c r="B310" s="82"/>
      <c r="C310" s="82"/>
      <c r="D310" s="82"/>
      <c r="E310" s="82" t="s">
        <v>364</v>
      </c>
      <c r="F310" s="82"/>
      <c r="G310" s="82" t="s">
        <v>209</v>
      </c>
      <c r="H310" s="82" t="s">
        <v>365</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v>0</v>
      </c>
      <c r="AS310" s="508">
        <v>0</v>
      </c>
      <c r="AT310" s="508">
        <v>0</v>
      </c>
      <c r="AU310" s="508">
        <v>0</v>
      </c>
      <c r="AV310" s="508">
        <v>0</v>
      </c>
      <c r="AW310" s="184"/>
    </row>
    <row r="311" spans="1:49" ht="15">
      <c r="A311" s="82"/>
      <c r="B311" s="82"/>
      <c r="C311" s="82"/>
      <c r="D311" s="82"/>
      <c r="E311" s="82" t="s">
        <v>366</v>
      </c>
      <c r="F311" s="82"/>
      <c r="G311" s="82" t="s">
        <v>209</v>
      </c>
      <c r="H311" s="82" t="s">
        <v>365</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v>0.79956323702903542</v>
      </c>
      <c r="AS311" s="508">
        <v>0.8131606159669198</v>
      </c>
      <c r="AT311" s="508">
        <v>0.84700174047170917</v>
      </c>
      <c r="AU311" s="508">
        <v>0.91338519596929624</v>
      </c>
      <c r="AV311" s="508">
        <v>0.92051621604386114</v>
      </c>
      <c r="AW311" s="184"/>
    </row>
    <row r="312" spans="1:49" ht="15">
      <c r="A312" s="82"/>
      <c r="B312" s="82"/>
      <c r="C312" s="82"/>
      <c r="D312" s="82"/>
      <c r="E312" s="82" t="s">
        <v>367</v>
      </c>
      <c r="F312" s="82"/>
      <c r="G312" s="82" t="s">
        <v>209</v>
      </c>
      <c r="H312" s="82" t="s">
        <v>365</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v>0.40564068524285379</v>
      </c>
      <c r="AS312" s="508">
        <v>0.4676356284466972</v>
      </c>
      <c r="AT312" s="508">
        <v>0.30857529410140527</v>
      </c>
      <c r="AU312" s="508">
        <v>0.290186940770357</v>
      </c>
      <c r="AV312" s="508">
        <v>0.3990462828865074</v>
      </c>
      <c r="AW312" s="184"/>
    </row>
    <row r="313" spans="1:49" ht="15">
      <c r="A313" s="82"/>
      <c r="B313" s="82"/>
      <c r="C313" s="82"/>
      <c r="D313" s="82"/>
      <c r="E313" s="82" t="s">
        <v>368</v>
      </c>
      <c r="F313" s="82"/>
      <c r="G313" s="82" t="s">
        <v>209</v>
      </c>
      <c r="H313" s="82" t="s">
        <v>365</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v>0.84075588495266662</v>
      </c>
      <c r="AS313" s="508">
        <v>0.84075588495266662</v>
      </c>
      <c r="AT313" s="508">
        <v>0.84075588495266662</v>
      </c>
      <c r="AU313" s="508">
        <v>0.84075588495266662</v>
      </c>
      <c r="AV313" s="508">
        <v>0.84075588495266662</v>
      </c>
      <c r="AW313" s="184"/>
    </row>
    <row r="314" spans="1:49" ht="15">
      <c r="A314" s="82"/>
      <c r="B314" s="82"/>
      <c r="C314" s="82"/>
      <c r="D314" s="82"/>
      <c r="E314" s="82" t="s">
        <v>369</v>
      </c>
      <c r="F314" s="82"/>
      <c r="G314" s="82" t="s">
        <v>209</v>
      </c>
      <c r="H314" s="82" t="s">
        <v>365</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v>4.2902237475974138E-2</v>
      </c>
      <c r="AS314" s="508">
        <v>4.2902237475974138E-2</v>
      </c>
      <c r="AT314" s="508">
        <v>4.2902237475974145E-2</v>
      </c>
      <c r="AU314" s="508">
        <v>4.2902237475974145E-2</v>
      </c>
      <c r="AV314" s="508">
        <v>4.2902237475974145E-2</v>
      </c>
      <c r="AW314" s="184"/>
    </row>
    <row r="315" spans="1:49" ht="15">
      <c r="A315" s="82"/>
      <c r="B315" s="82"/>
      <c r="C315" s="82"/>
      <c r="D315" s="82"/>
      <c r="E315" s="82" t="s">
        <v>370</v>
      </c>
      <c r="F315" s="82"/>
      <c r="G315" s="82" t="s">
        <v>209</v>
      </c>
      <c r="H315" s="82" t="s">
        <v>365</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v>0</v>
      </c>
      <c r="AS315" s="508">
        <v>0</v>
      </c>
      <c r="AT315" s="508">
        <v>0</v>
      </c>
      <c r="AU315" s="508">
        <v>0</v>
      </c>
      <c r="AV315" s="508">
        <v>0</v>
      </c>
      <c r="AW315" s="184"/>
    </row>
    <row r="316" spans="1:49" ht="15">
      <c r="A316" s="82"/>
      <c r="B316" s="82"/>
      <c r="C316" s="82"/>
      <c r="D316" s="82"/>
      <c r="E316" s="82" t="s">
        <v>371</v>
      </c>
      <c r="F316" s="82"/>
      <c r="G316" s="82" t="s">
        <v>209</v>
      </c>
      <c r="H316" s="82" t="s">
        <v>365</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v>0.37806366439630779</v>
      </c>
      <c r="AS316" s="508">
        <v>0.35209193810275663</v>
      </c>
      <c r="AT316" s="508">
        <v>0.33967394097018822</v>
      </c>
      <c r="AU316" s="508">
        <v>0.34533422526877711</v>
      </c>
      <c r="AV316" s="508">
        <v>0.38891263441623708</v>
      </c>
      <c r="AW316" s="184"/>
    </row>
    <row r="317" spans="1:49" ht="15">
      <c r="A317" s="82"/>
      <c r="B317" s="82"/>
      <c r="C317" s="82"/>
      <c r="D317" s="82"/>
      <c r="E317" s="82" t="s">
        <v>372</v>
      </c>
      <c r="F317" s="82"/>
      <c r="G317" s="82" t="s">
        <v>209</v>
      </c>
      <c r="H317" s="82" t="s">
        <v>373</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v>0</v>
      </c>
      <c r="AS317" s="508">
        <v>0</v>
      </c>
      <c r="AT317" s="508">
        <v>0</v>
      </c>
      <c r="AU317" s="508">
        <v>0</v>
      </c>
      <c r="AV317" s="508">
        <v>0</v>
      </c>
      <c r="AW317" s="184"/>
    </row>
    <row r="318" spans="1:49" ht="15">
      <c r="A318" s="82"/>
      <c r="B318" s="82"/>
      <c r="C318" s="82"/>
      <c r="D318" s="82"/>
      <c r="E318" s="82" t="s">
        <v>374</v>
      </c>
      <c r="F318" s="82"/>
      <c r="G318" s="82" t="s">
        <v>209</v>
      </c>
      <c r="H318" s="82" t="s">
        <v>373</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v>0</v>
      </c>
      <c r="AS318" s="508">
        <v>0</v>
      </c>
      <c r="AT318" s="508">
        <v>0</v>
      </c>
      <c r="AU318" s="508">
        <v>0</v>
      </c>
      <c r="AV318" s="508">
        <v>0</v>
      </c>
      <c r="AW318" s="184"/>
    </row>
    <row r="319" spans="1:49" ht="15">
      <c r="A319" s="82"/>
      <c r="B319" s="82"/>
      <c r="C319" s="82"/>
      <c r="D319" s="82"/>
      <c r="E319" s="82" t="s">
        <v>375</v>
      </c>
      <c r="F319" s="82"/>
      <c r="G319" s="82" t="s">
        <v>209</v>
      </c>
      <c r="H319" s="82" t="s">
        <v>373</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v>0</v>
      </c>
      <c r="AS319" s="508">
        <v>0</v>
      </c>
      <c r="AT319" s="508">
        <v>0</v>
      </c>
      <c r="AU319" s="508">
        <v>0</v>
      </c>
      <c r="AV319" s="508">
        <v>0</v>
      </c>
      <c r="AW319" s="184"/>
    </row>
    <row r="320" spans="1:49" ht="15">
      <c r="A320" s="82"/>
      <c r="B320" s="82"/>
      <c r="C320" s="82"/>
      <c r="D320" s="82"/>
      <c r="E320" s="82" t="s">
        <v>376</v>
      </c>
      <c r="F320" s="82"/>
      <c r="G320" s="82" t="s">
        <v>209</v>
      </c>
      <c r="H320" s="82" t="s">
        <v>373</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v>0</v>
      </c>
      <c r="AS320" s="508">
        <v>0</v>
      </c>
      <c r="AT320" s="508">
        <v>0</v>
      </c>
      <c r="AU320" s="508">
        <v>0</v>
      </c>
      <c r="AV320" s="508">
        <v>0</v>
      </c>
      <c r="AW320" s="184"/>
    </row>
    <row r="321" spans="1:49" ht="15">
      <c r="A321" s="82"/>
      <c r="B321" s="82"/>
      <c r="C321" s="82"/>
      <c r="D321" s="82"/>
      <c r="E321" s="82" t="s">
        <v>377</v>
      </c>
      <c r="F321" s="82"/>
      <c r="G321" s="82" t="s">
        <v>209</v>
      </c>
      <c r="H321" s="82" t="s">
        <v>373</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v>0</v>
      </c>
      <c r="AS321" s="508">
        <v>0</v>
      </c>
      <c r="AT321" s="508">
        <v>0</v>
      </c>
      <c r="AU321" s="508">
        <v>0</v>
      </c>
      <c r="AV321" s="508">
        <v>0</v>
      </c>
      <c r="AW321" s="184"/>
    </row>
    <row r="322" spans="1:49" ht="15">
      <c r="A322" s="82"/>
      <c r="B322" s="82"/>
      <c r="C322" s="82"/>
      <c r="D322" s="82"/>
      <c r="E322" s="82" t="s">
        <v>378</v>
      </c>
      <c r="F322" s="82"/>
      <c r="G322" s="82" t="s">
        <v>209</v>
      </c>
      <c r="H322" s="82" t="s">
        <v>373</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v>0</v>
      </c>
      <c r="AS322" s="508">
        <v>0</v>
      </c>
      <c r="AT322" s="508">
        <v>0</v>
      </c>
      <c r="AU322" s="508">
        <v>0</v>
      </c>
      <c r="AV322" s="508">
        <v>0</v>
      </c>
      <c r="AW322" s="184"/>
    </row>
    <row r="323" spans="1:49" ht="15">
      <c r="A323" s="82"/>
      <c r="B323" s="82"/>
      <c r="C323" s="82"/>
      <c r="D323" s="82"/>
      <c r="E323" s="82" t="s">
        <v>379</v>
      </c>
      <c r="F323" s="82"/>
      <c r="G323" s="82" t="s">
        <v>209</v>
      </c>
      <c r="H323" s="82" t="s">
        <v>373</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v>0</v>
      </c>
      <c r="AS323" s="508">
        <v>0</v>
      </c>
      <c r="AT323" s="508">
        <v>0</v>
      </c>
      <c r="AU323" s="508">
        <v>0</v>
      </c>
      <c r="AV323" s="508">
        <v>0</v>
      </c>
      <c r="AW323" s="184"/>
    </row>
    <row r="324" spans="1:49" ht="15">
      <c r="A324" s="82"/>
      <c r="B324" s="82"/>
      <c r="C324" s="82"/>
      <c r="D324" s="82"/>
      <c r="E324" s="82" t="s">
        <v>380</v>
      </c>
      <c r="F324" s="82"/>
      <c r="G324" s="82" t="s">
        <v>209</v>
      </c>
      <c r="H324" s="82" t="s">
        <v>381</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v>0</v>
      </c>
      <c r="AS324" s="508">
        <v>0</v>
      </c>
      <c r="AT324" s="508">
        <v>0</v>
      </c>
      <c r="AU324" s="508">
        <v>0</v>
      </c>
      <c r="AV324" s="508">
        <v>0</v>
      </c>
      <c r="AW324" s="184"/>
    </row>
    <row r="325" spans="1:49" ht="15">
      <c r="A325" s="82"/>
      <c r="B325" s="82"/>
      <c r="C325" s="82"/>
      <c r="D325" s="82"/>
      <c r="E325" s="82" t="s">
        <v>382</v>
      </c>
      <c r="F325" s="82"/>
      <c r="G325" s="82" t="s">
        <v>209</v>
      </c>
      <c r="H325" s="82" t="s">
        <v>381</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v>0</v>
      </c>
      <c r="AS325" s="508">
        <v>0</v>
      </c>
      <c r="AT325" s="508">
        <v>0</v>
      </c>
      <c r="AU325" s="508">
        <v>0</v>
      </c>
      <c r="AV325" s="508">
        <v>0</v>
      </c>
      <c r="AW325" s="184"/>
    </row>
    <row r="326" spans="1:49" ht="15">
      <c r="A326" s="82"/>
      <c r="B326" s="82"/>
      <c r="C326" s="82"/>
      <c r="D326" s="82"/>
      <c r="E326" s="82" t="s">
        <v>383</v>
      </c>
      <c r="F326" s="82"/>
      <c r="G326" s="82" t="s">
        <v>209</v>
      </c>
      <c r="H326" s="82" t="s">
        <v>381</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v>0</v>
      </c>
      <c r="AS326" s="508">
        <v>0</v>
      </c>
      <c r="AT326" s="508">
        <v>0</v>
      </c>
      <c r="AU326" s="508">
        <v>0</v>
      </c>
      <c r="AV326" s="508">
        <v>0</v>
      </c>
      <c r="AW326" s="184"/>
    </row>
    <row r="327" spans="1:49" ht="15">
      <c r="A327" s="82"/>
      <c r="B327" s="82"/>
      <c r="C327" s="82"/>
      <c r="D327" s="82"/>
      <c r="E327" s="82" t="s">
        <v>384</v>
      </c>
      <c r="F327" s="82"/>
      <c r="G327" s="82" t="s">
        <v>209</v>
      </c>
      <c r="H327" s="82" t="s">
        <v>381</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v>0.15924411504733338</v>
      </c>
      <c r="AS327" s="508">
        <v>0.15924411504733338</v>
      </c>
      <c r="AT327" s="508">
        <v>0.15924411504733338</v>
      </c>
      <c r="AU327" s="508">
        <v>0.15924411504733341</v>
      </c>
      <c r="AV327" s="508">
        <v>0.15924411504733338</v>
      </c>
      <c r="AW327" s="184"/>
    </row>
    <row r="328" spans="1:49" ht="15">
      <c r="A328" s="82"/>
      <c r="B328" s="82"/>
      <c r="C328" s="82"/>
      <c r="D328" s="82"/>
      <c r="E328" s="82" t="s">
        <v>385</v>
      </c>
      <c r="F328" s="82"/>
      <c r="G328" s="82" t="s">
        <v>209</v>
      </c>
      <c r="H328" s="82" t="s">
        <v>381</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v>0.95709776252402579</v>
      </c>
      <c r="AS328" s="508">
        <v>0.95709776252402579</v>
      </c>
      <c r="AT328" s="508">
        <v>0.95709776252402579</v>
      </c>
      <c r="AU328" s="508">
        <v>0.9570977625240259</v>
      </c>
      <c r="AV328" s="508">
        <v>0.9570977625240259</v>
      </c>
      <c r="AW328" s="184"/>
    </row>
    <row r="329" spans="1:49" ht="15">
      <c r="A329" s="82"/>
      <c r="B329" s="82"/>
      <c r="C329" s="82"/>
      <c r="D329" s="82"/>
      <c r="E329" s="82" t="s">
        <v>386</v>
      </c>
      <c r="F329" s="82"/>
      <c r="G329" s="82" t="s">
        <v>209</v>
      </c>
      <c r="H329" s="82" t="s">
        <v>381</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v>1</v>
      </c>
      <c r="AS329" s="508">
        <v>1</v>
      </c>
      <c r="AT329" s="508">
        <v>1</v>
      </c>
      <c r="AU329" s="508">
        <v>1</v>
      </c>
      <c r="AV329" s="508">
        <v>1</v>
      </c>
      <c r="AW329" s="184"/>
    </row>
    <row r="330" spans="1:49" ht="15">
      <c r="A330" s="82"/>
      <c r="B330" s="82"/>
      <c r="C330" s="82"/>
      <c r="D330" s="82"/>
      <c r="E330" s="82" t="s">
        <v>387</v>
      </c>
      <c r="F330" s="82"/>
      <c r="G330" s="82" t="s">
        <v>209</v>
      </c>
      <c r="H330" s="82" t="s">
        <v>381</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v>0.43447958626077993</v>
      </c>
      <c r="AS330" s="508">
        <v>0.45188979117983274</v>
      </c>
      <c r="AT330" s="508">
        <v>0.45952727704347068</v>
      </c>
      <c r="AU330" s="508">
        <v>0.46224540828438559</v>
      </c>
      <c r="AV330" s="508">
        <v>0.45932050834908228</v>
      </c>
      <c r="AW330" s="184"/>
    </row>
    <row r="331" spans="1:49" ht="15">
      <c r="A331" s="82"/>
      <c r="B331" s="82"/>
      <c r="C331" s="82"/>
      <c r="D331" s="82"/>
      <c r="E331" s="82" t="s">
        <v>388</v>
      </c>
      <c r="F331" s="82"/>
      <c r="G331" s="82" t="s">
        <v>209</v>
      </c>
      <c r="H331" s="82" t="s">
        <v>389</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v>6.0131912994180838E-2</v>
      </c>
      <c r="AS331" s="508">
        <v>3.5183714098141007E-2</v>
      </c>
      <c r="AT331" s="508">
        <v>3.3193408574863491E-2</v>
      </c>
      <c r="AU331" s="508">
        <v>3.0366880990304265E-2</v>
      </c>
      <c r="AV331" s="508">
        <v>4.1895780396228745E-2</v>
      </c>
      <c r="AW331" s="184"/>
    </row>
    <row r="332" spans="1:49" ht="15">
      <c r="A332" s="82"/>
      <c r="B332" s="82"/>
      <c r="C332" s="82"/>
      <c r="D332" s="82"/>
      <c r="E332" s="82" t="s">
        <v>390</v>
      </c>
      <c r="F332" s="82"/>
      <c r="G332" s="82" t="s">
        <v>209</v>
      </c>
      <c r="H332" s="82" t="s">
        <v>389</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v>6.0735163609729456E-2</v>
      </c>
      <c r="AS332" s="508">
        <v>3.198540904136242E-2</v>
      </c>
      <c r="AT332" s="508">
        <v>4.7837675422899767E-2</v>
      </c>
      <c r="AU332" s="508">
        <v>4.9916889087705744E-2</v>
      </c>
      <c r="AV332" s="508">
        <v>5.2347289741223497E-2</v>
      </c>
      <c r="AW332" s="184"/>
    </row>
    <row r="333" spans="1:49" ht="15">
      <c r="A333" s="82"/>
      <c r="B333" s="82"/>
      <c r="C333" s="82"/>
      <c r="D333" s="82"/>
      <c r="E333" s="82" t="s">
        <v>391</v>
      </c>
      <c r="F333" s="82"/>
      <c r="G333" s="82" t="s">
        <v>209</v>
      </c>
      <c r="H333" s="82" t="s">
        <v>389</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v>3.2073630830425887E-2</v>
      </c>
      <c r="AS333" s="508">
        <v>4.7203202372671643E-2</v>
      </c>
      <c r="AT333" s="508">
        <v>0.16745445086403113</v>
      </c>
      <c r="AU333" s="508">
        <v>0.18852086393230502</v>
      </c>
      <c r="AV333" s="508">
        <v>4.4018927888554528E-2</v>
      </c>
      <c r="AW333" s="184"/>
    </row>
    <row r="334" spans="1:49" ht="15">
      <c r="A334" s="82"/>
      <c r="B334" s="82"/>
      <c r="C334" s="82"/>
      <c r="D334" s="82"/>
      <c r="E334" s="82" t="s">
        <v>392</v>
      </c>
      <c r="F334" s="82"/>
      <c r="G334" s="82" t="s">
        <v>209</v>
      </c>
      <c r="H334" s="82" t="s">
        <v>389</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v>0</v>
      </c>
      <c r="AS334" s="508">
        <v>0</v>
      </c>
      <c r="AT334" s="508">
        <v>0</v>
      </c>
      <c r="AU334" s="508">
        <v>0</v>
      </c>
      <c r="AV334" s="508">
        <v>0</v>
      </c>
      <c r="AW334" s="184"/>
    </row>
    <row r="335" spans="1:49" ht="15">
      <c r="A335" s="82"/>
      <c r="B335" s="82"/>
      <c r="C335" s="82"/>
      <c r="D335" s="82"/>
      <c r="E335" s="82" t="s">
        <v>393</v>
      </c>
      <c r="F335" s="82"/>
      <c r="G335" s="82" t="s">
        <v>209</v>
      </c>
      <c r="H335" s="82" t="s">
        <v>389</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v>0</v>
      </c>
      <c r="AS335" s="508">
        <v>0</v>
      </c>
      <c r="AT335" s="508">
        <v>0</v>
      </c>
      <c r="AU335" s="508">
        <v>0</v>
      </c>
      <c r="AV335" s="508">
        <v>0</v>
      </c>
      <c r="AW335" s="184"/>
    </row>
    <row r="336" spans="1:49" ht="15">
      <c r="A336" s="82"/>
      <c r="B336" s="82"/>
      <c r="C336" s="82"/>
      <c r="D336" s="82"/>
      <c r="E336" s="82" t="s">
        <v>394</v>
      </c>
      <c r="F336" s="82"/>
      <c r="G336" s="82" t="s">
        <v>209</v>
      </c>
      <c r="H336" s="82" t="s">
        <v>389</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v>0</v>
      </c>
      <c r="AS336" s="508">
        <v>0</v>
      </c>
      <c r="AT336" s="508">
        <v>0</v>
      </c>
      <c r="AU336" s="508">
        <v>0</v>
      </c>
      <c r="AV336" s="508">
        <v>0</v>
      </c>
      <c r="AW336" s="184"/>
    </row>
    <row r="337" spans="1:49" ht="15">
      <c r="A337" s="82"/>
      <c r="B337" s="82"/>
      <c r="C337" s="82"/>
      <c r="D337" s="82"/>
      <c r="E337" s="82" t="s">
        <v>395</v>
      </c>
      <c r="F337" s="82"/>
      <c r="G337" s="82" t="s">
        <v>209</v>
      </c>
      <c r="H337" s="82" t="s">
        <v>389</v>
      </c>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508">
        <v>1.6580623826838566E-2</v>
      </c>
      <c r="AS337" s="508">
        <v>1.2254617229006975E-2</v>
      </c>
      <c r="AT337" s="508">
        <v>2.9985539551226729E-2</v>
      </c>
      <c r="AU337" s="508">
        <v>3.0925098810720957E-2</v>
      </c>
      <c r="AV337" s="508">
        <v>1.6353392451442461E-2</v>
      </c>
      <c r="AW337" s="184"/>
    </row>
    <row r="338" spans="1:49" ht="15">
      <c r="A338" s="82"/>
      <c r="B338" s="82"/>
      <c r="C338" s="82"/>
      <c r="D338" s="82"/>
      <c r="E338" s="82"/>
      <c r="F338" s="82"/>
      <c r="G338" s="82"/>
      <c r="H338" s="82"/>
      <c r="I338" s="82"/>
      <c r="J338" s="82"/>
      <c r="K338" s="82"/>
      <c r="L338" s="82"/>
      <c r="M338" s="82"/>
      <c r="N338" s="82"/>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243"/>
      <c r="AR338" s="145"/>
      <c r="AS338" s="184"/>
      <c r="AT338" s="184"/>
      <c r="AU338" s="184"/>
      <c r="AV338" s="184"/>
      <c r="AW338" s="184"/>
    </row>
    <row r="339" spans="1:49" ht="15">
      <c r="A339" s="82"/>
      <c r="B339" s="408" t="s">
        <v>396</v>
      </c>
      <c r="C339" s="408"/>
      <c r="D339" s="408"/>
      <c r="E339" s="408"/>
      <c r="F339" s="408"/>
      <c r="G339" s="408"/>
      <c r="H339" s="408"/>
      <c r="I339" s="408"/>
      <c r="J339" s="408"/>
      <c r="K339" s="408"/>
      <c r="L339" s="408"/>
      <c r="M339" s="408"/>
      <c r="N339" s="408"/>
      <c r="O339" s="405"/>
      <c r="P339" s="405"/>
      <c r="Q339" s="405"/>
      <c r="R339" s="405"/>
      <c r="S339" s="405"/>
      <c r="T339" s="405"/>
      <c r="U339" s="405"/>
      <c r="V339" s="405"/>
      <c r="W339" s="405"/>
      <c r="X339" s="405"/>
      <c r="Y339" s="405"/>
      <c r="Z339" s="405"/>
      <c r="AA339" s="405"/>
      <c r="AB339" s="405"/>
      <c r="AC339" s="405"/>
      <c r="AD339" s="405"/>
      <c r="AE339" s="405"/>
      <c r="AF339" s="405"/>
      <c r="AG339" s="405"/>
      <c r="AH339" s="405"/>
      <c r="AI339" s="405"/>
      <c r="AJ339" s="405"/>
      <c r="AK339" s="405"/>
      <c r="AL339" s="405"/>
      <c r="AM339" s="405"/>
      <c r="AN339" s="405"/>
      <c r="AO339" s="405"/>
      <c r="AP339" s="405"/>
      <c r="AQ339" s="407"/>
      <c r="AR339" s="406"/>
      <c r="AS339" s="405"/>
      <c r="AT339" s="405"/>
      <c r="AU339" s="405"/>
      <c r="AV339" s="405"/>
      <c r="AW339" s="184"/>
    </row>
    <row r="340" spans="1:49" ht="15">
      <c r="A340" s="82"/>
      <c r="B340" s="82"/>
      <c r="C340" s="82"/>
      <c r="D340" s="82"/>
      <c r="E340" s="82"/>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10" t="s">
        <v>397</v>
      </c>
      <c r="E341" s="351"/>
      <c r="F341" s="82"/>
      <c r="G341" s="82"/>
      <c r="H341" s="82"/>
      <c r="I341" s="82"/>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364"/>
      <c r="AS341" s="184"/>
      <c r="AT341" s="184"/>
      <c r="AU341" s="184"/>
      <c r="AV341" s="184"/>
      <c r="AW341" s="184"/>
    </row>
    <row r="342" spans="1:49" ht="15">
      <c r="A342" s="82"/>
      <c r="B342" s="82"/>
      <c r="C342" s="82"/>
      <c r="D342" s="82"/>
      <c r="E342" s="346" t="s">
        <v>398</v>
      </c>
      <c r="F342" s="82"/>
      <c r="G342" s="82" t="s">
        <v>399</v>
      </c>
      <c r="H342" s="82" t="s">
        <v>400</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243"/>
      <c r="AR342" s="476">
        <v>5.9067877879569908</v>
      </c>
      <c r="AS342" s="184"/>
      <c r="AT342" s="184"/>
      <c r="AU342" s="184"/>
      <c r="AV342" s="184"/>
      <c r="AW342" s="184"/>
    </row>
    <row r="343" spans="1:49" ht="15">
      <c r="A343" s="82"/>
      <c r="B343" s="82"/>
      <c r="C343" s="82"/>
      <c r="D343" s="82"/>
      <c r="E343" s="346" t="s">
        <v>401</v>
      </c>
      <c r="F343" s="82"/>
      <c r="G343" s="82" t="s">
        <v>399</v>
      </c>
      <c r="H343" s="82" t="s">
        <v>402</v>
      </c>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476">
        <v>126.58775840512381</v>
      </c>
      <c r="AK343" s="476">
        <v>124.17844099711739</v>
      </c>
      <c r="AL343" s="476">
        <v>114.28422728217147</v>
      </c>
      <c r="AM343" s="476">
        <v>114.63324579607378</v>
      </c>
      <c r="AN343" s="476">
        <v>120.43227595041046</v>
      </c>
      <c r="AO343" s="476">
        <v>114.56142393659987</v>
      </c>
      <c r="AP343" s="476">
        <v>105.97958728853853</v>
      </c>
      <c r="AQ343" s="477">
        <v>95.840515696749875</v>
      </c>
      <c r="AR343" s="184"/>
      <c r="AS343" s="184"/>
      <c r="AT343" s="184"/>
      <c r="AU343" s="184"/>
      <c r="AV343" s="184"/>
      <c r="AW343" s="184"/>
    </row>
    <row r="344" spans="1:49" ht="15">
      <c r="A344" s="82"/>
      <c r="B344" s="82"/>
      <c r="C344" s="82"/>
      <c r="D344" s="82"/>
      <c r="E344" s="293" t="s">
        <v>403</v>
      </c>
      <c r="F344" s="82"/>
      <c r="G344" s="82"/>
      <c r="H344" s="82"/>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364"/>
      <c r="AS344" s="184"/>
      <c r="AT344" s="184"/>
      <c r="AU344" s="184"/>
      <c r="AV344" s="184"/>
      <c r="AW344" s="184"/>
    </row>
    <row r="345" spans="1:49" ht="15">
      <c r="A345" s="82"/>
      <c r="B345" s="82"/>
      <c r="C345" s="82"/>
      <c r="D345" s="82"/>
      <c r="E345" s="346" t="s">
        <v>404</v>
      </c>
      <c r="F345" s="82"/>
      <c r="G345" s="82" t="s">
        <v>304</v>
      </c>
      <c r="H345" s="82" t="s">
        <v>405</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v>52.108534054652672</v>
      </c>
      <c r="AS345" s="184"/>
      <c r="AT345" s="184"/>
      <c r="AU345" s="184"/>
      <c r="AV345" s="184"/>
      <c r="AW345" s="184"/>
    </row>
    <row r="346" spans="1:49" ht="15">
      <c r="A346" s="82"/>
      <c r="B346" s="82"/>
      <c r="C346" s="82"/>
      <c r="D346" s="82"/>
      <c r="E346" s="346" t="s">
        <v>406</v>
      </c>
      <c r="F346" s="82"/>
      <c r="G346" s="82" t="s">
        <v>304</v>
      </c>
      <c r="H346" s="82" t="s">
        <v>407</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v>257.11796666810397</v>
      </c>
      <c r="AS346" s="184"/>
      <c r="AT346" s="184"/>
      <c r="AU346" s="184"/>
      <c r="AV346" s="184"/>
      <c r="AW346" s="184"/>
    </row>
    <row r="347" spans="1:49" ht="15">
      <c r="A347" s="82"/>
      <c r="B347" s="82"/>
      <c r="C347" s="82"/>
      <c r="D347" s="82"/>
      <c r="E347" s="346" t="s">
        <v>408</v>
      </c>
      <c r="F347" s="82"/>
      <c r="G347" s="82" t="s">
        <v>304</v>
      </c>
      <c r="H347" s="82" t="s">
        <v>409</v>
      </c>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243"/>
      <c r="AR347" s="476">
        <v>1369.3486602701878</v>
      </c>
      <c r="AS347" s="184"/>
      <c r="AT347" s="184"/>
      <c r="AU347" s="184"/>
      <c r="AV347" s="184"/>
      <c r="AW347" s="184"/>
    </row>
    <row r="348" spans="1:49" ht="15">
      <c r="A348" s="82"/>
      <c r="B348" s="82"/>
      <c r="C348" s="82"/>
      <c r="D348" s="82"/>
      <c r="E348" s="346" t="s">
        <v>410</v>
      </c>
      <c r="F348" s="82"/>
      <c r="G348" s="82" t="s">
        <v>304</v>
      </c>
      <c r="H348" s="82" t="s">
        <v>411</v>
      </c>
      <c r="I348" s="82"/>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477">
        <v>1697.8640410247963</v>
      </c>
      <c r="AR348" s="455"/>
      <c r="AS348" s="184"/>
      <c r="AT348" s="184"/>
      <c r="AU348" s="184"/>
      <c r="AV348" s="184"/>
      <c r="AW348" s="184"/>
    </row>
    <row r="349" spans="1:49" ht="15">
      <c r="A349" s="82"/>
      <c r="B349" s="82"/>
      <c r="C349" s="82"/>
      <c r="D349" s="82"/>
      <c r="E349" s="346" t="s">
        <v>412</v>
      </c>
      <c r="F349" s="82"/>
      <c r="G349" s="82" t="s">
        <v>304</v>
      </c>
      <c r="H349" s="82" t="s">
        <v>413</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c r="AS349" s="184"/>
      <c r="AT349" s="184"/>
      <c r="AU349" s="184"/>
      <c r="AV349" s="184"/>
      <c r="AW349" s="184"/>
    </row>
    <row r="350" spans="1:49" ht="15">
      <c r="A350" s="82"/>
      <c r="B350" s="82"/>
      <c r="C350" s="82"/>
      <c r="D350" s="82"/>
      <c r="E350" s="293" t="s">
        <v>414</v>
      </c>
      <c r="F350" s="82"/>
      <c r="G350" s="82"/>
      <c r="H350" s="82" t="s">
        <v>415</v>
      </c>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476">
        <v>0</v>
      </c>
      <c r="AS350" s="184"/>
      <c r="AT350" s="184"/>
      <c r="AU350" s="184"/>
      <c r="AV350" s="184"/>
      <c r="AW350" s="184"/>
    </row>
    <row r="351" spans="1:49" ht="15">
      <c r="A351" s="82"/>
      <c r="B351" s="82"/>
      <c r="C351" s="82"/>
      <c r="D351" s="82"/>
      <c r="E351" s="293" t="s">
        <v>416</v>
      </c>
      <c r="F351" s="82"/>
      <c r="G351" s="82"/>
      <c r="H351" s="82"/>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243"/>
      <c r="AR351" s="364"/>
      <c r="AS351" s="184"/>
      <c r="AT351" s="184"/>
      <c r="AU351" s="184"/>
      <c r="AV351" s="184"/>
      <c r="AW351" s="184"/>
    </row>
    <row r="352" spans="1:49" ht="15">
      <c r="A352" s="82"/>
      <c r="B352" s="82"/>
      <c r="C352" s="82"/>
      <c r="D352" s="82"/>
      <c r="E352" s="363" t="s">
        <v>417</v>
      </c>
      <c r="F352" s="82"/>
      <c r="G352" s="82" t="s">
        <v>399</v>
      </c>
      <c r="H352" s="82" t="s">
        <v>418</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476">
        <v>251.83793916644086</v>
      </c>
      <c r="AQ352" s="477">
        <v>244.31089676042151</v>
      </c>
      <c r="AR352" s="364"/>
      <c r="AS352" s="184"/>
      <c r="AT352" s="184"/>
      <c r="AU352" s="184"/>
      <c r="AV352" s="184"/>
      <c r="AW352" s="184"/>
    </row>
    <row r="353" spans="1:49" ht="15">
      <c r="A353" s="82"/>
      <c r="B353" s="82"/>
      <c r="C353" s="82"/>
      <c r="D353" s="82"/>
      <c r="E353" s="363" t="s">
        <v>419</v>
      </c>
      <c r="F353" s="82"/>
      <c r="G353" s="82" t="s">
        <v>420</v>
      </c>
      <c r="H353" s="82" t="s">
        <v>421</v>
      </c>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476"/>
      <c r="AK353" s="476"/>
      <c r="AL353" s="476"/>
      <c r="AM353" s="476"/>
      <c r="AN353" s="476"/>
      <c r="AO353" s="476"/>
      <c r="AP353" s="476">
        <v>1.238</v>
      </c>
      <c r="AQ353" s="477">
        <v>1.321</v>
      </c>
      <c r="AR353" s="364"/>
      <c r="AS353" s="184"/>
      <c r="AT353" s="184"/>
      <c r="AU353" s="184"/>
      <c r="AV353" s="184"/>
      <c r="AW353" s="184"/>
    </row>
    <row r="354" spans="1:49" ht="15">
      <c r="A354" s="82"/>
      <c r="B354" s="82"/>
      <c r="C354" s="82"/>
      <c r="D354" s="82"/>
      <c r="E354" s="346" t="s">
        <v>422</v>
      </c>
      <c r="F354" s="82"/>
      <c r="G354" s="82"/>
      <c r="H354" s="82"/>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243"/>
      <c r="AR354" s="184"/>
      <c r="AS354" s="184"/>
      <c r="AT354" s="184"/>
      <c r="AU354" s="184"/>
      <c r="AV354" s="184"/>
      <c r="AW354" s="184"/>
    </row>
    <row r="355" spans="1:49" ht="15">
      <c r="A355" s="82"/>
      <c r="B355" s="82"/>
      <c r="C355" s="82"/>
      <c r="D355" s="82"/>
      <c r="E355" s="363" t="s">
        <v>423</v>
      </c>
      <c r="F355" s="82"/>
      <c r="G355" s="82" t="s">
        <v>304</v>
      </c>
      <c r="H355" s="82" t="s">
        <v>424</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279.46422679</v>
      </c>
      <c r="AK355" s="476">
        <v>290.64971804000004</v>
      </c>
      <c r="AL355" s="476">
        <v>279.87524431000003</v>
      </c>
      <c r="AM355" s="476">
        <v>280.96392697399995</v>
      </c>
      <c r="AN355" s="476">
        <v>295.61218076</v>
      </c>
      <c r="AO355" s="476">
        <v>302.06496326000001</v>
      </c>
      <c r="AP355" s="476">
        <v>328.22779650999991</v>
      </c>
      <c r="AQ355" s="477">
        <v>387.98965212000002</v>
      </c>
      <c r="AR355" s="184"/>
      <c r="AS355" s="184"/>
      <c r="AT355" s="184"/>
      <c r="AU355" s="184"/>
      <c r="AV355" s="184"/>
      <c r="AW355" s="184"/>
    </row>
    <row r="356" spans="1:49" ht="15">
      <c r="A356" s="82"/>
      <c r="B356" s="82"/>
      <c r="C356" s="82"/>
      <c r="D356" s="82"/>
      <c r="E356" s="363" t="s">
        <v>425</v>
      </c>
      <c r="F356" s="82"/>
      <c r="G356" s="82" t="s">
        <v>304</v>
      </c>
      <c r="H356" s="82" t="s">
        <v>1398</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280.86902679440749</v>
      </c>
      <c r="AK356" s="476">
        <v>288.84380742766234</v>
      </c>
      <c r="AL356" s="476">
        <v>282.26484040299204</v>
      </c>
      <c r="AM356" s="476">
        <v>295.47971438118259</v>
      </c>
      <c r="AN356" s="476">
        <v>306.49167069017739</v>
      </c>
      <c r="AO356" s="476">
        <v>321.94451616631017</v>
      </c>
      <c r="AP356" s="476">
        <v>326.86098308043393</v>
      </c>
      <c r="AQ356" s="477">
        <v>400.6964231536399</v>
      </c>
      <c r="AR356" s="184"/>
      <c r="AS356" s="184"/>
      <c r="AT356" s="184"/>
      <c r="AU356" s="184"/>
      <c r="AV356" s="184"/>
      <c r="AW356" s="184"/>
    </row>
    <row r="357" spans="1:49" ht="16.5">
      <c r="A357" s="82"/>
      <c r="B357" s="82"/>
      <c r="C357" s="82"/>
      <c r="D357" s="82"/>
      <c r="E357" s="363" t="s">
        <v>426</v>
      </c>
      <c r="F357" s="82"/>
      <c r="G357" s="82" t="s">
        <v>100</v>
      </c>
      <c r="H357" s="82" t="s">
        <v>427</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0.5</v>
      </c>
      <c r="AK357" s="476">
        <v>0.33561643835616445</v>
      </c>
      <c r="AL357" s="476">
        <v>0.35273972602739728</v>
      </c>
      <c r="AM357" s="476">
        <v>0.66575342465753418</v>
      </c>
      <c r="AN357" s="476">
        <v>0.71598360655737692</v>
      </c>
      <c r="AO357" s="476">
        <v>0.1</v>
      </c>
      <c r="AP357" s="476">
        <v>0.19287671232876738</v>
      </c>
      <c r="AQ357" s="477">
        <v>2.3034246575342467</v>
      </c>
      <c r="AR357" s="419"/>
      <c r="AS357" s="184"/>
      <c r="AT357" s="184"/>
      <c r="AU357" s="184"/>
      <c r="AV357" s="184"/>
      <c r="AW357" s="184"/>
    </row>
    <row r="358" spans="1:49" ht="15">
      <c r="A358" s="82"/>
      <c r="B358" s="82"/>
      <c r="C358" s="82"/>
      <c r="D358" s="82"/>
      <c r="E358" s="363" t="s">
        <v>428</v>
      </c>
      <c r="F358" s="82"/>
      <c r="G358" s="82" t="s">
        <v>100</v>
      </c>
      <c r="H358" s="82" t="s">
        <v>429</v>
      </c>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476">
        <v>0</v>
      </c>
      <c r="AK358" s="476">
        <v>0</v>
      </c>
      <c r="AL358" s="476">
        <v>0</v>
      </c>
      <c r="AM358" s="476">
        <v>0</v>
      </c>
      <c r="AN358" s="476">
        <v>0</v>
      </c>
      <c r="AO358" s="476">
        <v>0</v>
      </c>
      <c r="AP358" s="476">
        <v>0</v>
      </c>
      <c r="AQ358" s="477">
        <v>0</v>
      </c>
      <c r="AR358" s="184"/>
      <c r="AS358" s="184"/>
      <c r="AT358" s="184"/>
      <c r="AU358" s="184"/>
      <c r="AV358" s="184"/>
      <c r="AW358" s="184"/>
    </row>
    <row r="359" spans="1:49" ht="15">
      <c r="A359" s="82"/>
      <c r="B359" s="82"/>
      <c r="C359" s="82"/>
      <c r="D359" s="82"/>
      <c r="E359" s="346" t="s">
        <v>430</v>
      </c>
      <c r="F359" s="82"/>
      <c r="G359" s="82"/>
      <c r="H359" s="82"/>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184"/>
      <c r="AS359" s="184"/>
      <c r="AT359" s="184"/>
      <c r="AU359" s="184"/>
      <c r="AV359" s="184"/>
      <c r="AW359" s="184"/>
    </row>
    <row r="360" spans="1:49" ht="15">
      <c r="A360" s="82"/>
      <c r="B360" s="82"/>
      <c r="C360" s="82"/>
      <c r="D360" s="82"/>
      <c r="E360" s="363" t="s">
        <v>431</v>
      </c>
      <c r="F360" s="82"/>
      <c r="G360" s="82" t="s">
        <v>304</v>
      </c>
      <c r="H360" s="510" t="s">
        <v>432</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c r="AS360" s="419"/>
      <c r="AT360" s="419"/>
      <c r="AU360" s="419"/>
      <c r="AV360" s="419"/>
      <c r="AW360" s="184"/>
    </row>
    <row r="361" spans="1:49" ht="15">
      <c r="A361" s="82"/>
      <c r="B361" s="82"/>
      <c r="C361" s="82"/>
      <c r="D361" s="82"/>
      <c r="E361" s="363" t="s">
        <v>433</v>
      </c>
      <c r="F361" s="82"/>
      <c r="G361" s="82" t="s">
        <v>304</v>
      </c>
      <c r="H361" s="510" t="s">
        <v>434</v>
      </c>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419"/>
      <c r="AS361" s="419"/>
      <c r="AT361" s="419"/>
      <c r="AU361" s="419"/>
      <c r="AV361" s="419"/>
      <c r="AW361" s="184"/>
    </row>
    <row r="362" spans="1:49" ht="15">
      <c r="A362" s="82"/>
      <c r="B362" s="82"/>
      <c r="C362" s="82"/>
      <c r="D362" s="82"/>
      <c r="E362" s="346" t="s">
        <v>435</v>
      </c>
      <c r="F362" s="82"/>
      <c r="G362" s="82"/>
      <c r="H362" s="82"/>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243"/>
      <c r="AR362" s="184"/>
      <c r="AS362" s="184"/>
      <c r="AT362" s="184"/>
      <c r="AU362" s="184"/>
      <c r="AV362" s="184"/>
      <c r="AW362" s="184"/>
    </row>
    <row r="363" spans="1:49" ht="15">
      <c r="A363" s="82"/>
      <c r="B363" s="82"/>
      <c r="C363" s="82"/>
      <c r="D363" s="82"/>
      <c r="E363" s="363" t="s">
        <v>436</v>
      </c>
      <c r="F363" s="82"/>
      <c r="G363" s="82" t="s">
        <v>304</v>
      </c>
      <c r="H363" s="82" t="s">
        <v>437</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476">
        <v>2.64E-3</v>
      </c>
      <c r="AK363" s="476">
        <v>8.0300000000000007E-3</v>
      </c>
      <c r="AL363" s="476">
        <v>2.631E-2</v>
      </c>
      <c r="AM363" s="476">
        <v>2.1659999999999999E-2</v>
      </c>
      <c r="AN363" s="476">
        <v>2.6984999999999999E-2</v>
      </c>
      <c r="AO363" s="476">
        <v>2.878E-2</v>
      </c>
      <c r="AP363" s="476">
        <v>8.3595000000000003E-2</v>
      </c>
      <c r="AQ363" s="477">
        <v>0.23425499999999999</v>
      </c>
      <c r="AR363" s="184"/>
      <c r="AS363" s="184"/>
      <c r="AT363" s="184"/>
      <c r="AU363" s="184"/>
      <c r="AV363" s="184"/>
      <c r="AW363" s="184"/>
    </row>
    <row r="364" spans="1:49" ht="15">
      <c r="A364" s="82"/>
      <c r="B364" s="82"/>
      <c r="C364" s="82"/>
      <c r="D364" s="82"/>
      <c r="E364" s="363" t="s">
        <v>438</v>
      </c>
      <c r="F364" s="82"/>
      <c r="G364" s="82" t="s">
        <v>399</v>
      </c>
      <c r="H364" s="82" t="s">
        <v>439</v>
      </c>
      <c r="I364" s="476">
        <v>32</v>
      </c>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184"/>
      <c r="AS364" s="184"/>
      <c r="AT364" s="184"/>
      <c r="AU364" s="184"/>
      <c r="AV364" s="184"/>
      <c r="AW364" s="184"/>
    </row>
    <row r="365" spans="1:49" ht="15">
      <c r="A365" s="82"/>
      <c r="B365" s="82"/>
      <c r="C365" s="82"/>
      <c r="D365" s="82"/>
      <c r="E365" s="346"/>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10" t="s">
        <v>440</v>
      </c>
      <c r="E366" s="351"/>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293" t="s">
        <v>441</v>
      </c>
      <c r="F367" s="82"/>
      <c r="G367" s="82"/>
      <c r="H367" s="82"/>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243"/>
      <c r="AR367" s="364"/>
      <c r="AS367" s="184"/>
      <c r="AT367" s="184"/>
      <c r="AU367" s="184"/>
      <c r="AV367" s="184"/>
      <c r="AW367" s="184"/>
    </row>
    <row r="368" spans="1:49" ht="15">
      <c r="A368" s="82"/>
      <c r="B368" s="82"/>
      <c r="C368" s="82"/>
      <c r="D368" s="82"/>
      <c r="E368" s="363" t="s">
        <v>442</v>
      </c>
      <c r="F368" s="82"/>
      <c r="G368" s="82" t="s">
        <v>399</v>
      </c>
      <c r="H368" s="82" t="s">
        <v>443</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0.68740400000000024</v>
      </c>
      <c r="AQ368" s="477">
        <v>1.4778254440608405</v>
      </c>
      <c r="AR368" s="364"/>
      <c r="AS368" s="184"/>
      <c r="AT368" s="184"/>
      <c r="AU368" s="184"/>
      <c r="AV368" s="184"/>
      <c r="AW368" s="184"/>
    </row>
    <row r="369" spans="1:49" ht="15">
      <c r="A369" s="82"/>
      <c r="B369" s="82"/>
      <c r="C369" s="82"/>
      <c r="D369" s="82"/>
      <c r="E369" s="363" t="s">
        <v>444</v>
      </c>
      <c r="F369" s="82"/>
      <c r="G369" s="82" t="s">
        <v>399</v>
      </c>
      <c r="H369" s="82" t="s">
        <v>445</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v>
      </c>
      <c r="AQ369" s="477">
        <v>0</v>
      </c>
      <c r="AR369" s="364"/>
      <c r="AS369" s="184"/>
      <c r="AT369" s="184"/>
      <c r="AU369" s="184"/>
      <c r="AV369" s="184"/>
      <c r="AW369" s="184"/>
    </row>
    <row r="370" spans="1:49" ht="15">
      <c r="A370" s="82"/>
      <c r="B370" s="82"/>
      <c r="C370" s="82"/>
      <c r="D370" s="82"/>
      <c r="E370" s="363" t="s">
        <v>446</v>
      </c>
      <c r="F370" s="82"/>
      <c r="G370" s="82" t="s">
        <v>399</v>
      </c>
      <c r="H370" s="82" t="s">
        <v>447</v>
      </c>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476">
        <v>0</v>
      </c>
      <c r="AQ370" s="477">
        <v>0</v>
      </c>
      <c r="AR370" s="364"/>
      <c r="AS370" s="184"/>
      <c r="AT370" s="184"/>
      <c r="AU370" s="184"/>
      <c r="AV370" s="184"/>
      <c r="AW370" s="184"/>
    </row>
    <row r="371" spans="1:49" ht="15">
      <c r="A371" s="82"/>
      <c r="B371" s="82"/>
      <c r="C371" s="82"/>
      <c r="D371" s="82"/>
      <c r="E371" s="293" t="s">
        <v>448</v>
      </c>
      <c r="F371" s="82"/>
      <c r="G371" s="82"/>
      <c r="H371" s="82"/>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243"/>
      <c r="AR371" s="364"/>
      <c r="AS371" s="184"/>
      <c r="AT371" s="184"/>
      <c r="AU371" s="184"/>
      <c r="AV371" s="184"/>
      <c r="AW371" s="184"/>
    </row>
    <row r="372" spans="1:49" ht="15">
      <c r="A372" s="82"/>
      <c r="B372" s="82"/>
      <c r="C372" s="82"/>
      <c r="D372" s="82"/>
      <c r="E372" s="363" t="s">
        <v>449</v>
      </c>
      <c r="F372" s="82"/>
      <c r="G372" s="82" t="s">
        <v>399</v>
      </c>
      <c r="H372" s="82" t="s">
        <v>450</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4.2130569188096398</v>
      </c>
      <c r="AQ372" s="477">
        <v>4.7902939651127117</v>
      </c>
      <c r="AR372" s="364"/>
      <c r="AS372" s="184"/>
      <c r="AT372" s="184"/>
      <c r="AU372" s="184"/>
      <c r="AV372" s="184"/>
      <c r="AW372" s="184"/>
    </row>
    <row r="373" spans="1:49" ht="15">
      <c r="A373" s="82"/>
      <c r="B373" s="82"/>
      <c r="C373" s="82"/>
      <c r="D373" s="82"/>
      <c r="E373" s="363" t="s">
        <v>451</v>
      </c>
      <c r="F373" s="82"/>
      <c r="G373" s="82" t="s">
        <v>399</v>
      </c>
      <c r="H373" s="82" t="s">
        <v>452</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0.38867999999999903</v>
      </c>
      <c r="AQ373" s="477">
        <v>0</v>
      </c>
      <c r="AR373" s="364"/>
      <c r="AS373" s="184"/>
      <c r="AT373" s="184"/>
      <c r="AU373" s="184"/>
      <c r="AV373" s="184"/>
      <c r="AW373" s="184"/>
    </row>
    <row r="374" spans="1:49" ht="15">
      <c r="A374" s="82"/>
      <c r="B374" s="82"/>
      <c r="C374" s="82"/>
      <c r="D374" s="82"/>
      <c r="E374" s="363" t="s">
        <v>453</v>
      </c>
      <c r="F374" s="82"/>
      <c r="G374" s="82" t="s">
        <v>399</v>
      </c>
      <c r="H374" s="82" t="s">
        <v>454</v>
      </c>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476">
        <v>0</v>
      </c>
      <c r="AQ374" s="477">
        <v>-5.4486000000000034E-2</v>
      </c>
      <c r="AR374" s="364"/>
      <c r="AS374" s="184"/>
      <c r="AT374" s="184"/>
      <c r="AU374" s="184"/>
      <c r="AV374" s="184"/>
      <c r="AW374" s="184"/>
    </row>
    <row r="375" spans="1:49" ht="15">
      <c r="A375" s="82"/>
      <c r="B375" s="82"/>
      <c r="C375" s="82"/>
      <c r="D375" s="82"/>
      <c r="E375" s="293" t="s">
        <v>455</v>
      </c>
      <c r="F375" s="82"/>
      <c r="G375" s="82"/>
      <c r="H375" s="82"/>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243"/>
      <c r="AR375" s="364"/>
      <c r="AS375" s="184"/>
      <c r="AT375" s="184"/>
      <c r="AU375" s="184"/>
      <c r="AV375" s="184"/>
      <c r="AW375" s="184"/>
    </row>
    <row r="376" spans="1:49" ht="15">
      <c r="A376" s="82"/>
      <c r="B376" s="82"/>
      <c r="C376" s="82"/>
      <c r="D376" s="82"/>
      <c r="E376" s="363" t="s">
        <v>456</v>
      </c>
      <c r="F376" s="82"/>
      <c r="G376" s="82" t="s">
        <v>399</v>
      </c>
      <c r="H376" s="82" t="s">
        <v>457</v>
      </c>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419">
        <v>0</v>
      </c>
      <c r="AP376" s="419">
        <v>0</v>
      </c>
      <c r="AQ376" s="418">
        <v>0</v>
      </c>
      <c r="AR376" s="364"/>
      <c r="AS376" s="184"/>
      <c r="AT376" s="184"/>
      <c r="AU376" s="184"/>
      <c r="AV376" s="184"/>
      <c r="AW376" s="184"/>
    </row>
    <row r="377" spans="1:49" ht="15">
      <c r="A377" s="82"/>
      <c r="B377" s="82"/>
      <c r="C377" s="82"/>
      <c r="D377" s="82"/>
      <c r="E377" s="293" t="s">
        <v>458</v>
      </c>
      <c r="F377" s="82"/>
      <c r="G377" s="82"/>
      <c r="H377" s="82"/>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243"/>
      <c r="AR377" s="364"/>
      <c r="AS377" s="184"/>
      <c r="AT377" s="184"/>
      <c r="AU377" s="184"/>
      <c r="AV377" s="184"/>
      <c r="AW377" s="184"/>
    </row>
    <row r="378" spans="1:49" ht="15">
      <c r="A378" s="82"/>
      <c r="B378" s="82"/>
      <c r="C378" s="82"/>
      <c r="D378" s="82"/>
      <c r="E378" s="363" t="s">
        <v>459</v>
      </c>
      <c r="F378" s="82"/>
      <c r="G378" s="82" t="s">
        <v>399</v>
      </c>
      <c r="H378" s="82" t="s">
        <v>460</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v>
      </c>
      <c r="AQ378" s="477">
        <v>0</v>
      </c>
      <c r="AR378" s="364"/>
      <c r="AS378" s="184"/>
      <c r="AT378" s="184"/>
      <c r="AU378" s="184"/>
      <c r="AV378" s="184"/>
      <c r="AW378" s="184"/>
    </row>
    <row r="379" spans="1:49" ht="15">
      <c r="A379" s="82"/>
      <c r="B379" s="82"/>
      <c r="C379" s="82"/>
      <c r="D379" s="82"/>
      <c r="E379" s="363" t="s">
        <v>461</v>
      </c>
      <c r="F379" s="82"/>
      <c r="G379" s="82" t="s">
        <v>399</v>
      </c>
      <c r="H379" s="82" t="s">
        <v>462</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0</v>
      </c>
      <c r="AQ379" s="477">
        <v>0</v>
      </c>
      <c r="AR379" s="364"/>
      <c r="AS379" s="184"/>
      <c r="AT379" s="184"/>
      <c r="AU379" s="184"/>
      <c r="AV379" s="184"/>
      <c r="AW379" s="184"/>
    </row>
    <row r="380" spans="1:49" ht="15">
      <c r="A380" s="82"/>
      <c r="B380" s="82"/>
      <c r="C380" s="82"/>
      <c r="D380" s="82"/>
      <c r="E380" s="363" t="s">
        <v>463</v>
      </c>
      <c r="F380" s="82"/>
      <c r="G380" s="82" t="s">
        <v>399</v>
      </c>
      <c r="H380" s="82" t="s">
        <v>464</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0</v>
      </c>
      <c r="AQ380" s="477">
        <v>0</v>
      </c>
      <c r="AR380" s="364"/>
      <c r="AS380" s="184"/>
      <c r="AT380" s="184"/>
      <c r="AU380" s="184"/>
      <c r="AV380" s="184"/>
      <c r="AW380" s="184"/>
    </row>
    <row r="381" spans="1:49" ht="15">
      <c r="A381" s="82"/>
      <c r="B381" s="82"/>
      <c r="C381" s="82"/>
      <c r="D381" s="82"/>
      <c r="E381" s="363" t="s">
        <v>465</v>
      </c>
      <c r="F381" s="82"/>
      <c r="G381" s="82" t="s">
        <v>399</v>
      </c>
      <c r="H381" s="82" t="s">
        <v>466</v>
      </c>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476">
        <v>0</v>
      </c>
      <c r="AQ381" s="477">
        <v>0</v>
      </c>
      <c r="AR381" s="364"/>
      <c r="AS381" s="184"/>
      <c r="AT381" s="184"/>
      <c r="AU381" s="184"/>
      <c r="AV381" s="184"/>
      <c r="AW381" s="184"/>
    </row>
    <row r="382" spans="1:49" ht="15">
      <c r="A382" s="82"/>
      <c r="B382" s="82"/>
      <c r="C382" s="82"/>
      <c r="D382" s="82"/>
      <c r="E382" s="363"/>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10" t="s">
        <v>467</v>
      </c>
      <c r="E383" s="351"/>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293" t="s">
        <v>468</v>
      </c>
      <c r="F384" s="82"/>
      <c r="G384" s="82"/>
      <c r="H384" s="82"/>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243"/>
      <c r="AR384" s="364"/>
      <c r="AS384" s="184"/>
      <c r="AT384" s="184"/>
      <c r="AU384" s="184"/>
      <c r="AV384" s="184"/>
      <c r="AW384" s="184"/>
    </row>
    <row r="385" spans="1:49" ht="15">
      <c r="A385" s="82"/>
      <c r="B385" s="82"/>
      <c r="C385" s="82"/>
      <c r="D385" s="82"/>
      <c r="E385" s="363" t="s">
        <v>469</v>
      </c>
      <c r="F385" s="82"/>
      <c r="G385" s="82" t="s">
        <v>304</v>
      </c>
      <c r="H385" s="82" t="s">
        <v>470</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1.5874440000000001</v>
      </c>
      <c r="AQ385" s="477">
        <v>1.66398801</v>
      </c>
      <c r="AR385" s="364"/>
      <c r="AS385" s="184"/>
      <c r="AT385" s="184"/>
      <c r="AU385" s="184"/>
      <c r="AV385" s="184"/>
      <c r="AW385" s="184"/>
    </row>
    <row r="386" spans="1:49" ht="15">
      <c r="A386" s="82"/>
      <c r="B386" s="82"/>
      <c r="C386" s="82"/>
      <c r="D386" s="82"/>
      <c r="E386" s="363" t="s">
        <v>471</v>
      </c>
      <c r="F386" s="82"/>
      <c r="G386" s="82" t="s">
        <v>399</v>
      </c>
      <c r="H386" s="82" t="s">
        <v>472</v>
      </c>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476">
        <v>0.8</v>
      </c>
      <c r="AQ386" s="477">
        <v>0.8</v>
      </c>
      <c r="AR386" s="364"/>
      <c r="AS386" s="184"/>
      <c r="AT386" s="184"/>
      <c r="AU386" s="184"/>
      <c r="AV386" s="184"/>
      <c r="AW386" s="184"/>
    </row>
    <row r="387" spans="1:49" ht="15">
      <c r="A387" s="82"/>
      <c r="B387" s="82"/>
      <c r="C387" s="82"/>
      <c r="D387" s="82"/>
      <c r="E387" s="293" t="s">
        <v>473</v>
      </c>
      <c r="F387" s="82"/>
      <c r="G387" s="82"/>
      <c r="H387" s="82"/>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243"/>
      <c r="AR387" s="364"/>
      <c r="AS387" s="184"/>
      <c r="AT387" s="184"/>
      <c r="AU387" s="184"/>
      <c r="AV387" s="184"/>
      <c r="AW387" s="184"/>
    </row>
    <row r="388" spans="1:49" ht="15">
      <c r="A388" s="82"/>
      <c r="B388" s="82"/>
      <c r="C388" s="82"/>
      <c r="D388" s="82"/>
      <c r="E388" s="363" t="s">
        <v>474</v>
      </c>
      <c r="F388" s="82"/>
      <c r="G388" s="82" t="s">
        <v>304</v>
      </c>
      <c r="H388" s="82" t="s">
        <v>475</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20.869119999999999</v>
      </c>
      <c r="AQ388" s="477">
        <v>20.869119999999999</v>
      </c>
      <c r="AR388" s="364"/>
      <c r="AS388" s="184"/>
      <c r="AT388" s="184"/>
      <c r="AU388" s="184"/>
      <c r="AV388" s="184"/>
      <c r="AW388" s="184"/>
    </row>
    <row r="389" spans="1:49" ht="15">
      <c r="A389" s="82"/>
      <c r="B389" s="82"/>
      <c r="C389" s="82"/>
      <c r="D389" s="82"/>
      <c r="E389" s="363" t="s">
        <v>476</v>
      </c>
      <c r="F389" s="82"/>
      <c r="G389" s="82" t="s">
        <v>399</v>
      </c>
      <c r="H389" s="82" t="s">
        <v>477</v>
      </c>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476">
        <v>13.3</v>
      </c>
      <c r="AQ389" s="477">
        <v>13.3</v>
      </c>
      <c r="AR389" s="364"/>
      <c r="AS389" s="184"/>
      <c r="AT389" s="184"/>
      <c r="AU389" s="184"/>
      <c r="AV389" s="184"/>
      <c r="AW389" s="184"/>
    </row>
    <row r="390" spans="1:49" ht="15">
      <c r="A390" s="82"/>
      <c r="B390" s="82"/>
      <c r="C390" s="82"/>
      <c r="D390" s="82"/>
      <c r="E390" s="293" t="s">
        <v>478</v>
      </c>
      <c r="F390" s="82"/>
      <c r="G390" s="82"/>
      <c r="H390" s="82"/>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243"/>
      <c r="AR390" s="364"/>
      <c r="AS390" s="184"/>
      <c r="AT390" s="184"/>
      <c r="AU390" s="184"/>
      <c r="AV390" s="184"/>
      <c r="AW390" s="184"/>
    </row>
    <row r="391" spans="1:49" ht="15">
      <c r="A391" s="82"/>
      <c r="B391" s="82"/>
      <c r="C391" s="82"/>
      <c r="D391" s="82"/>
      <c r="E391" s="363" t="s">
        <v>479</v>
      </c>
      <c r="F391" s="82"/>
      <c r="G391" s="82" t="s">
        <v>304</v>
      </c>
      <c r="H391" s="82" t="s">
        <v>480</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7.7663137200000003</v>
      </c>
      <c r="AQ391" s="477">
        <v>11.326099970000001</v>
      </c>
      <c r="AR391" s="364"/>
      <c r="AS391" s="184"/>
      <c r="AT391" s="184"/>
      <c r="AU391" s="184"/>
      <c r="AV391" s="184"/>
      <c r="AW391" s="184"/>
    </row>
    <row r="392" spans="1:49" ht="15">
      <c r="A392" s="82"/>
      <c r="B392" s="82"/>
      <c r="C392" s="82"/>
      <c r="D392" s="82"/>
      <c r="E392" s="363" t="s">
        <v>481</v>
      </c>
      <c r="F392" s="82"/>
      <c r="G392" s="82" t="s">
        <v>399</v>
      </c>
      <c r="H392" s="82" t="s">
        <v>482</v>
      </c>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476">
        <v>8.9</v>
      </c>
      <c r="AQ392" s="477">
        <v>9</v>
      </c>
      <c r="AR392" s="364"/>
      <c r="AS392" s="184"/>
      <c r="AT392" s="184"/>
      <c r="AU392" s="184"/>
      <c r="AV392" s="184"/>
      <c r="AW392" s="184"/>
    </row>
    <row r="393" spans="1:49" ht="15">
      <c r="A393" s="82"/>
      <c r="B393" s="82"/>
      <c r="C393" s="82"/>
      <c r="D393" s="82"/>
      <c r="E393" s="293" t="s">
        <v>483</v>
      </c>
      <c r="F393" s="82"/>
      <c r="G393" s="82"/>
      <c r="H393" s="82"/>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243"/>
      <c r="AR393" s="364"/>
      <c r="AS393" s="184"/>
      <c r="AT393" s="184"/>
      <c r="AU393" s="184"/>
      <c r="AV393" s="184"/>
      <c r="AW393" s="184"/>
    </row>
    <row r="394" spans="1:49" ht="15">
      <c r="A394" s="82"/>
      <c r="B394" s="82"/>
      <c r="C394" s="82"/>
      <c r="D394" s="82"/>
      <c r="E394" s="363" t="s">
        <v>484</v>
      </c>
      <c r="F394" s="82"/>
      <c r="G394" s="82" t="s">
        <v>304</v>
      </c>
      <c r="H394" s="82" t="s">
        <v>485</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1.7514029100000001</v>
      </c>
      <c r="AQ394" s="477">
        <v>1.8716212100000003</v>
      </c>
      <c r="AR394" s="364"/>
      <c r="AS394" s="184"/>
      <c r="AT394" s="184"/>
      <c r="AU394" s="184"/>
      <c r="AV394" s="184"/>
      <c r="AW394" s="184"/>
    </row>
    <row r="395" spans="1:49" ht="15">
      <c r="A395" s="82"/>
      <c r="B395" s="82"/>
      <c r="C395" s="82"/>
      <c r="D395" s="82"/>
      <c r="E395" s="363" t="s">
        <v>486</v>
      </c>
      <c r="F395" s="82"/>
      <c r="G395" s="82" t="s">
        <v>399</v>
      </c>
      <c r="H395" s="82" t="s">
        <v>487</v>
      </c>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476">
        <v>0</v>
      </c>
      <c r="AQ395" s="477">
        <v>0</v>
      </c>
      <c r="AR395" s="364"/>
      <c r="AS395" s="184"/>
      <c r="AT395" s="184"/>
      <c r="AU395" s="184"/>
      <c r="AV395" s="184"/>
      <c r="AW395" s="184"/>
    </row>
    <row r="396" spans="1:49" ht="15">
      <c r="A396" s="82"/>
      <c r="B396" s="82"/>
      <c r="C396" s="82"/>
      <c r="D396" s="82"/>
      <c r="E396" s="293" t="s">
        <v>488</v>
      </c>
      <c r="F396" s="82"/>
      <c r="G396" s="82"/>
      <c r="H396" s="82"/>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243"/>
      <c r="AR396" s="364"/>
      <c r="AS396" s="184"/>
      <c r="AT396" s="184"/>
      <c r="AU396" s="184"/>
      <c r="AV396" s="184"/>
      <c r="AW396" s="184"/>
    </row>
    <row r="397" spans="1:49" ht="15">
      <c r="A397" s="82"/>
      <c r="B397" s="82"/>
      <c r="C397" s="82"/>
      <c r="D397" s="82"/>
      <c r="E397" s="363" t="s">
        <v>489</v>
      </c>
      <c r="F397" s="82"/>
      <c r="G397" s="82" t="s">
        <v>304</v>
      </c>
      <c r="H397" s="82" t="s">
        <v>490</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1.0168446550000001</v>
      </c>
      <c r="AQ397" s="477">
        <v>0.77735213000000003</v>
      </c>
      <c r="AR397" s="364"/>
      <c r="AS397" s="184"/>
      <c r="AT397" s="184"/>
      <c r="AU397" s="184"/>
      <c r="AV397" s="184"/>
      <c r="AW397" s="184"/>
    </row>
    <row r="398" spans="1:49" ht="15">
      <c r="A398" s="82"/>
      <c r="B398" s="82"/>
      <c r="C398" s="82"/>
      <c r="D398" s="82"/>
      <c r="E398" s="363" t="s">
        <v>491</v>
      </c>
      <c r="F398" s="82"/>
      <c r="G398" s="82" t="s">
        <v>399</v>
      </c>
      <c r="H398" s="82" t="s">
        <v>492</v>
      </c>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476">
        <v>0</v>
      </c>
      <c r="AQ398" s="477">
        <v>0</v>
      </c>
      <c r="AR398" s="364"/>
      <c r="AS398" s="184"/>
      <c r="AT398" s="184"/>
      <c r="AU398" s="184"/>
      <c r="AV398" s="184"/>
      <c r="AW398" s="184"/>
    </row>
    <row r="399" spans="1:49" ht="15">
      <c r="A399" s="82"/>
      <c r="B399" s="82"/>
      <c r="C399" s="82"/>
      <c r="D399" s="82"/>
      <c r="E399" s="293" t="s">
        <v>493</v>
      </c>
      <c r="F399" s="82"/>
      <c r="G399" s="82"/>
      <c r="H399" s="82"/>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243"/>
      <c r="AR399" s="364"/>
      <c r="AS399" s="184"/>
      <c r="AT399" s="184"/>
      <c r="AU399" s="184"/>
      <c r="AV399" s="184"/>
      <c r="AW399" s="184"/>
    </row>
    <row r="400" spans="1:49" ht="15">
      <c r="A400" s="82"/>
      <c r="B400" s="82"/>
      <c r="C400" s="82"/>
      <c r="D400" s="82"/>
      <c r="E400" s="363" t="s">
        <v>494</v>
      </c>
      <c r="F400" s="82"/>
      <c r="G400" s="82" t="s">
        <v>304</v>
      </c>
      <c r="H400" s="82" t="s">
        <v>495</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3.4057440000000001E-2</v>
      </c>
      <c r="AQ400" s="477">
        <v>3.6031769999999998E-2</v>
      </c>
      <c r="AR400" s="364"/>
      <c r="AS400" s="184"/>
      <c r="AT400" s="184"/>
      <c r="AU400" s="184"/>
      <c r="AV400" s="184"/>
      <c r="AW400" s="184"/>
    </row>
    <row r="401" spans="1:49" ht="15">
      <c r="A401" s="82"/>
      <c r="B401" s="82"/>
      <c r="C401" s="82"/>
      <c r="D401" s="82"/>
      <c r="E401" s="363" t="s">
        <v>496</v>
      </c>
      <c r="F401" s="82"/>
      <c r="G401" s="82" t="s">
        <v>399</v>
      </c>
      <c r="H401" s="82" t="s">
        <v>497</v>
      </c>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476">
        <v>0</v>
      </c>
      <c r="AQ401" s="477">
        <v>0</v>
      </c>
      <c r="AR401" s="364"/>
      <c r="AS401" s="184"/>
      <c r="AT401" s="184"/>
      <c r="AU401" s="184"/>
      <c r="AV401" s="184"/>
      <c r="AW401" s="184"/>
    </row>
    <row r="402" spans="1:49" ht="15">
      <c r="A402" s="82"/>
      <c r="B402" s="82"/>
      <c r="C402" s="82"/>
      <c r="D402" s="82"/>
      <c r="E402" s="293" t="s">
        <v>498</v>
      </c>
      <c r="F402" s="82"/>
      <c r="G402" s="82"/>
      <c r="H402" s="82"/>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243"/>
      <c r="AR402" s="364"/>
      <c r="AS402" s="184"/>
      <c r="AT402" s="184"/>
      <c r="AU402" s="184"/>
      <c r="AV402" s="184"/>
      <c r="AW402" s="184"/>
    </row>
    <row r="403" spans="1:49" ht="15">
      <c r="A403" s="82"/>
      <c r="B403" s="82"/>
      <c r="C403" s="82"/>
      <c r="D403" s="82"/>
      <c r="E403" s="363" t="s">
        <v>499</v>
      </c>
      <c r="F403" s="82"/>
      <c r="G403" s="82" t="s">
        <v>304</v>
      </c>
      <c r="H403" s="82" t="s">
        <v>500</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5">
      <c r="A404" s="82"/>
      <c r="B404" s="82"/>
      <c r="C404" s="82"/>
      <c r="D404" s="82"/>
      <c r="E404" s="363" t="s">
        <v>501</v>
      </c>
      <c r="F404" s="82"/>
      <c r="G404" s="82" t="s">
        <v>399</v>
      </c>
      <c r="H404" s="82" t="s">
        <v>502</v>
      </c>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476">
        <v>0</v>
      </c>
      <c r="AQ404" s="477">
        <v>0</v>
      </c>
      <c r="AR404" s="364"/>
      <c r="AS404" s="184"/>
      <c r="AT404" s="184"/>
      <c r="AU404" s="184"/>
      <c r="AV404" s="184"/>
      <c r="AW404" s="184"/>
    </row>
    <row r="405" spans="1:49" ht="15">
      <c r="A405" s="82"/>
      <c r="B405" s="82"/>
      <c r="C405" s="82"/>
      <c r="D405" s="82"/>
      <c r="E405" s="293" t="s">
        <v>503</v>
      </c>
      <c r="F405" s="82"/>
      <c r="G405" s="82"/>
      <c r="H405" s="82"/>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243"/>
      <c r="AR405" s="364"/>
      <c r="AS405" s="184"/>
      <c r="AT405" s="184"/>
      <c r="AU405" s="184"/>
      <c r="AV405" s="184"/>
      <c r="AW405" s="184"/>
    </row>
    <row r="406" spans="1:49" ht="15">
      <c r="A406" s="82"/>
      <c r="B406" s="82"/>
      <c r="C406" s="82"/>
      <c r="D406" s="82"/>
      <c r="E406" s="363" t="s">
        <v>504</v>
      </c>
      <c r="F406" s="82"/>
      <c r="G406" s="82" t="s">
        <v>304</v>
      </c>
      <c r="H406" s="82" t="s">
        <v>505</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5">
      <c r="A407" s="82"/>
      <c r="B407" s="82"/>
      <c r="C407" s="82"/>
      <c r="D407" s="82"/>
      <c r="E407" s="363" t="s">
        <v>506</v>
      </c>
      <c r="F407" s="82"/>
      <c r="G407" s="82" t="s">
        <v>399</v>
      </c>
      <c r="H407" s="82" t="s">
        <v>507</v>
      </c>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476">
        <v>0</v>
      </c>
      <c r="AQ407" s="477">
        <v>0</v>
      </c>
      <c r="AR407" s="364"/>
      <c r="AS407" s="184"/>
      <c r="AT407" s="184"/>
      <c r="AU407" s="184"/>
      <c r="AV407" s="184"/>
      <c r="AW407" s="184"/>
    </row>
    <row r="408" spans="1:49" ht="15">
      <c r="A408" s="82"/>
      <c r="B408" s="82"/>
      <c r="C408" s="82"/>
      <c r="D408" s="82"/>
      <c r="E408" s="293" t="s">
        <v>508</v>
      </c>
      <c r="F408" s="82"/>
      <c r="G408" s="82"/>
      <c r="H408" s="82"/>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243"/>
      <c r="AR408" s="364"/>
      <c r="AS408" s="184"/>
      <c r="AT408" s="184"/>
      <c r="AU408" s="184"/>
      <c r="AV408" s="184"/>
      <c r="AW408" s="184"/>
    </row>
    <row r="409" spans="1:49" ht="15">
      <c r="A409" s="82"/>
      <c r="B409" s="82"/>
      <c r="C409" s="82"/>
      <c r="D409" s="82"/>
      <c r="E409" s="363" t="s">
        <v>509</v>
      </c>
      <c r="F409" s="82"/>
      <c r="G409" s="82" t="s">
        <v>304</v>
      </c>
      <c r="H409" s="82" t="s">
        <v>510</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5">
      <c r="A410" s="82"/>
      <c r="B410" s="82"/>
      <c r="C410" s="82"/>
      <c r="D410" s="82"/>
      <c r="E410" s="363" t="s">
        <v>511</v>
      </c>
      <c r="F410" s="82"/>
      <c r="G410" s="82" t="s">
        <v>399</v>
      </c>
      <c r="H410" s="82" t="s">
        <v>512</v>
      </c>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476">
        <v>0</v>
      </c>
      <c r="AQ410" s="477">
        <v>0</v>
      </c>
      <c r="AR410" s="364"/>
      <c r="AS410" s="184"/>
      <c r="AT410" s="184"/>
      <c r="AU410" s="184"/>
      <c r="AV410" s="184"/>
      <c r="AW410" s="184"/>
    </row>
    <row r="411" spans="1:49" ht="15">
      <c r="A411" s="82"/>
      <c r="B411" s="82"/>
      <c r="C411" s="82"/>
      <c r="D411" s="82"/>
      <c r="E411" s="293" t="s">
        <v>513</v>
      </c>
      <c r="F411" s="82"/>
      <c r="G411" s="82"/>
      <c r="H411" s="82"/>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243"/>
      <c r="AR411" s="364"/>
      <c r="AS411" s="184"/>
      <c r="AT411" s="184"/>
      <c r="AU411" s="184"/>
      <c r="AV411" s="184"/>
      <c r="AW411" s="184"/>
    </row>
    <row r="412" spans="1:49" ht="15">
      <c r="A412" s="82"/>
      <c r="B412" s="82"/>
      <c r="C412" s="82"/>
      <c r="D412" s="82"/>
      <c r="E412" s="363" t="s">
        <v>514</v>
      </c>
      <c r="F412" s="82"/>
      <c r="G412" s="82" t="s">
        <v>304</v>
      </c>
      <c r="H412" s="82" t="s">
        <v>515</v>
      </c>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476">
        <v>0.55616246000000003</v>
      </c>
      <c r="AQ412" s="477">
        <v>1.1573850599999957</v>
      </c>
      <c r="AR412" s="364"/>
      <c r="AS412" s="184"/>
      <c r="AT412" s="184"/>
      <c r="AU412" s="184"/>
      <c r="AV412" s="184"/>
      <c r="AW412" s="184"/>
    </row>
    <row r="413" spans="1:49" ht="15">
      <c r="A413" s="82"/>
      <c r="B413" s="82"/>
      <c r="C413" s="82"/>
      <c r="D413" s="82"/>
      <c r="E413" s="293" t="s">
        <v>516</v>
      </c>
      <c r="F413" s="82"/>
      <c r="G413" s="82"/>
      <c r="H413" s="82"/>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243"/>
      <c r="AR413" s="364"/>
      <c r="AS413" s="184"/>
      <c r="AT413" s="184"/>
      <c r="AU413" s="184"/>
      <c r="AV413" s="184"/>
      <c r="AW413" s="184"/>
    </row>
    <row r="414" spans="1:49" ht="15">
      <c r="A414" s="82"/>
      <c r="B414" s="82"/>
      <c r="C414" s="82"/>
      <c r="D414" s="82"/>
      <c r="E414" s="363" t="s">
        <v>517</v>
      </c>
      <c r="F414" s="82"/>
      <c r="G414" s="82" t="s">
        <v>304</v>
      </c>
      <c r="H414" s="82" t="s">
        <v>518</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0.62224200833333332</v>
      </c>
      <c r="AP414" s="476">
        <v>2.2745069449999997</v>
      </c>
      <c r="AQ414" s="477">
        <v>1.6846693333333343E-2</v>
      </c>
      <c r="AR414" s="145"/>
      <c r="AS414" s="184"/>
      <c r="AT414" s="184"/>
      <c r="AU414" s="184"/>
      <c r="AV414" s="184"/>
      <c r="AW414" s="184"/>
    </row>
    <row r="415" spans="1:49" ht="15">
      <c r="A415" s="82"/>
      <c r="B415" s="82"/>
      <c r="C415" s="82"/>
      <c r="D415" s="82"/>
      <c r="E415" s="363" t="s">
        <v>519</v>
      </c>
      <c r="F415" s="82"/>
      <c r="G415" s="82" t="s">
        <v>304</v>
      </c>
      <c r="H415" s="82" t="s">
        <v>520</v>
      </c>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476">
        <v>1.3628950000000001E-2</v>
      </c>
      <c r="AP415" s="476">
        <v>6.9366575E-2</v>
      </c>
      <c r="AQ415" s="477">
        <v>7.409898333333334E-2</v>
      </c>
      <c r="AR415" s="145"/>
      <c r="AS415" s="184"/>
      <c r="AT415" s="184"/>
      <c r="AU415" s="184"/>
      <c r="AV415" s="184"/>
      <c r="AW415" s="184"/>
    </row>
    <row r="416" spans="1:49" ht="15">
      <c r="A416" s="82"/>
      <c r="B416" s="82"/>
      <c r="C416" s="82"/>
      <c r="D416" s="82"/>
      <c r="E416" s="293" t="s">
        <v>521</v>
      </c>
      <c r="F416" s="82"/>
      <c r="G416" s="82"/>
      <c r="H416" s="82"/>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243"/>
      <c r="AR416" s="145"/>
      <c r="AS416" s="184"/>
      <c r="AT416" s="184"/>
      <c r="AU416" s="184"/>
      <c r="AV416" s="184"/>
      <c r="AW416" s="184"/>
    </row>
    <row r="417" spans="1:49" ht="15">
      <c r="A417" s="82"/>
      <c r="B417" s="82"/>
      <c r="C417" s="82"/>
      <c r="D417" s="82"/>
      <c r="E417" s="363" t="s">
        <v>522</v>
      </c>
      <c r="F417" s="82"/>
      <c r="G417" s="82" t="s">
        <v>304</v>
      </c>
      <c r="H417" s="82" t="s">
        <v>523</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5">
      <c r="A418" s="82"/>
      <c r="B418" s="82"/>
      <c r="C418" s="82"/>
      <c r="D418" s="82"/>
      <c r="E418" s="363" t="s">
        <v>524</v>
      </c>
      <c r="F418" s="82"/>
      <c r="G418" s="82" t="s">
        <v>304</v>
      </c>
      <c r="H418" s="82" t="s">
        <v>525</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5">
      <c r="A419" s="82"/>
      <c r="B419" s="82"/>
      <c r="C419" s="82"/>
      <c r="D419" s="82"/>
      <c r="E419" s="363" t="s">
        <v>526</v>
      </c>
      <c r="F419" s="82"/>
      <c r="G419" s="82" t="s">
        <v>304</v>
      </c>
      <c r="H419" s="82" t="s">
        <v>527</v>
      </c>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476">
        <v>0</v>
      </c>
      <c r="AQ419" s="477">
        <v>0</v>
      </c>
      <c r="AR419" s="145"/>
      <c r="AS419" s="184"/>
      <c r="AT419" s="184"/>
      <c r="AU419" s="184"/>
      <c r="AV419" s="184"/>
      <c r="AW419" s="184"/>
    </row>
    <row r="420" spans="1:49" ht="15">
      <c r="A420" s="82"/>
      <c r="B420" s="82"/>
      <c r="C420" s="82"/>
      <c r="D420" s="82"/>
      <c r="E420" s="82"/>
      <c r="F420" s="82"/>
      <c r="G420" s="82"/>
      <c r="H420" s="82"/>
      <c r="J420" s="82"/>
      <c r="K420" s="82"/>
      <c r="L420" s="82"/>
      <c r="M420" s="82"/>
      <c r="N420" s="82"/>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243"/>
      <c r="AR420" s="145"/>
      <c r="AS420" s="184"/>
      <c r="AT420" s="184"/>
      <c r="AU420" s="184"/>
      <c r="AV420" s="184"/>
      <c r="AW420" s="184"/>
    </row>
    <row r="421" spans="1:49" ht="15">
      <c r="B421" s="37" t="s">
        <v>79</v>
      </c>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8"/>
      <c r="AR421" s="37"/>
      <c r="AS421" s="37"/>
      <c r="AT421" s="37"/>
      <c r="AU421" s="37"/>
      <c r="AV421" s="37"/>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5">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row>
    <row r="424" spans="1:49" hidden="1"/>
    <row r="425" spans="1:49" hidden="1"/>
    <row r="426" spans="1:49" hidden="1"/>
    <row r="427" spans="1:49" hidden="1"/>
    <row r="428" spans="1:49" hidden="1"/>
    <row r="429" spans="1:49" hidden="1"/>
    <row r="430" spans="1:49" hidden="1"/>
    <row r="431" spans="1:49" hidden="1"/>
    <row r="432" spans="1:49"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conditionalFormatting sqref="I234:I237">
    <cfRule type="cellIs" dxfId="54" priority="87" operator="equal">
      <formula>FALSE()</formula>
    </cfRule>
  </conditionalFormatting>
  <conditionalFormatting sqref="I364">
    <cfRule type="cellIs" dxfId="53" priority="66" operator="equal">
      <formula>FALSE()</formula>
    </cfRule>
  </conditionalFormatting>
  <conditionalFormatting sqref="K211:AQ217 AW211:AW217">
    <cfRule type="cellIs" dxfId="52" priority="86" operator="equal">
      <formula>FALSE()</formula>
    </cfRule>
  </conditionalFormatting>
  <conditionalFormatting sqref="K8:AW25 K72:AW125 K26:AQ71 AW26:AW71 K133:AW134 K126:AQ132 AW126:AW132 K142:AW144 K135:AQ141 AW135:AW141 K159:AW161 K145:AQ158 AW145:AW158 K170:AW176 K162:AQ169 AW162:AW169 K181:AW190 K177:AQ180 AW177:AW180 K207:AW210 K191:AQ206 AW191:AW206">
    <cfRule type="cellIs" dxfId="51" priority="80" operator="equal">
      <formula>FALSE()</formula>
    </cfRule>
  </conditionalFormatting>
  <conditionalFormatting sqref="K266:AW277 K265:AQ265 AT265:AW265 K279:AW282 K278:AQ278 AW278 K285:AW295 K283:AQ284 AW283:AW284 K338:AW341 K296:AQ337 AW296:AW337 K344:AW344 K342:AQ342 AS342:AW342 K343:AI343 AR343:AW343 K349:AW349 K345:AQ347 AS345:AW347 K348:AP348 AR348:AW348 K351:AW351 K350:AQ350 AS350:AW350 K354:AW354 K352:AO353 AR352:AW353 K359:AW362 K355:AI358 AR355:AW358 K364:AW367 K363:AI363 AR363:AW363 K371:AW371 K368:AO370 AR368:AW370 K375:AW375 K372:AO374 AR372:AW374 K377:AW377 K376:AN376 AR376:AW376 K382:AW384 K378:AO381 AR378:AW381 K413:AW413 K385:AO412 AR385:AW412 K416:AW416 K414:AN415 AR414:AW415 K420:AW420 K417:AO419 AR417:AW419 K218:AW264">
    <cfRule type="cellIs" dxfId="50" priority="70" operator="equal">
      <formula>FALSE()</formula>
    </cfRule>
  </conditionalFormatting>
  <conditionalFormatting sqref="AR211:AV211">
    <cfRule type="cellIs" dxfId="49" priority="85" operator="equal">
      <formula>FALSE()</formula>
    </cfRule>
  </conditionalFormatting>
  <conditionalFormatting sqref="AR213:AV217">
    <cfRule type="cellIs" dxfId="48" priority="83" operator="equal">
      <formula>FALSE()</formula>
    </cfRule>
  </conditionalFormatting>
  <conditionalFormatting sqref="AR26:AV71">
    <cfRule type="cellIs" dxfId="47" priority="49" operator="equal">
      <formula>FALSE()</formula>
    </cfRule>
  </conditionalFormatting>
  <conditionalFormatting sqref="AR126:AV132">
    <cfRule type="cellIs" dxfId="46" priority="48" operator="equal">
      <formula>FALSE()</formula>
    </cfRule>
  </conditionalFormatting>
  <conditionalFormatting sqref="AR135:AV141">
    <cfRule type="cellIs" dxfId="45" priority="47" operator="equal">
      <formula>FALSE()</formula>
    </cfRule>
  </conditionalFormatting>
  <conditionalFormatting sqref="AR145:AV158">
    <cfRule type="cellIs" dxfId="44" priority="46" operator="equal">
      <formula>FALSE()</formula>
    </cfRule>
  </conditionalFormatting>
  <conditionalFormatting sqref="AR177:AV180">
    <cfRule type="cellIs" dxfId="43" priority="44" operator="equal">
      <formula>FALSE()</formula>
    </cfRule>
  </conditionalFormatting>
  <conditionalFormatting sqref="AR191:AV206">
    <cfRule type="cellIs" dxfId="42" priority="43" operator="equal">
      <formula>FALSE()</formula>
    </cfRule>
  </conditionalFormatting>
  <conditionalFormatting sqref="AR265:AS265">
    <cfRule type="cellIs" dxfId="41" priority="42" operator="equal">
      <formula>FALSE()</formula>
    </cfRule>
  </conditionalFormatting>
  <conditionalFormatting sqref="AR278:AV278">
    <cfRule type="cellIs" dxfId="40" priority="41" operator="equal">
      <formula>FALSE()</formula>
    </cfRule>
  </conditionalFormatting>
  <conditionalFormatting sqref="AR283:AV284">
    <cfRule type="cellIs" dxfId="39" priority="40" operator="equal">
      <formula>FALSE()</formula>
    </cfRule>
  </conditionalFormatting>
  <conditionalFormatting sqref="AR296:AV337">
    <cfRule type="cellIs" dxfId="38" priority="39" operator="equal">
      <formula>FALSE()</formula>
    </cfRule>
  </conditionalFormatting>
  <conditionalFormatting sqref="AR342">
    <cfRule type="cellIs" dxfId="37" priority="38" operator="equal">
      <formula>FALSE()</formula>
    </cfRule>
  </conditionalFormatting>
  <conditionalFormatting sqref="AJ343:AQ343">
    <cfRule type="cellIs" dxfId="36" priority="37" operator="equal">
      <formula>FALSE()</formula>
    </cfRule>
  </conditionalFormatting>
  <conditionalFormatting sqref="AR345:AR347">
    <cfRule type="cellIs" dxfId="35" priority="36" operator="equal">
      <formula>FALSE()</formula>
    </cfRule>
  </conditionalFormatting>
  <conditionalFormatting sqref="AQ348">
    <cfRule type="cellIs" dxfId="34" priority="35" operator="equal">
      <formula>FALSE()</formula>
    </cfRule>
  </conditionalFormatting>
  <conditionalFormatting sqref="AQ348">
    <cfRule type="cellIs" dxfId="33" priority="34" operator="equal">
      <formula>FALSE()</formula>
    </cfRule>
  </conditionalFormatting>
  <conditionalFormatting sqref="AR350">
    <cfRule type="cellIs" dxfId="32" priority="33" operator="equal">
      <formula>FALSE()</formula>
    </cfRule>
  </conditionalFormatting>
  <conditionalFormatting sqref="AP352:AQ352">
    <cfRule type="cellIs" dxfId="31" priority="32" operator="equal">
      <formula>FALSE()</formula>
    </cfRule>
  </conditionalFormatting>
  <conditionalFormatting sqref="AQ352">
    <cfRule type="cellIs" dxfId="30" priority="31" operator="equal">
      <formula>FALSE()</formula>
    </cfRule>
  </conditionalFormatting>
  <conditionalFormatting sqref="AP353:AQ353">
    <cfRule type="cellIs" dxfId="29" priority="30" operator="equal">
      <formula>FALSE()</formula>
    </cfRule>
  </conditionalFormatting>
  <conditionalFormatting sqref="AQ353">
    <cfRule type="cellIs" dxfId="28" priority="29" operator="equal">
      <formula>FALSE()</formula>
    </cfRule>
  </conditionalFormatting>
  <conditionalFormatting sqref="AJ355:AQ358">
    <cfRule type="cellIs" dxfId="27" priority="28" operator="equal">
      <formula>FALSE()</formula>
    </cfRule>
  </conditionalFormatting>
  <conditionalFormatting sqref="AQ355:AQ358">
    <cfRule type="cellIs" dxfId="26" priority="27" operator="equal">
      <formula>FALSE()</formula>
    </cfRule>
  </conditionalFormatting>
  <conditionalFormatting sqref="AJ363:AQ363">
    <cfRule type="cellIs" dxfId="25" priority="26" operator="equal">
      <formula>FALSE()</formula>
    </cfRule>
  </conditionalFormatting>
  <conditionalFormatting sqref="AQ363">
    <cfRule type="cellIs" dxfId="24" priority="25" operator="equal">
      <formula>FALSE()</formula>
    </cfRule>
  </conditionalFormatting>
  <conditionalFormatting sqref="AP368:AQ370">
    <cfRule type="cellIs" dxfId="23" priority="24" operator="equal">
      <formula>FALSE()</formula>
    </cfRule>
  </conditionalFormatting>
  <conditionalFormatting sqref="AQ368:AQ370">
    <cfRule type="cellIs" dxfId="22" priority="23" operator="equal">
      <formula>FALSE()</formula>
    </cfRule>
  </conditionalFormatting>
  <conditionalFormatting sqref="AP372:AQ374">
    <cfRule type="cellIs" dxfId="21" priority="22" operator="equal">
      <formula>FALSE()</formula>
    </cfRule>
  </conditionalFormatting>
  <conditionalFormatting sqref="AQ372:AQ374">
    <cfRule type="cellIs" dxfId="20" priority="21" operator="equal">
      <formula>FALSE()</formula>
    </cfRule>
  </conditionalFormatting>
  <conditionalFormatting sqref="AO376:AQ376">
    <cfRule type="cellIs" dxfId="19" priority="20" operator="equal">
      <formula>FALSE()</formula>
    </cfRule>
  </conditionalFormatting>
  <conditionalFormatting sqref="AP378:AQ381">
    <cfRule type="cellIs" dxfId="18" priority="19" operator="equal">
      <formula>FALSE()</formula>
    </cfRule>
  </conditionalFormatting>
  <conditionalFormatting sqref="AQ378:AQ379">
    <cfRule type="cellIs" dxfId="17" priority="18" operator="equal">
      <formula>FALSE()</formula>
    </cfRule>
  </conditionalFormatting>
  <conditionalFormatting sqref="AQ380:AQ381">
    <cfRule type="cellIs" dxfId="16" priority="17" operator="equal">
      <formula>FALSE()</formula>
    </cfRule>
  </conditionalFormatting>
  <conditionalFormatting sqref="AP385:AQ412">
    <cfRule type="cellIs" dxfId="15" priority="16" operator="equal">
      <formula>FALSE()</formula>
    </cfRule>
  </conditionalFormatting>
  <conditionalFormatting sqref="AQ385:AQ386">
    <cfRule type="cellIs" dxfId="14" priority="15" operator="equal">
      <formula>FALSE()</formula>
    </cfRule>
  </conditionalFormatting>
  <conditionalFormatting sqref="AQ388:AQ389">
    <cfRule type="cellIs" dxfId="13" priority="14" operator="equal">
      <formula>FALSE()</formula>
    </cfRule>
  </conditionalFormatting>
  <conditionalFormatting sqref="AQ391:AQ392">
    <cfRule type="cellIs" dxfId="12" priority="13" operator="equal">
      <formula>FALSE()</formula>
    </cfRule>
  </conditionalFormatting>
  <conditionalFormatting sqref="AQ394:AQ395">
    <cfRule type="cellIs" dxfId="11" priority="12" operator="equal">
      <formula>FALSE()</formula>
    </cfRule>
  </conditionalFormatting>
  <conditionalFormatting sqref="AQ397:AQ398">
    <cfRule type="cellIs" dxfId="10" priority="11" operator="equal">
      <formula>FALSE()</formula>
    </cfRule>
  </conditionalFormatting>
  <conditionalFormatting sqref="AQ400:AQ401">
    <cfRule type="cellIs" dxfId="9" priority="10" operator="equal">
      <formula>FALSE()</formula>
    </cfRule>
  </conditionalFormatting>
  <conditionalFormatting sqref="AQ403:AQ404">
    <cfRule type="cellIs" dxfId="8" priority="9" operator="equal">
      <formula>FALSE()</formula>
    </cfRule>
  </conditionalFormatting>
  <conditionalFormatting sqref="AQ406:AQ407">
    <cfRule type="cellIs" dxfId="7" priority="8" operator="equal">
      <formula>FALSE()</formula>
    </cfRule>
  </conditionalFormatting>
  <conditionalFormatting sqref="AQ409:AQ410">
    <cfRule type="cellIs" dxfId="6" priority="7" operator="equal">
      <formula>FALSE()</formula>
    </cfRule>
  </conditionalFormatting>
  <conditionalFormatting sqref="AQ412">
    <cfRule type="cellIs" dxfId="5" priority="6" operator="equal">
      <formula>FALSE()</formula>
    </cfRule>
  </conditionalFormatting>
  <conditionalFormatting sqref="AO414:AQ415">
    <cfRule type="cellIs" dxfId="4" priority="5" operator="equal">
      <formula>FALSE()</formula>
    </cfRule>
  </conditionalFormatting>
  <conditionalFormatting sqref="AQ414:AQ415">
    <cfRule type="cellIs" dxfId="3" priority="4" operator="equal">
      <formula>FALSE()</formula>
    </cfRule>
  </conditionalFormatting>
  <conditionalFormatting sqref="AP417:AQ419">
    <cfRule type="cellIs" dxfId="2" priority="3" operator="equal">
      <formula>FALSE()</formula>
    </cfRule>
  </conditionalFormatting>
  <conditionalFormatting sqref="AQ417:AQ419">
    <cfRule type="cellIs" dxfId="1" priority="2" operator="equal">
      <formula>FALSE()</formula>
    </cfRule>
  </conditionalFormatting>
  <conditionalFormatting sqref="AR162:AV169">
    <cfRule type="cellIs" dxfId="0"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2.75" zeroHeight="1"/>
  <cols>
    <col min="1" max="4" width="1.5" customWidth="1"/>
    <col min="5" max="5" width="26.5" customWidth="1"/>
    <col min="6" max="21" width="9.375" customWidth="1"/>
    <col min="22" max="23" width="9.625" customWidth="1"/>
    <col min="24" max="46" width="9.625" hidden="1" customWidth="1"/>
    <col min="47" max="47" width="3" hidden="1" customWidth="1"/>
    <col min="48" max="16384" width="9" hidden="1"/>
  </cols>
  <sheetData>
    <row r="1" spans="1:23" ht="19.5">
      <c r="A1" s="195" t="s">
        <v>29</v>
      </c>
      <c r="B1" s="181"/>
      <c r="C1" s="181"/>
      <c r="D1" s="181"/>
      <c r="E1" s="181"/>
      <c r="F1" s="181"/>
      <c r="G1" s="181"/>
      <c r="H1" s="181"/>
      <c r="I1" s="181"/>
      <c r="J1" s="196"/>
      <c r="K1" s="196"/>
      <c r="L1" s="196"/>
      <c r="M1" s="196"/>
      <c r="N1" s="196"/>
      <c r="O1" s="196"/>
      <c r="P1" s="196"/>
      <c r="Q1" s="196"/>
      <c r="R1" s="196"/>
      <c r="S1" s="196"/>
      <c r="T1" s="196"/>
      <c r="U1" s="196"/>
      <c r="V1" s="196"/>
      <c r="W1" s="196"/>
    </row>
    <row r="2" spans="1:23" ht="12" customHeight="1">
      <c r="A2" s="2"/>
      <c r="B2" s="2"/>
      <c r="C2" s="2"/>
      <c r="D2" s="2"/>
      <c r="E2" s="2"/>
      <c r="F2" s="2"/>
      <c r="G2" s="2"/>
      <c r="H2" s="2"/>
      <c r="I2" s="2"/>
      <c r="J2" s="2"/>
      <c r="K2" s="2"/>
      <c r="L2" s="2"/>
      <c r="M2" s="2"/>
      <c r="N2" s="2"/>
      <c r="O2" s="2"/>
      <c r="P2" s="2"/>
      <c r="Q2" s="2"/>
      <c r="R2" s="2"/>
      <c r="S2" s="2"/>
      <c r="T2" s="2"/>
      <c r="U2" s="2"/>
      <c r="V2" s="2"/>
      <c r="W2" s="2"/>
    </row>
    <row r="3" spans="1:23" ht="15">
      <c r="A3" s="2"/>
      <c r="B3" s="22" t="s">
        <v>30</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5">
      <c r="A5" s="2"/>
      <c r="B5" s="2"/>
      <c r="C5" s="141"/>
      <c r="D5" s="2" t="s">
        <v>80</v>
      </c>
      <c r="E5" s="2"/>
      <c r="F5" s="530"/>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5.75" thickBot="1">
      <c r="A7" s="2"/>
      <c r="B7" s="2"/>
      <c r="C7" s="2"/>
      <c r="D7" s="34" t="s">
        <v>81</v>
      </c>
      <c r="E7" s="82"/>
      <c r="F7" s="524">
        <v>2021</v>
      </c>
      <c r="G7" s="82"/>
      <c r="H7" s="2"/>
      <c r="I7" s="82"/>
      <c r="J7" s="82"/>
      <c r="K7" s="34"/>
      <c r="L7" s="34"/>
      <c r="N7" s="82"/>
      <c r="O7" s="34"/>
      <c r="P7" s="34"/>
    </row>
    <row r="8" spans="1:23" ht="12" customHeight="1" thickBot="1">
      <c r="A8" s="2"/>
      <c r="B8" s="2"/>
      <c r="C8" s="2"/>
      <c r="D8" s="82" t="s">
        <v>82</v>
      </c>
      <c r="E8" s="82"/>
      <c r="F8" s="343" t="str">
        <f>Checks!I6</f>
        <v>OK</v>
      </c>
      <c r="G8" s="82"/>
      <c r="H8" s="2"/>
      <c r="I8" s="82"/>
      <c r="J8" s="82"/>
      <c r="K8" s="2"/>
      <c r="L8" s="2"/>
      <c r="N8" s="82"/>
      <c r="O8" s="2"/>
      <c r="P8" s="2"/>
    </row>
    <row r="9" spans="1:23" ht="15">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5">
      <c r="A11" s="82"/>
      <c r="B11" s="82"/>
      <c r="C11" s="82"/>
      <c r="D11" s="82"/>
      <c r="E11" s="82"/>
      <c r="F11" s="82"/>
      <c r="G11" s="82"/>
      <c r="H11" s="82"/>
      <c r="I11" s="82"/>
      <c r="J11" s="82"/>
      <c r="K11" s="82"/>
      <c r="L11" s="82"/>
      <c r="M11" s="82"/>
      <c r="N11" s="82"/>
      <c r="O11" s="82"/>
      <c r="P11" s="82"/>
      <c r="Q11" s="82"/>
      <c r="R11" s="82"/>
      <c r="S11" s="82"/>
      <c r="T11" s="82"/>
      <c r="U11" s="82"/>
      <c r="V11" s="82"/>
      <c r="W11" s="82"/>
    </row>
    <row r="12" spans="1:23" ht="15">
      <c r="A12" s="2"/>
      <c r="B12" s="22" t="s">
        <v>83</v>
      </c>
      <c r="C12" s="22"/>
      <c r="D12" s="22"/>
      <c r="E12" s="22"/>
      <c r="F12" s="22"/>
      <c r="G12" s="22"/>
      <c r="H12" s="22"/>
      <c r="I12" s="22"/>
      <c r="J12" s="22"/>
      <c r="K12" s="22"/>
      <c r="L12" s="22"/>
      <c r="M12" s="22"/>
      <c r="N12" s="22"/>
      <c r="O12" s="22"/>
      <c r="P12" s="22"/>
      <c r="Q12" s="22"/>
      <c r="R12" s="22"/>
      <c r="S12" s="22"/>
      <c r="T12" s="22"/>
      <c r="U12" s="22"/>
      <c r="V12" s="22"/>
      <c r="W12" s="22"/>
    </row>
    <row r="13" spans="1:23" ht="15">
      <c r="A13" s="82"/>
      <c r="B13" s="82"/>
      <c r="C13" s="82"/>
      <c r="D13" s="82"/>
      <c r="E13" s="82"/>
      <c r="F13" s="82"/>
      <c r="H13" s="82"/>
      <c r="I13" s="82"/>
      <c r="J13" s="82"/>
      <c r="K13" s="82"/>
      <c r="L13" s="82"/>
      <c r="M13" s="82"/>
      <c r="N13" s="82"/>
      <c r="O13" s="82"/>
      <c r="P13" s="82"/>
      <c r="Q13" s="82"/>
      <c r="R13" s="82"/>
      <c r="S13" s="82"/>
      <c r="T13" s="82"/>
      <c r="U13" s="82"/>
      <c r="V13" s="82"/>
      <c r="W13" s="82"/>
    </row>
    <row r="14" spans="1:23" ht="15">
      <c r="A14" s="82"/>
      <c r="B14" s="82"/>
      <c r="C14" s="82"/>
      <c r="D14" s="82"/>
      <c r="E14" s="182" t="s">
        <v>84</v>
      </c>
      <c r="H14" s="82"/>
      <c r="I14" s="82"/>
      <c r="J14" s="82"/>
      <c r="K14" s="82"/>
      <c r="L14" s="82"/>
      <c r="M14" s="82"/>
      <c r="N14" s="82"/>
      <c r="O14" s="82"/>
      <c r="P14" s="82"/>
      <c r="Q14" s="82"/>
      <c r="R14" s="82"/>
      <c r="S14" s="82"/>
      <c r="T14" s="82"/>
      <c r="U14" s="82"/>
      <c r="V14" s="82"/>
      <c r="W14" s="82"/>
    </row>
    <row r="15" spans="1:23" ht="15">
      <c r="A15" s="82"/>
      <c r="B15" s="82"/>
      <c r="C15" s="82"/>
      <c r="D15" s="82"/>
      <c r="E15" s="381" t="s">
        <v>28</v>
      </c>
      <c r="H15" s="82"/>
      <c r="I15" s="82"/>
      <c r="J15" s="82"/>
      <c r="K15" s="82"/>
      <c r="L15" s="82"/>
      <c r="M15" s="82"/>
      <c r="N15" s="82"/>
      <c r="O15" s="82"/>
      <c r="P15" s="82"/>
      <c r="Q15" s="82"/>
      <c r="R15" s="82"/>
      <c r="S15" s="82"/>
      <c r="T15" s="82"/>
      <c r="U15" s="82"/>
      <c r="V15" s="82"/>
      <c r="W15" s="82"/>
    </row>
    <row r="16" spans="1:23" ht="15">
      <c r="A16" s="82"/>
      <c r="B16" s="82"/>
      <c r="C16" s="82"/>
      <c r="D16" s="82"/>
      <c r="E16" s="199" t="s">
        <v>31</v>
      </c>
      <c r="H16" s="82"/>
      <c r="I16" s="82"/>
      <c r="J16" s="82"/>
      <c r="K16" s="82"/>
      <c r="L16" s="82"/>
      <c r="M16" s="82"/>
      <c r="N16" s="82"/>
      <c r="O16" s="82"/>
      <c r="P16" s="82"/>
      <c r="Q16" s="82"/>
      <c r="R16" s="82"/>
      <c r="S16" s="82"/>
      <c r="T16" s="82"/>
      <c r="U16" s="82"/>
      <c r="V16" s="82"/>
      <c r="W16" s="82"/>
    </row>
    <row r="17" spans="1:23" ht="15">
      <c r="A17" s="82"/>
      <c r="B17" s="82"/>
      <c r="C17" s="82"/>
      <c r="D17" s="82"/>
      <c r="E17" s="199" t="s">
        <v>34</v>
      </c>
      <c r="H17" s="82"/>
      <c r="I17" s="82"/>
      <c r="J17" s="82"/>
      <c r="K17" s="82"/>
      <c r="L17" s="82"/>
      <c r="M17" s="82"/>
      <c r="N17" s="82"/>
      <c r="O17" s="82"/>
      <c r="P17" s="82"/>
      <c r="Q17" s="82"/>
      <c r="R17" s="82"/>
      <c r="S17" s="82"/>
      <c r="T17" s="82"/>
      <c r="U17" s="82"/>
      <c r="V17" s="82"/>
      <c r="W17" s="82"/>
    </row>
    <row r="18" spans="1:23" ht="15">
      <c r="A18" s="82"/>
      <c r="B18" s="82"/>
      <c r="C18" s="82"/>
      <c r="D18" s="82"/>
      <c r="E18" s="199" t="s">
        <v>35</v>
      </c>
      <c r="H18" s="82"/>
      <c r="I18" s="82"/>
      <c r="J18" s="82"/>
      <c r="K18" s="82"/>
      <c r="L18" s="82"/>
      <c r="M18" s="82"/>
      <c r="N18" s="82"/>
      <c r="O18" s="82"/>
      <c r="P18" s="82"/>
      <c r="Q18" s="82"/>
      <c r="R18" s="82"/>
      <c r="S18" s="82"/>
      <c r="T18" s="82"/>
      <c r="U18" s="82"/>
      <c r="V18" s="82"/>
      <c r="W18" s="82"/>
    </row>
    <row r="19" spans="1:23" ht="15">
      <c r="A19" s="82"/>
      <c r="B19" s="82"/>
      <c r="C19" s="82"/>
      <c r="D19" s="82"/>
      <c r="E19" s="199" t="s">
        <v>37</v>
      </c>
      <c r="H19" s="82"/>
      <c r="I19" s="82"/>
      <c r="J19" s="82"/>
      <c r="K19" s="82"/>
      <c r="L19" s="82"/>
      <c r="M19" s="82"/>
      <c r="N19" s="82"/>
      <c r="O19" s="82"/>
      <c r="P19" s="82"/>
      <c r="Q19" s="82"/>
      <c r="R19" s="82"/>
      <c r="S19" s="82"/>
      <c r="T19" s="82"/>
      <c r="U19" s="82"/>
      <c r="V19" s="82"/>
      <c r="W19" s="82"/>
    </row>
    <row r="20" spans="1:23" ht="15">
      <c r="A20" s="82"/>
      <c r="B20" s="82"/>
      <c r="C20" s="82"/>
      <c r="D20" s="82"/>
      <c r="E20" s="199" t="s">
        <v>39</v>
      </c>
      <c r="H20" s="82"/>
      <c r="I20" s="82"/>
      <c r="J20" s="82"/>
      <c r="K20" s="82"/>
      <c r="L20" s="82"/>
      <c r="M20" s="82"/>
      <c r="N20" s="82"/>
      <c r="O20" s="82"/>
      <c r="P20" s="82"/>
      <c r="Q20" s="82"/>
      <c r="R20" s="82"/>
      <c r="S20" s="82"/>
      <c r="T20" s="82"/>
      <c r="U20" s="82"/>
      <c r="V20" s="82"/>
      <c r="W20" s="82"/>
    </row>
    <row r="21" spans="1:23" ht="15">
      <c r="A21" s="82"/>
      <c r="B21" s="82"/>
      <c r="C21" s="82"/>
      <c r="D21" s="82"/>
      <c r="E21" s="199" t="s">
        <v>42</v>
      </c>
      <c r="H21" s="82"/>
      <c r="I21" s="82"/>
      <c r="J21" s="82"/>
      <c r="K21" s="82"/>
      <c r="L21" s="82"/>
      <c r="M21" s="82"/>
      <c r="N21" s="82"/>
      <c r="O21" s="82"/>
      <c r="P21" s="82"/>
      <c r="Q21" s="82"/>
      <c r="R21" s="82"/>
      <c r="S21" s="82"/>
      <c r="T21" s="82"/>
      <c r="U21" s="82"/>
      <c r="V21" s="82"/>
      <c r="W21" s="82"/>
    </row>
    <row r="22" spans="1:23" ht="15">
      <c r="A22" s="82"/>
      <c r="B22" s="82"/>
      <c r="C22" s="82"/>
      <c r="D22" s="82"/>
      <c r="E22" s="199" t="s">
        <v>45</v>
      </c>
      <c r="H22" s="82"/>
      <c r="I22" s="82"/>
      <c r="J22" s="82"/>
      <c r="K22" s="82"/>
      <c r="L22" s="82"/>
      <c r="M22" s="82"/>
      <c r="N22" s="82"/>
      <c r="O22" s="82"/>
      <c r="P22" s="82"/>
      <c r="Q22" s="82"/>
      <c r="R22" s="82"/>
      <c r="S22" s="82"/>
      <c r="T22" s="82"/>
      <c r="U22" s="82"/>
      <c r="V22" s="82"/>
      <c r="W22" s="82"/>
    </row>
    <row r="23" spans="1:23" ht="15">
      <c r="A23" s="82"/>
      <c r="B23" s="82"/>
      <c r="C23" s="82"/>
      <c r="D23" s="82"/>
      <c r="E23" s="199" t="s">
        <v>46</v>
      </c>
      <c r="H23" s="82"/>
      <c r="I23" s="82"/>
      <c r="J23" s="82"/>
      <c r="K23" s="82"/>
      <c r="L23" s="82"/>
      <c r="M23" s="82"/>
      <c r="N23" s="82"/>
      <c r="O23" s="82"/>
      <c r="P23" s="82"/>
      <c r="Q23" s="82"/>
      <c r="R23" s="82"/>
      <c r="S23" s="82"/>
      <c r="T23" s="82"/>
      <c r="U23" s="82"/>
      <c r="V23" s="82"/>
      <c r="W23" s="82"/>
    </row>
    <row r="24" spans="1:23" ht="15">
      <c r="A24" s="82"/>
      <c r="B24" s="82"/>
      <c r="C24" s="82"/>
      <c r="D24" s="82"/>
      <c r="E24" s="199" t="s">
        <v>48</v>
      </c>
      <c r="H24" s="82"/>
      <c r="I24" s="82"/>
      <c r="J24" s="82"/>
      <c r="K24" s="82"/>
      <c r="L24" s="82"/>
      <c r="M24" s="82"/>
      <c r="N24" s="82"/>
      <c r="O24" s="82"/>
      <c r="P24" s="82"/>
      <c r="Q24" s="82"/>
      <c r="R24" s="82"/>
      <c r="S24" s="82"/>
      <c r="T24" s="82"/>
      <c r="U24" s="82"/>
      <c r="V24" s="82"/>
      <c r="W24" s="82"/>
    </row>
    <row r="25" spans="1:23" ht="15">
      <c r="A25" s="82"/>
      <c r="B25" s="82"/>
      <c r="C25" s="82"/>
      <c r="D25" s="82"/>
      <c r="E25" s="199" t="s">
        <v>51</v>
      </c>
      <c r="H25" s="82"/>
      <c r="I25" s="82"/>
      <c r="J25" s="82"/>
      <c r="K25" s="82"/>
      <c r="L25" s="82"/>
      <c r="M25" s="82"/>
      <c r="N25" s="82"/>
      <c r="O25" s="82"/>
      <c r="P25" s="82"/>
      <c r="Q25" s="82"/>
      <c r="R25" s="82"/>
      <c r="S25" s="82"/>
      <c r="T25" s="82"/>
      <c r="U25" s="82"/>
      <c r="V25" s="82"/>
      <c r="W25" s="82"/>
    </row>
    <row r="26" spans="1:23" ht="15">
      <c r="A26" s="82"/>
      <c r="B26" s="82"/>
      <c r="C26" s="82"/>
      <c r="D26" s="82"/>
      <c r="E26" s="199" t="s">
        <v>54</v>
      </c>
      <c r="H26" s="82"/>
      <c r="I26" s="82"/>
      <c r="J26" s="82"/>
      <c r="K26" s="82"/>
      <c r="L26" s="82"/>
      <c r="M26" s="82"/>
      <c r="N26" s="82"/>
      <c r="O26" s="82"/>
      <c r="P26" s="82"/>
      <c r="Q26" s="82"/>
      <c r="R26" s="82"/>
      <c r="S26" s="82"/>
      <c r="T26" s="82"/>
      <c r="U26" s="82"/>
      <c r="V26" s="82"/>
      <c r="W26" s="82"/>
    </row>
    <row r="27" spans="1:23" ht="15">
      <c r="A27" s="82"/>
      <c r="B27" s="82"/>
      <c r="C27" s="82"/>
      <c r="D27" s="82"/>
      <c r="E27" s="199" t="s">
        <v>57</v>
      </c>
      <c r="H27" s="82"/>
      <c r="I27" s="82"/>
      <c r="J27" s="82"/>
      <c r="K27" s="82"/>
      <c r="L27" s="82"/>
      <c r="M27" s="82"/>
      <c r="N27" s="82"/>
      <c r="O27" s="82"/>
      <c r="P27" s="82"/>
      <c r="Q27" s="82"/>
      <c r="R27" s="82"/>
      <c r="S27" s="82"/>
      <c r="T27" s="82"/>
      <c r="U27" s="82"/>
      <c r="V27" s="82"/>
      <c r="W27" s="82"/>
    </row>
    <row r="28" spans="1:23" ht="15">
      <c r="A28" s="82"/>
      <c r="B28" s="82"/>
      <c r="C28" s="82"/>
      <c r="D28" s="82"/>
      <c r="E28" s="198" t="s">
        <v>60</v>
      </c>
      <c r="H28" s="82"/>
      <c r="I28" s="82"/>
      <c r="J28" s="82"/>
      <c r="K28" s="82"/>
      <c r="L28" s="82"/>
      <c r="M28" s="82"/>
      <c r="N28" s="82"/>
      <c r="O28" s="82"/>
      <c r="P28" s="82"/>
      <c r="Q28" s="82"/>
      <c r="R28" s="82"/>
      <c r="S28" s="82"/>
      <c r="T28" s="82"/>
      <c r="U28" s="82"/>
      <c r="V28" s="82"/>
      <c r="W28" s="82"/>
    </row>
    <row r="29" spans="1:23" ht="15">
      <c r="A29" s="82"/>
      <c r="B29" s="82"/>
      <c r="C29" s="82"/>
      <c r="D29" s="82"/>
      <c r="E29" s="200">
        <v>2</v>
      </c>
      <c r="F29" s="76" t="s">
        <v>85</v>
      </c>
      <c r="G29" s="82"/>
      <c r="H29" s="82"/>
      <c r="I29" s="82"/>
      <c r="J29" s="82"/>
      <c r="K29" s="82"/>
      <c r="L29" s="82"/>
      <c r="M29" s="82"/>
      <c r="N29" s="82"/>
      <c r="O29" s="82"/>
      <c r="P29" s="82"/>
      <c r="Q29" s="82"/>
      <c r="R29" s="82"/>
      <c r="S29" s="82"/>
      <c r="T29" s="82"/>
      <c r="U29" s="82"/>
      <c r="V29" s="82"/>
      <c r="W29" s="82"/>
    </row>
    <row r="30" spans="1:23" ht="15">
      <c r="A30" s="82"/>
      <c r="B30" s="82"/>
      <c r="C30" s="82"/>
      <c r="D30" s="82"/>
      <c r="E30" s="200" t="str" cm="1">
        <f t="array" ref="E30">INDEX(E15:E28,m_identity)</f>
        <v>NPgN</v>
      </c>
      <c r="F30" s="76" t="s">
        <v>86</v>
      </c>
      <c r="G30" s="82"/>
      <c r="H30" s="82"/>
      <c r="I30" s="82"/>
      <c r="J30" s="82"/>
      <c r="K30" s="82"/>
      <c r="L30" s="82"/>
      <c r="M30" s="82"/>
      <c r="N30" s="82"/>
      <c r="O30" s="82"/>
      <c r="P30" s="82"/>
      <c r="Q30" s="82"/>
      <c r="R30" s="82"/>
      <c r="S30" s="82"/>
      <c r="T30" s="82"/>
      <c r="U30" s="82"/>
      <c r="V30" s="82"/>
      <c r="W30" s="82"/>
    </row>
    <row r="31" spans="1:23" ht="15">
      <c r="A31" s="82"/>
      <c r="B31" s="82"/>
      <c r="C31" s="82"/>
      <c r="D31" s="82"/>
      <c r="E31" s="200">
        <f>INDEX(F15:F28,MATCH(n_identity,E15:E28,0))</f>
        <v>0</v>
      </c>
      <c r="F31" s="76" t="s">
        <v>87</v>
      </c>
      <c r="G31" s="82"/>
      <c r="H31" s="82"/>
      <c r="I31" s="82"/>
      <c r="J31" s="82"/>
      <c r="K31" s="82"/>
      <c r="L31" s="82"/>
      <c r="M31" s="82"/>
      <c r="N31" s="82"/>
      <c r="O31" s="82"/>
      <c r="P31" s="82"/>
      <c r="Q31" s="82"/>
      <c r="R31" s="82"/>
      <c r="S31" s="82"/>
      <c r="T31" s="82"/>
      <c r="U31" s="82"/>
      <c r="V31" s="82"/>
      <c r="W31" s="82"/>
    </row>
    <row r="32" spans="1:23" ht="15">
      <c r="A32" s="82"/>
      <c r="B32" s="82"/>
      <c r="C32" s="82"/>
      <c r="D32" s="82"/>
      <c r="E32" s="82"/>
      <c r="F32" s="82"/>
      <c r="G32" s="82"/>
      <c r="H32" s="82"/>
      <c r="I32" s="82"/>
      <c r="J32" s="82"/>
      <c r="K32" s="82"/>
      <c r="L32" s="82"/>
      <c r="M32" s="82"/>
      <c r="N32" s="82"/>
      <c r="O32" s="82"/>
      <c r="P32" s="82"/>
      <c r="Q32" s="82"/>
      <c r="R32" s="82"/>
      <c r="S32" s="82"/>
      <c r="T32" s="82"/>
      <c r="U32" s="82"/>
      <c r="V32" s="82"/>
      <c r="W32" s="82"/>
    </row>
    <row r="33" spans="1:23" ht="15">
      <c r="A33" s="82"/>
      <c r="B33" s="82"/>
      <c r="C33" s="82"/>
      <c r="D33" s="82"/>
      <c r="E33" s="82"/>
      <c r="F33" s="82"/>
      <c r="G33" s="82"/>
      <c r="H33" s="82"/>
      <c r="I33" s="82"/>
      <c r="J33" s="82"/>
      <c r="K33" s="82"/>
      <c r="L33" s="82"/>
      <c r="M33" s="82"/>
      <c r="N33" s="82"/>
      <c r="O33" s="82"/>
      <c r="P33" s="82"/>
      <c r="Q33" s="82"/>
      <c r="R33" s="82"/>
      <c r="S33" s="82"/>
      <c r="T33" s="82"/>
      <c r="U33" s="82"/>
      <c r="V33" s="82"/>
      <c r="W33" s="82"/>
    </row>
    <row r="34" spans="1:23" ht="15">
      <c r="A34" s="2"/>
      <c r="B34" s="22" t="s">
        <v>79</v>
      </c>
      <c r="C34" s="22"/>
      <c r="D34" s="22"/>
      <c r="E34" s="22"/>
      <c r="F34" s="22"/>
      <c r="G34" s="22"/>
      <c r="H34" s="22"/>
      <c r="I34" s="22"/>
      <c r="J34" s="22"/>
      <c r="K34" s="22"/>
      <c r="L34" s="22"/>
      <c r="M34" s="22"/>
      <c r="N34" s="22"/>
      <c r="O34" s="22"/>
      <c r="P34" s="22"/>
      <c r="Q34" s="22"/>
      <c r="R34" s="22"/>
      <c r="S34" s="22"/>
      <c r="T34" s="22"/>
      <c r="U34" s="22"/>
      <c r="V34" s="22"/>
      <c r="W34" s="22"/>
    </row>
    <row r="35" spans="1:23" ht="15">
      <c r="A35" s="82"/>
      <c r="B35" s="82"/>
      <c r="C35" s="82"/>
      <c r="D35" s="82"/>
      <c r="E35" s="82"/>
      <c r="F35" s="82"/>
      <c r="G35" s="82"/>
      <c r="H35" s="82"/>
      <c r="I35" s="82"/>
      <c r="J35" s="82"/>
      <c r="K35" s="82"/>
      <c r="L35" s="82"/>
      <c r="M35" s="82"/>
      <c r="N35" s="82"/>
      <c r="O35" s="82"/>
      <c r="P35" s="82"/>
      <c r="Q35" s="82"/>
      <c r="R35" s="82"/>
      <c r="S35" s="82"/>
      <c r="T35" s="82"/>
      <c r="U35" s="82"/>
      <c r="V35" s="82"/>
      <c r="W35" s="82"/>
    </row>
    <row r="36" spans="1:23" ht="15">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150"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673"/>
  <sheetViews>
    <sheetView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22180"/>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22180"/>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22180"/>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1" width="2.62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5" t="s">
        <v>88</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90</v>
      </c>
      <c r="AL1" s="282">
        <f>m_baseyear</f>
        <v>2021</v>
      </c>
      <c r="AM1" s="283"/>
      <c r="AN1" s="171"/>
      <c r="AO1" s="170"/>
      <c r="AP1" s="170"/>
      <c r="AQ1" s="16"/>
      <c r="AR1" s="171"/>
      <c r="AS1" s="171"/>
      <c r="AT1" s="181"/>
      <c r="AU1" s="181"/>
      <c r="AV1" s="181"/>
      <c r="AW1" s="181"/>
      <c r="AX1" s="181"/>
    </row>
    <row r="2" spans="1:50"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529">
        <f>m_identity</f>
        <v>2</v>
      </c>
      <c r="C3" s="181"/>
      <c r="D3" s="181"/>
      <c r="E3" s="179" t="s">
        <v>91</v>
      </c>
      <c r="F3" s="179" t="s">
        <v>92</v>
      </c>
      <c r="G3" s="179" t="s">
        <v>93</v>
      </c>
      <c r="H3" s="179" t="s">
        <v>94</v>
      </c>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c r="AX3" s="181"/>
    </row>
    <row r="4" spans="1:50" ht="15">
      <c r="A4" s="203"/>
      <c r="B4" s="203"/>
      <c r="C4" s="203"/>
      <c r="D4" s="203"/>
      <c r="E4" s="203" t="s">
        <v>97</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99</v>
      </c>
      <c r="F8" s="7"/>
      <c r="G8" s="7" t="s">
        <v>100</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5">
        <f>'Annual Inflation'!AQ32</f>
        <v>1.1939376770538244</v>
      </c>
      <c r="AR8" s="92">
        <f>'Annual Inflation'!AR32</f>
        <v>1.2891506141768156</v>
      </c>
      <c r="AS8" s="92">
        <f>'Annual Inflation'!AS32</f>
        <v>1.3284361388165782</v>
      </c>
      <c r="AT8" s="92">
        <f>'Annual Inflation'!AT32</f>
        <v>1.3511547218960771</v>
      </c>
      <c r="AU8" s="92">
        <f>'Annual Inflation'!AU32</f>
        <v>1.3719916643626167</v>
      </c>
      <c r="AV8" s="92">
        <f>'Annual Inflation'!AV32</f>
        <v>1.3966351746111914</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101</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102</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103</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104</v>
      </c>
      <c r="F15" s="82"/>
      <c r="G15" s="82" t="s">
        <v>105</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f>CHOOSE($B$3,ENWL!AR15,NPgN!AR15,NPgY!AR15,WMID!AR15,EMID!AR15,SWALES!AR15,SWEST!AR15,LPN!AR15,SPN!AR15,EPN!AR15,SPD!AR15,SPMW!AR15,SSEH!AR15,SSES!AR15)</f>
        <v>17.89</v>
      </c>
      <c r="AS15" s="528">
        <f>CHOOSE($B$3,ENWL!AS15,NPgN!AS15,NPgY!AS15,WMID!AS15,EMID!AS15,SWALES!AS15,SWEST!AS15,LPN!AS15,SPN!AS15,EPN!AS15,SPD!AS15,SPMW!AS15,SSEH!AS15,SSES!AS15)</f>
        <v>19.670000000000002</v>
      </c>
      <c r="AT15" s="528">
        <f>CHOOSE($B$3,ENWL!AT15,NPgN!AT15,NPgY!AT15,WMID!AT15,EMID!AT15,SWALES!AT15,SWEST!AT15,LPN!AT15,SPN!AT15,EPN!AT15,SPD!AT15,SPMW!AT15,SSEH!AT15,SSES!AT15)</f>
        <v>13.05</v>
      </c>
      <c r="AU15" s="528">
        <f>CHOOSE($B$3,ENWL!AU15,NPgN!AU15,NPgY!AU15,WMID!AU15,EMID!AU15,SWALES!AU15,SWEST!AU15,LPN!AU15,SPN!AU15,EPN!AU15,SPD!AU15,SPMW!AU15,SSEH!AU15,SSES!AU15)</f>
        <v>15.39</v>
      </c>
      <c r="AV15" s="528">
        <f>CHOOSE($B$3,ENWL!AV15,NPgN!AV15,NPgY!AV15,WMID!AV15,EMID!AV15,SWALES!AV15,SWEST!AV15,LPN!AV15,SPN!AV15,EPN!AV15,SPD!AV15,SPMW!AV15,SSEH!AV15,SSES!AV15)</f>
        <v>13.06</v>
      </c>
      <c r="AW15" s="184"/>
    </row>
    <row r="16" spans="1:50" ht="15">
      <c r="A16" s="82"/>
      <c r="B16" s="82"/>
      <c r="C16" s="82"/>
      <c r="D16" s="82"/>
      <c r="E16" s="13" t="s">
        <v>106</v>
      </c>
      <c r="F16" s="82"/>
      <c r="G16" s="82" t="s">
        <v>105</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f>CHOOSE($B$3,ENWL!AR16,NPgN!AR16,NPgY!AR16,WMID!AR16,EMID!AR16,SWALES!AR16,SWEST!AR16,LPN!AR16,SPN!AR16,EPN!AR16,SPD!AR16,SPMW!AR16,SSEH!AR16,SSES!AR16)</f>
        <v>32.18</v>
      </c>
      <c r="AS16" s="528">
        <f>CHOOSE($B$3,ENWL!AS16,NPgN!AS16,NPgY!AS16,WMID!AS16,EMID!AS16,SWALES!AS16,SWEST!AS16,LPN!AS16,SPN!AS16,EPN!AS16,SPD!AS16,SPMW!AS16,SSEH!AS16,SSES!AS16)</f>
        <v>34.229999999999997</v>
      </c>
      <c r="AT16" s="528">
        <f>CHOOSE($B$3,ENWL!AT16,NPgN!AT16,NPgY!AT16,WMID!AT16,EMID!AT16,SWALES!AT16,SWEST!AT16,LPN!AT16,SPN!AT16,EPN!AT16,SPD!AT16,SPMW!AT16,SSEH!AT16,SSES!AT16)</f>
        <v>35.53</v>
      </c>
      <c r="AU16" s="528">
        <f>CHOOSE($B$3,ENWL!AU16,NPgN!AU16,NPgY!AU16,WMID!AU16,EMID!AU16,SWALES!AU16,SWEST!AU16,LPN!AU16,SPN!AU16,EPN!AU16,SPD!AU16,SPMW!AU16,SSEH!AU16,SSES!AU16)</f>
        <v>38.090000000000003</v>
      </c>
      <c r="AV16" s="528">
        <f>CHOOSE($B$3,ENWL!AV16,NPgN!AV16,NPgY!AV16,WMID!AV16,EMID!AV16,SWALES!AV16,SWEST!AV16,LPN!AV16,SPN!AV16,EPN!AV16,SPD!AV16,SPMW!AV16,SSEH!AV16,SSES!AV16)</f>
        <v>38.51</v>
      </c>
      <c r="AW16" s="184"/>
    </row>
    <row r="17" spans="1:50" ht="15">
      <c r="A17" s="82"/>
      <c r="B17" s="82"/>
      <c r="C17" s="82"/>
      <c r="D17" s="82"/>
      <c r="E17" s="13" t="s">
        <v>107</v>
      </c>
      <c r="F17" s="82"/>
      <c r="G17" s="82" t="s">
        <v>105</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f>CHOOSE($B$3,ENWL!AR17,NPgN!AR17,NPgY!AR17,WMID!AR17,EMID!AR17,SWALES!AR17,SWEST!AR17,LPN!AR17,SPN!AR17,EPN!AR17,SPD!AR17,SPMW!AR17,SSEH!AR17,SSES!AR17)</f>
        <v>18.34</v>
      </c>
      <c r="AS17" s="528">
        <f>CHOOSE($B$3,ENWL!AS17,NPgN!AS17,NPgY!AS17,WMID!AS17,EMID!AS17,SWALES!AS17,SWEST!AS17,LPN!AS17,SPN!AS17,EPN!AS17,SPD!AS17,SPMW!AS17,SSEH!AS17,SSES!AS17)</f>
        <v>20.21</v>
      </c>
      <c r="AT17" s="528">
        <f>CHOOSE($B$3,ENWL!AT17,NPgN!AT17,NPgY!AT17,WMID!AT17,EMID!AT17,SWALES!AT17,SWEST!AT17,LPN!AT17,SPN!AT17,EPN!AT17,SPD!AT17,SPMW!AT17,SSEH!AT17,SSES!AT17)</f>
        <v>18.8</v>
      </c>
      <c r="AU17" s="528">
        <f>CHOOSE($B$3,ENWL!AU17,NPgN!AU17,NPgY!AU17,WMID!AU17,EMID!AU17,SWALES!AU17,SWEST!AU17,LPN!AU17,SPN!AU17,EPN!AU17,SPD!AU17,SPMW!AU17,SSEH!AU17,SSES!AU17)</f>
        <v>20.56</v>
      </c>
      <c r="AV17" s="528">
        <f>CHOOSE($B$3,ENWL!AV17,NPgN!AV17,NPgY!AV17,WMID!AV17,EMID!AV17,SWALES!AV17,SWEST!AV17,LPN!AV17,SPN!AV17,EPN!AV17,SPD!AV17,SPMW!AV17,SSEH!AV17,SSES!AV17)</f>
        <v>20.3</v>
      </c>
      <c r="AW17" s="184"/>
    </row>
    <row r="18" spans="1:50" ht="15">
      <c r="A18" s="82"/>
      <c r="B18" s="82"/>
      <c r="C18" s="82"/>
      <c r="D18" s="82"/>
      <c r="E18" s="13" t="s">
        <v>108</v>
      </c>
      <c r="F18" s="82"/>
      <c r="G18" s="82" t="s">
        <v>105</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f>CHOOSE($B$3,ENWL!AR18,NPgN!AR18,NPgY!AR18,WMID!AR18,EMID!AR18,SWALES!AR18,SWEST!AR18,LPN!AR18,SPN!AR18,EPN!AR18,SPD!AR18,SPMW!AR18,SSEH!AR18,SSES!AR18)</f>
        <v>23.9</v>
      </c>
      <c r="AS18" s="528">
        <f>CHOOSE($B$3,ENWL!AS18,NPgN!AS18,NPgY!AS18,WMID!AS18,EMID!AS18,SWALES!AS18,SWEST!AS18,LPN!AS18,SPN!AS18,EPN!AS18,SPD!AS18,SPMW!AS18,SSEH!AS18,SSES!AS18)</f>
        <v>23.98</v>
      </c>
      <c r="AT18" s="528">
        <f>CHOOSE($B$3,ENWL!AT18,NPgN!AT18,NPgY!AT18,WMID!AT18,EMID!AT18,SWALES!AT18,SWEST!AT18,LPN!AT18,SPN!AT18,EPN!AT18,SPD!AT18,SPMW!AT18,SSEH!AT18,SSES!AT18)</f>
        <v>23.91</v>
      </c>
      <c r="AU18" s="528">
        <f>CHOOSE($B$3,ENWL!AU18,NPgN!AU18,NPgY!AU18,WMID!AU18,EMID!AU18,SWALES!AU18,SWEST!AU18,LPN!AU18,SPN!AU18,EPN!AU18,SPD!AU18,SPMW!AU18,SSEH!AU18,SSES!AU18)</f>
        <v>24.35</v>
      </c>
      <c r="AV18" s="528">
        <f>CHOOSE($B$3,ENWL!AV18,NPgN!AV18,NPgY!AV18,WMID!AV18,EMID!AV18,SWALES!AV18,SWEST!AV18,LPN!AV18,SPN!AV18,EPN!AV18,SPD!AV18,SPMW!AV18,SSEH!AV18,SSES!AV18)</f>
        <v>23.98</v>
      </c>
      <c r="AW18" s="184"/>
    </row>
    <row r="19" spans="1:50" ht="15">
      <c r="A19" s="82"/>
      <c r="B19" s="82"/>
      <c r="C19" s="82"/>
      <c r="D19" s="82"/>
      <c r="E19" s="13" t="s">
        <v>109</v>
      </c>
      <c r="F19" s="82"/>
      <c r="G19" s="82" t="s">
        <v>105</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f>CHOOSE($B$3,ENWL!AR19,NPgN!AR19,NPgY!AR19,WMID!AR19,EMID!AR19,SWALES!AR19,SWEST!AR19,LPN!AR19,SPN!AR19,EPN!AR19,SPD!AR19,SPMW!AR19,SSEH!AR19,SSES!AR19)</f>
        <v>3.98</v>
      </c>
      <c r="AS19" s="528">
        <f>CHOOSE($B$3,ENWL!AS19,NPgN!AS19,NPgY!AS19,WMID!AS19,EMID!AS19,SWALES!AS19,SWEST!AS19,LPN!AS19,SPN!AS19,EPN!AS19,SPD!AS19,SPMW!AS19,SSEH!AS19,SSES!AS19)</f>
        <v>3.51</v>
      </c>
      <c r="AT19" s="528">
        <f>CHOOSE($B$3,ENWL!AT19,NPgN!AT19,NPgY!AT19,WMID!AT19,EMID!AT19,SWALES!AT19,SWEST!AT19,LPN!AT19,SPN!AT19,EPN!AT19,SPD!AT19,SPMW!AT19,SSEH!AT19,SSES!AT19)</f>
        <v>3.5</v>
      </c>
      <c r="AU19" s="528">
        <f>CHOOSE($B$3,ENWL!AU19,NPgN!AU19,NPgY!AU19,WMID!AU19,EMID!AU19,SWALES!AU19,SWEST!AU19,LPN!AU19,SPN!AU19,EPN!AU19,SPD!AU19,SPMW!AU19,SSEH!AU19,SSES!AU19)</f>
        <v>3.85</v>
      </c>
      <c r="AV19" s="528">
        <f>CHOOSE($B$3,ENWL!AV19,NPgN!AV19,NPgY!AV19,WMID!AV19,EMID!AV19,SWALES!AV19,SWEST!AV19,LPN!AV19,SPN!AV19,EPN!AV19,SPD!AV19,SPMW!AV19,SSEH!AV19,SSES!AV19)</f>
        <v>3.48</v>
      </c>
      <c r="AW19" s="184"/>
    </row>
    <row r="20" spans="1:50" ht="15">
      <c r="A20" s="82"/>
      <c r="B20" s="82"/>
      <c r="C20" s="82"/>
      <c r="D20" s="82"/>
      <c r="E20" s="13" t="s">
        <v>110</v>
      </c>
      <c r="F20" s="82"/>
      <c r="G20" s="82" t="s">
        <v>105</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f>CHOOSE($B$3,ENWL!AR20,NPgN!AR20,NPgY!AR20,WMID!AR20,EMID!AR20,SWALES!AR20,SWEST!AR20,LPN!AR20,SPN!AR20,EPN!AR20,SPD!AR20,SPMW!AR20,SSEH!AR20,SSES!AR20)</f>
        <v>6.22</v>
      </c>
      <c r="AS20" s="528">
        <f>CHOOSE($B$3,ENWL!AS20,NPgN!AS20,NPgY!AS20,WMID!AS20,EMID!AS20,SWALES!AS20,SWEST!AS20,LPN!AS20,SPN!AS20,EPN!AS20,SPD!AS20,SPMW!AS20,SSEH!AS20,SSES!AS20)</f>
        <v>6.23</v>
      </c>
      <c r="AT20" s="528">
        <f>CHOOSE($B$3,ENWL!AT20,NPgN!AT20,NPgY!AT20,WMID!AT20,EMID!AT20,SWALES!AT20,SWEST!AT20,LPN!AT20,SPN!AT20,EPN!AT20,SPD!AT20,SPMW!AT20,SSEH!AT20,SSES!AT20)</f>
        <v>6.1</v>
      </c>
      <c r="AU20" s="528">
        <f>CHOOSE($B$3,ENWL!AU20,NPgN!AU20,NPgY!AU20,WMID!AU20,EMID!AU20,SWALES!AU20,SWEST!AU20,LPN!AU20,SPN!AU20,EPN!AU20,SPD!AU20,SPMW!AU20,SSEH!AU20,SSES!AU20)</f>
        <v>6.15</v>
      </c>
      <c r="AV20" s="528">
        <f>CHOOSE($B$3,ENWL!AV20,NPgN!AV20,NPgY!AV20,WMID!AV20,EMID!AV20,SWALES!AV20,SWEST!AV20,LPN!AV20,SPN!AV20,EPN!AV20,SPD!AV20,SPMW!AV20,SSEH!AV20,SSES!AV20)</f>
        <v>6.03</v>
      </c>
      <c r="AW20" s="184"/>
    </row>
    <row r="21" spans="1:50" ht="15">
      <c r="A21" s="82"/>
      <c r="B21" s="82"/>
      <c r="C21" s="82"/>
      <c r="D21" s="82"/>
      <c r="E21" s="13" t="s">
        <v>111</v>
      </c>
      <c r="F21" s="82"/>
      <c r="G21" s="82" t="s">
        <v>105</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f>CHOOSE($B$3,ENWL!AR21,NPgN!AR21,NPgY!AR21,WMID!AR21,EMID!AR21,SWALES!AR21,SWEST!AR21,LPN!AR21,SPN!AR21,EPN!AR21,SPD!AR21,SPMW!AR21,SSEH!AR21,SSES!AR21)</f>
        <v>71.31</v>
      </c>
      <c r="AS21" s="528">
        <f>CHOOSE($B$3,ENWL!AS21,NPgN!AS21,NPgY!AS21,WMID!AS21,EMID!AS21,SWALES!AS21,SWEST!AS21,LPN!AS21,SPN!AS21,EPN!AS21,SPD!AS21,SPMW!AS21,SSEH!AS21,SSES!AS21)</f>
        <v>71.17</v>
      </c>
      <c r="AT21" s="528">
        <f>CHOOSE($B$3,ENWL!AT21,NPgN!AT21,NPgY!AT21,WMID!AT21,EMID!AT21,SWALES!AT21,SWEST!AT21,LPN!AT21,SPN!AT21,EPN!AT21,SPD!AT21,SPMW!AT21,SSEH!AT21,SSES!AT21)</f>
        <v>69.37</v>
      </c>
      <c r="AU21" s="528">
        <f>CHOOSE($B$3,ENWL!AU21,NPgN!AU21,NPgY!AU21,WMID!AU21,EMID!AU21,SWALES!AU21,SWEST!AU21,LPN!AU21,SPN!AU21,EPN!AU21,SPD!AU21,SPMW!AU21,SSEH!AU21,SSES!AU21)</f>
        <v>69.37</v>
      </c>
      <c r="AV21" s="528">
        <f>CHOOSE($B$3,ENWL!AV21,NPgN!AV21,NPgY!AV21,WMID!AV21,EMID!AV21,SWALES!AV21,SWEST!AV21,LPN!AV21,SPN!AV21,EPN!AV21,SPD!AV21,SPMW!AV21,SSEH!AV21,SSES!AV21)</f>
        <v>67.930000000000007</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112</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tr">
        <f>CHOOSE($B$3,ENWL!E24,NPgN!E24,NPgY!E24,WMID!E24,EMID!E24,SWALES!E24,SWEST!E24,LPN!E24,SPN!E24,EPN!E24,SPD!E24,SPMW!E24,SSEH!E24,SSES!E24)</f>
        <v>RPEs (bucket 1 allowances)</v>
      </c>
      <c r="F24" s="82"/>
      <c r="G24" s="82" t="s">
        <v>105</v>
      </c>
      <c r="H24" s="82" t="str">
        <f>CHOOSE($B$3,ENWL!H24,NPgN!H24,NPgY!H24,WMID!H24,EMID!H24,SWALES!H24,SWEST!H24,LPN!H24,SPN!H24,EPN!H24,SPD!H24,SPMW!H24,SSEH!H24,SSES!H24)</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f>CHOOSE($B$3,ENWL!AR24,NPgN!AR24,NPgY!AR24,WMID!AR24,EMID!AR24,SWALES!AR24,SWEST!AR24,LPN!AR24,SPN!AR24,EPN!AR24,SPD!AR24,SPMW!AR24,SSEH!AR24,SSES!AR24)</f>
        <v>-1.666898999999999</v>
      </c>
      <c r="AS24" s="207">
        <f>CHOOSE($B$3,ENWL!AS24,NPgN!AS24,NPgY!AS24,WMID!AS24,EMID!AS24,SWALES!AS24,SWEST!AS24,LPN!AS24,SPN!AS24,EPN!AS24,SPD!AS24,SPMW!AS24,SSEH!AS24,SSES!AS24)</f>
        <v>0.19241999999997883</v>
      </c>
      <c r="AT24" s="207">
        <f>CHOOSE($B$3,ENWL!AT24,NPgN!AT24,NPgY!AT24,WMID!AT24,EMID!AT24,SWALES!AT24,SWEST!AT24,LPN!AT24,SPN!AT24,EPN!AT24,SPD!AT24,SPMW!AT24,SSEH!AT24,SSES!AT24)</f>
        <v>2.036327999999997</v>
      </c>
      <c r="AU24" s="207">
        <f>CHOOSE($B$3,ENWL!AU24,NPgN!AU24,NPgY!AU24,WMID!AU24,EMID!AU24,SWALES!AU24,SWEST!AU24,LPN!AU24,SPN!AU24,EPN!AU24,SPD!AU24,SPMW!AU24,SSEH!AU24,SSES!AU24)</f>
        <v>4.1616039999999996</v>
      </c>
      <c r="AV24" s="207">
        <f>CHOOSE($B$3,ENWL!AV24,NPgN!AV24,NPgY!AV24,WMID!AV24,EMID!AV24,SWALES!AV24,SWEST!AV24,LPN!AV24,SPN!AV24,EPN!AV24,SPD!AV24,SPMW!AV24,SSEH!AV24,SSES!AV24)</f>
        <v>6.2332199999999922</v>
      </c>
      <c r="AW24" s="184"/>
      <c r="AX24" s="258"/>
    </row>
    <row r="25" spans="1:50" ht="15">
      <c r="A25" s="82"/>
      <c r="B25" s="82"/>
      <c r="C25" s="82"/>
      <c r="D25" s="82"/>
      <c r="E25" s="82" t="str">
        <f>CHOOSE($B$3,ENWL!E25,NPgN!E25,NPgY!E25,WMID!E25,EMID!E25,SWALES!E25,SWEST!E25,LPN!E25,SPN!E25,EPN!E25,SPD!E25,SPMW!E25,SSEH!E25,SSES!E25)</f>
        <v>RPEs (bucket 2 allowances)</v>
      </c>
      <c r="F25" s="82"/>
      <c r="G25" s="82" t="s">
        <v>105</v>
      </c>
      <c r="H25" s="82" t="str">
        <f>CHOOSE($B$3,ENWL!H25,NPgN!H25,NPgY!H25,WMID!H25,EMID!H25,SWALES!H25,SWEST!H25,LPN!H25,SPN!H25,EPN!H25,SPD!H25,SPMW!H25,SSEH!H25,SSES!H25)</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f>CHOOSE($B$3,ENWL!AR25,NPgN!AR25,NPgY!AR25,WMID!AR25,EMID!AR25,SWALES!AR25,SWEST!AR25,LPN!AR25,SPN!AR25,EPN!AR25,SPD!AR25,SPMW!AR25,SSEH!AR25,SSES!AR25)</f>
        <v>-3.3098222389318969E-2</v>
      </c>
      <c r="AS25" s="207">
        <f>CHOOSE($B$3,ENWL!AS25,NPgN!AS25,NPgY!AS25,WMID!AS25,EMID!AS25,SWALES!AS25,SWEST!AS25,LPN!AS25,SPN!AS25,EPN!AS25,SPD!AS25,SPMW!AS25,SSEH!AS25,SSES!AS25)</f>
        <v>1.0433110592683224E-2</v>
      </c>
      <c r="AT25" s="207">
        <f>CHOOSE($B$3,ENWL!AT25,NPgN!AT25,NPgY!AT25,WMID!AT25,EMID!AT25,SWALES!AT25,SWEST!AT25,LPN!AT25,SPN!AT25,EPN!AT25,SPD!AT25,SPMW!AT25,SSEH!AT25,SSES!AT25)</f>
        <v>0.16616877967218457</v>
      </c>
      <c r="AU25" s="207">
        <f>CHOOSE($B$3,ENWL!AU25,NPgN!AU25,NPgY!AU25,WMID!AU25,EMID!AU25,SWALES!AU25,SWEST!AU25,LPN!AU25,SPN!AU25,EPN!AU25,SPD!AU25,SPMW!AU25,SSEH!AU25,SSES!AU25)</f>
        <v>0.27071011374864323</v>
      </c>
      <c r="AV25" s="207">
        <f>CHOOSE($B$3,ENWL!AV25,NPgN!AV25,NPgY!AV25,WMID!AV25,EMID!AV25,SWALES!AV25,SWEST!AV25,LPN!AV25,SPN!AV25,EPN!AV25,SPD!AV25,SPMW!AV25,SSEH!AV25,SSES!AV25)</f>
        <v>0.4222210310171568</v>
      </c>
      <c r="AW25" s="184"/>
      <c r="AX25" s="258"/>
    </row>
    <row r="26" spans="1:50" ht="15">
      <c r="A26" s="82"/>
      <c r="B26" s="82"/>
      <c r="C26" s="82"/>
      <c r="D26" s="82"/>
      <c r="E26" s="82" t="str">
        <f>CHOOSE($B$3,ENWL!E26,NPgN!E26,NPgY!E26,WMID!E26,EMID!E26,SWALES!E26,SWEST!E26,LPN!E26,SPN!E26,EPN!E26,SPD!E26,SPMW!E26,SSEH!E26,SSES!E26)</f>
        <v>Physical Security Re-opener</v>
      </c>
      <c r="F26" s="82"/>
      <c r="G26" s="82" t="s">
        <v>105</v>
      </c>
      <c r="H26" s="82" t="str">
        <f>CHOOSE($B$3,ENWL!H26,NPgN!H26,NPgY!H26,WMID!H26,EMID!H26,SWALES!H26,SWEST!H26,LPN!H26,SPN!H26,EPN!H26,SPD!H26,SPMW!H26,SSEH!H26,SSES!H26)</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f>CHOOSE($B$3,ENWL!AR26,NPgN!AR26,NPgY!AR26,WMID!AR26,EMID!AR26,SWALES!AR26,SWEST!AR26,LPN!AR26,SPN!AR26,EPN!AR26,SPD!AR26,SPMW!AR26,SSEH!AR26,SSES!AR26)</f>
        <v>0</v>
      </c>
      <c r="AS26" s="476">
        <f>CHOOSE($B$3,ENWL!AS26,NPgN!AS26,NPgY!AS26,WMID!AS26,EMID!AS26,SWALES!AS26,SWEST!AS26,LPN!AS26,SPN!AS26,EPN!AS26,SPD!AS26,SPMW!AS26,SSEH!AS26,SSES!AS26)</f>
        <v>0</v>
      </c>
      <c r="AT26" s="476">
        <f>CHOOSE($B$3,ENWL!AT26,NPgN!AT26,NPgY!AT26,WMID!AT26,EMID!AT26,SWALES!AT26,SWEST!AT26,LPN!AT26,SPN!AT26,EPN!AT26,SPD!AT26,SPMW!AT26,SSEH!AT26,SSES!AT26)</f>
        <v>0</v>
      </c>
      <c r="AU26" s="476">
        <f>CHOOSE($B$3,ENWL!AU26,NPgN!AU26,NPgY!AU26,WMID!AU26,EMID!AU26,SWALES!AU26,SWEST!AU26,LPN!AU26,SPN!AU26,EPN!AU26,SPD!AU26,SPMW!AU26,SSEH!AU26,SSES!AU26)</f>
        <v>0</v>
      </c>
      <c r="AV26" s="476">
        <f>CHOOSE($B$3,ENWL!AV26,NPgN!AV26,NPgY!AV26,WMID!AV26,EMID!AV26,SWALES!AV26,SWEST!AV26,LPN!AV26,SPN!AV26,EPN!AV26,SPD!AV26,SPMW!AV26,SSEH!AV26,SSES!AV26)</f>
        <v>0</v>
      </c>
      <c r="AW26" s="184"/>
      <c r="AX26" s="258"/>
    </row>
    <row r="27" spans="1:50" ht="15">
      <c r="A27" s="82"/>
      <c r="B27" s="82"/>
      <c r="C27" s="82"/>
      <c r="D27" s="82"/>
      <c r="E27" s="82" t="str">
        <f>CHOOSE($B$3,ENWL!E27,NPgN!E27,NPgY!E27,WMID!E27,EMID!E27,SWALES!E27,SWEST!E27,LPN!E27,SPN!E27,EPN!E27,SPD!E27,SPMW!E27,SSEH!E27,SSES!E27)</f>
        <v>Specified Street Works Costs Re-opener</v>
      </c>
      <c r="F27" s="82"/>
      <c r="G27" s="82" t="s">
        <v>105</v>
      </c>
      <c r="H27" s="82" t="str">
        <f>CHOOSE($B$3,ENWL!H27,NPgN!H27,NPgY!H27,WMID!H27,EMID!H27,SWALES!H27,SWEST!H27,LPN!H27,SPN!H27,EPN!H27,SPD!H27,SPMW!H27,SSEH!H27,SSES!H27)</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f>CHOOSE($B$3,ENWL!AR27,NPgN!AR27,NPgY!AR27,WMID!AR27,EMID!AR27,SWALES!AR27,SWEST!AR27,LPN!AR27,SPN!AR27,EPN!AR27,SPD!AR27,SPMW!AR27,SSEH!AR27,SSES!AR27)</f>
        <v>0</v>
      </c>
      <c r="AS27" s="476">
        <f>CHOOSE($B$3,ENWL!AS27,NPgN!AS27,NPgY!AS27,WMID!AS27,EMID!AS27,SWALES!AS27,SWEST!AS27,LPN!AS27,SPN!AS27,EPN!AS27,SPD!AS27,SPMW!AS27,SSEH!AS27,SSES!AS27)</f>
        <v>0</v>
      </c>
      <c r="AT27" s="476">
        <f>CHOOSE($B$3,ENWL!AT27,NPgN!AT27,NPgY!AT27,WMID!AT27,EMID!AT27,SWALES!AT27,SWEST!AT27,LPN!AT27,SPN!AT27,EPN!AT27,SPD!AT27,SPMW!AT27,SSEH!AT27,SSES!AT27)</f>
        <v>0</v>
      </c>
      <c r="AU27" s="476">
        <f>CHOOSE($B$3,ENWL!AU27,NPgN!AU27,NPgY!AU27,WMID!AU27,EMID!AU27,SWALES!AU27,SWEST!AU27,LPN!AU27,SPN!AU27,EPN!AU27,SPD!AU27,SPMW!AU27,SSEH!AU27,SSES!AU27)</f>
        <v>0</v>
      </c>
      <c r="AV27" s="476">
        <f>CHOOSE($B$3,ENWL!AV27,NPgN!AV27,NPgY!AV27,WMID!AV27,EMID!AV27,SWALES!AV27,SWEST!AV27,LPN!AV27,SPN!AV27,EPN!AV27,SPD!AV27,SPMW!AV27,SSEH!AV27,SSES!AV27)</f>
        <v>0</v>
      </c>
      <c r="AW27" s="184"/>
      <c r="AX27" s="258"/>
    </row>
    <row r="28" spans="1:50" ht="15">
      <c r="A28" s="82"/>
      <c r="B28" s="82"/>
      <c r="C28" s="82"/>
      <c r="D28" s="82"/>
      <c r="E28" s="82" t="str">
        <f>CHOOSE($B$3,ENWL!E28,NPgN!E28,NPgY!E28,WMID!E28,EMID!E28,SWALES!E28,SWEST!E28,LPN!E28,SPN!E28,EPN!E28,SPD!E28,SPMW!E28,SSEH!E28,SSES!E28)</f>
        <v>Rail Electrification Costs Re-opener</v>
      </c>
      <c r="F28" s="82"/>
      <c r="G28" s="82" t="s">
        <v>105</v>
      </c>
      <c r="H28" s="82" t="str">
        <f>CHOOSE($B$3,ENWL!H28,NPgN!H28,NPgY!H28,WMID!H28,EMID!H28,SWALES!H28,SWEST!H28,LPN!H28,SPN!H28,EPN!H28,SPD!H28,SPMW!H28,SSEH!H28,SSES!H28)</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f>CHOOSE($B$3,ENWL!AR28,NPgN!AR28,NPgY!AR28,WMID!AR28,EMID!AR28,SWALES!AR28,SWEST!AR28,LPN!AR28,SPN!AR28,EPN!AR28,SPD!AR28,SPMW!AR28,SSEH!AR28,SSES!AR28)</f>
        <v>0</v>
      </c>
      <c r="AS28" s="476">
        <f>CHOOSE($B$3,ENWL!AS28,NPgN!AS28,NPgY!AS28,WMID!AS28,EMID!AS28,SWALES!AS28,SWEST!AS28,LPN!AS28,SPN!AS28,EPN!AS28,SPD!AS28,SPMW!AS28,SSEH!AS28,SSES!AS28)</f>
        <v>0</v>
      </c>
      <c r="AT28" s="476">
        <f>CHOOSE($B$3,ENWL!AT28,NPgN!AT28,NPgY!AT28,WMID!AT28,EMID!AT28,SWALES!AT28,SWEST!AT28,LPN!AT28,SPN!AT28,EPN!AT28,SPD!AT28,SPMW!AT28,SSEH!AT28,SSES!AT28)</f>
        <v>0</v>
      </c>
      <c r="AU28" s="476">
        <f>CHOOSE($B$3,ENWL!AU28,NPgN!AU28,NPgY!AU28,WMID!AU28,EMID!AU28,SWALES!AU28,SWEST!AU28,LPN!AU28,SPN!AU28,EPN!AU28,SPD!AU28,SPMW!AU28,SSEH!AU28,SSES!AU28)</f>
        <v>0</v>
      </c>
      <c r="AV28" s="476">
        <f>CHOOSE($B$3,ENWL!AV28,NPgN!AV28,NPgY!AV28,WMID!AV28,EMID!AV28,SWALES!AV28,SWEST!AV28,LPN!AV28,SPN!AV28,EPN!AV28,SPD!AV28,SPMW!AV28,SSEH!AV28,SSES!AV28)</f>
        <v>0</v>
      </c>
      <c r="AW28" s="184"/>
      <c r="AX28" s="258"/>
    </row>
    <row r="29" spans="1:50" ht="15">
      <c r="A29" s="82"/>
      <c r="B29" s="82"/>
      <c r="C29" s="82"/>
      <c r="D29" s="82"/>
      <c r="E29" s="82" t="str">
        <f>CHOOSE($B$3,ENWL!E29,NPgN!E29,NPgY!E29,WMID!E29,EMID!E29,SWALES!E29,SWEST!E29,LPN!E29,SPN!E29,EPN!E29,SPD!E29,SPMW!E29,SSEH!E29,SSES!E29)</f>
        <v>Net Zero Re-opener</v>
      </c>
      <c r="F29" s="82"/>
      <c r="G29" s="82" t="s">
        <v>105</v>
      </c>
      <c r="H29" s="82" t="str">
        <f>CHOOSE($B$3,ENWL!H29,NPgN!H29,NPgY!H29,WMID!H29,EMID!H29,SWALES!H29,SWEST!H29,LPN!H29,SPN!H29,EPN!H29,SPD!H29,SPMW!H29,SSEH!H29,SSES!H29)</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f>CHOOSE($B$3,ENWL!AR29,NPgN!AR29,NPgY!AR29,WMID!AR29,EMID!AR29,SWALES!AR29,SWEST!AR29,LPN!AR29,SPN!AR29,EPN!AR29,SPD!AR29,SPMW!AR29,SSEH!AR29,SSES!AR29)</f>
        <v>0</v>
      </c>
      <c r="AS29" s="476">
        <f>CHOOSE($B$3,ENWL!AS29,NPgN!AS29,NPgY!AS29,WMID!AS29,EMID!AS29,SWALES!AS29,SWEST!AS29,LPN!AS29,SPN!AS29,EPN!AS29,SPD!AS29,SPMW!AS29,SSEH!AS29,SSES!AS29)</f>
        <v>0</v>
      </c>
      <c r="AT29" s="476">
        <f>CHOOSE($B$3,ENWL!AT29,NPgN!AT29,NPgY!AT29,WMID!AT29,EMID!AT29,SWALES!AT29,SWEST!AT29,LPN!AT29,SPN!AT29,EPN!AT29,SPD!AT29,SPMW!AT29,SSEH!AT29,SSES!AT29)</f>
        <v>0</v>
      </c>
      <c r="AU29" s="476">
        <f>CHOOSE($B$3,ENWL!AU29,NPgN!AU29,NPgY!AU29,WMID!AU29,EMID!AU29,SWALES!AU29,SWEST!AU29,LPN!AU29,SPN!AU29,EPN!AU29,SPD!AU29,SPMW!AU29,SSEH!AU29,SSES!AU29)</f>
        <v>0</v>
      </c>
      <c r="AV29" s="476">
        <f>CHOOSE($B$3,ENWL!AV29,NPgN!AV29,NPgY!AV29,WMID!AV29,EMID!AV29,SWALES!AV29,SWEST!AV29,LPN!AV29,SPN!AV29,EPN!AV29,SPD!AV29,SPMW!AV29,SSEH!AV29,SSES!AV29)</f>
        <v>0</v>
      </c>
      <c r="AW29" s="184"/>
      <c r="AX29" s="258"/>
    </row>
    <row r="30" spans="1:50" ht="15">
      <c r="A30" s="82"/>
      <c r="B30" s="82"/>
      <c r="C30" s="82"/>
      <c r="D30" s="82"/>
      <c r="E30" s="82" t="str">
        <f>CHOOSE($B$3,ENWL!E30,NPgN!E30,NPgY!E30,WMID!E30,EMID!E30,SWALES!E30,SWEST!E30,LPN!E30,SPN!E30,EPN!E30,SPD!E30,SPMW!E30,SSEH!E30,SSES!E30)</f>
        <v>Coordinated Adjustment Mechanism Re-opener</v>
      </c>
      <c r="F30" s="82"/>
      <c r="G30" s="82" t="s">
        <v>105</v>
      </c>
      <c r="H30" s="82" t="str">
        <f>CHOOSE($B$3,ENWL!H30,NPgN!H30,NPgY!H30,WMID!H30,EMID!H30,SWALES!H30,SWEST!H30,LPN!H30,SPN!H30,EPN!H30,SPD!H30,SPMW!H30,SSEH!H30,SSES!H30)</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f>CHOOSE($B$3,ENWL!AR30,NPgN!AR30,NPgY!AR30,WMID!AR30,EMID!AR30,SWALES!AR30,SWEST!AR30,LPN!AR30,SPN!AR30,EPN!AR30,SPD!AR30,SPMW!AR30,SSEH!AR30,SSES!AR30)</f>
        <v>0</v>
      </c>
      <c r="AS30" s="476">
        <f>CHOOSE($B$3,ENWL!AS30,NPgN!AS30,NPgY!AS30,WMID!AS30,EMID!AS30,SWALES!AS30,SWEST!AS30,LPN!AS30,SPN!AS30,EPN!AS30,SPD!AS30,SPMW!AS30,SSEH!AS30,SSES!AS30)</f>
        <v>0</v>
      </c>
      <c r="AT30" s="476">
        <f>CHOOSE($B$3,ENWL!AT30,NPgN!AT30,NPgY!AT30,WMID!AT30,EMID!AT30,SWALES!AT30,SWEST!AT30,LPN!AT30,SPN!AT30,EPN!AT30,SPD!AT30,SPMW!AT30,SSEH!AT30,SSES!AT30)</f>
        <v>0</v>
      </c>
      <c r="AU30" s="476">
        <f>CHOOSE($B$3,ENWL!AU30,NPgN!AU30,NPgY!AU30,WMID!AU30,EMID!AU30,SWALES!AU30,SWEST!AU30,LPN!AU30,SPN!AU30,EPN!AU30,SPD!AU30,SPMW!AU30,SSEH!AU30,SSES!AU30)</f>
        <v>0</v>
      </c>
      <c r="AV30" s="476">
        <f>CHOOSE($B$3,ENWL!AV30,NPgN!AV30,NPgY!AV30,WMID!AV30,EMID!AV30,SWALES!AV30,SWEST!AV30,LPN!AV30,SPN!AV30,EPN!AV30,SPD!AV30,SPMW!AV30,SSEH!AV30,SSES!AV30)</f>
        <v>0</v>
      </c>
      <c r="AW30" s="184"/>
      <c r="AX30" s="258"/>
    </row>
    <row r="31" spans="1:50" ht="15">
      <c r="A31" s="82"/>
      <c r="B31" s="82"/>
      <c r="C31" s="82"/>
      <c r="D31" s="82"/>
      <c r="E31" s="82" t="str">
        <f>CHOOSE($B$3,ENWL!E31,NPgN!E31,NPgY!E31,WMID!E31,EMID!E31,SWALES!E31,SWEST!E31,LPN!E31,SPN!E31,EPN!E31,SPD!E31,SPMW!E31,SSEH!E31,SSES!E31)</f>
        <v>Electricity System Restoration Re-opener</v>
      </c>
      <c r="F31" s="82"/>
      <c r="G31" s="82" t="s">
        <v>105</v>
      </c>
      <c r="H31" s="82" t="str">
        <f>CHOOSE($B$3,ENWL!H31,NPgN!H31,NPgY!H31,WMID!H31,EMID!H31,SWALES!H31,SWEST!H31,LPN!H31,SPN!H31,EPN!H31,SPD!H31,SPMW!H31,SSEH!H31,SSES!H31)</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f>CHOOSE($B$3,ENWL!AR31,NPgN!AR31,NPgY!AR31,WMID!AR31,EMID!AR31,SWALES!AR31,SWEST!AR31,LPN!AR31,SPN!AR31,EPN!AR31,SPD!AR31,SPMW!AR31,SSEH!AR31,SSES!AR31)</f>
        <v>0</v>
      </c>
      <c r="AS31" s="476">
        <f>CHOOSE($B$3,ENWL!AS31,NPgN!AS31,NPgY!AS31,WMID!AS31,EMID!AS31,SWALES!AS31,SWEST!AS31,LPN!AS31,SPN!AS31,EPN!AS31,SPD!AS31,SPMW!AS31,SSEH!AS31,SSES!AS31)</f>
        <v>0</v>
      </c>
      <c r="AT31" s="476">
        <f>CHOOSE($B$3,ENWL!AT31,NPgN!AT31,NPgY!AT31,WMID!AT31,EMID!AT31,SWALES!AT31,SWEST!AT31,LPN!AT31,SPN!AT31,EPN!AT31,SPD!AT31,SPMW!AT31,SSEH!AT31,SSES!AT31)</f>
        <v>0</v>
      </c>
      <c r="AU31" s="476">
        <f>CHOOSE($B$3,ENWL!AU31,NPgN!AU31,NPgY!AU31,WMID!AU31,EMID!AU31,SWALES!AU31,SWEST!AU31,LPN!AU31,SPN!AU31,EPN!AU31,SPD!AU31,SPMW!AU31,SSEH!AU31,SSES!AU31)</f>
        <v>0</v>
      </c>
      <c r="AV31" s="476">
        <f>CHOOSE($B$3,ENWL!AV31,NPgN!AV31,NPgY!AV31,WMID!AV31,EMID!AV31,SWALES!AV31,SWEST!AV31,LPN!AV31,SPN!AV31,EPN!AV31,SPD!AV31,SPMW!AV31,SSEH!AV31,SSES!AV31)</f>
        <v>0</v>
      </c>
      <c r="AW31" s="184"/>
      <c r="AX31" s="258"/>
    </row>
    <row r="32" spans="1:50" ht="15">
      <c r="A32" s="82"/>
      <c r="B32" s="82"/>
      <c r="C32" s="82"/>
      <c r="D32" s="82"/>
      <c r="E32" s="82" t="str">
        <f>CHOOSE($B$3,ENWL!E32,NPgN!E32,NPgY!E32,WMID!E32,EMID!E32,SWALES!E32,SWEST!E32,LPN!E32,SPN!E32,EPN!E32,SPD!E32,SPMW!E32,SSEH!E32,SSES!E32)</f>
        <v>Environmental Re-opener</v>
      </c>
      <c r="F32" s="82"/>
      <c r="G32" s="82" t="s">
        <v>105</v>
      </c>
      <c r="H32" s="82" t="str">
        <f>CHOOSE($B$3,ENWL!H32,NPgN!H32,NPgY!H32,WMID!H32,EMID!H32,SWALES!H32,SWEST!H32,LPN!H32,SPN!H32,EPN!H32,SPD!H32,SPMW!H32,SSEH!H32,SSES!H32)</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f>CHOOSE($B$3,ENWL!AR32,NPgN!AR32,NPgY!AR32,WMID!AR32,EMID!AR32,SWALES!AR32,SWEST!AR32,LPN!AR32,SPN!AR32,EPN!AR32,SPD!AR32,SPMW!AR32,SSEH!AR32,SSES!AR32)</f>
        <v>0</v>
      </c>
      <c r="AS32" s="476">
        <f>CHOOSE($B$3,ENWL!AS32,NPgN!AS32,NPgY!AS32,WMID!AS32,EMID!AS32,SWALES!AS32,SWEST!AS32,LPN!AS32,SPN!AS32,EPN!AS32,SPD!AS32,SPMW!AS32,SSEH!AS32,SSES!AS32)</f>
        <v>0</v>
      </c>
      <c r="AT32" s="476">
        <f>CHOOSE($B$3,ENWL!AT32,NPgN!AT32,NPgY!AT32,WMID!AT32,EMID!AT32,SWALES!AT32,SWEST!AT32,LPN!AT32,SPN!AT32,EPN!AT32,SPD!AT32,SPMW!AT32,SSEH!AT32,SSES!AT32)</f>
        <v>0</v>
      </c>
      <c r="AU32" s="476">
        <f>CHOOSE($B$3,ENWL!AU32,NPgN!AU32,NPgY!AU32,WMID!AU32,EMID!AU32,SWALES!AU32,SWEST!AU32,LPN!AU32,SPN!AU32,EPN!AU32,SPD!AU32,SPMW!AU32,SSEH!AU32,SSES!AU32)</f>
        <v>0</v>
      </c>
      <c r="AV32" s="476">
        <f>CHOOSE($B$3,ENWL!AV32,NPgN!AV32,NPgY!AV32,WMID!AV32,EMID!AV32,SWALES!AV32,SWEST!AV32,LPN!AV32,SPN!AV32,EPN!AV32,SPD!AV32,SPMW!AV32,SSEH!AV32,SSES!AV32)</f>
        <v>0</v>
      </c>
      <c r="AW32" s="184"/>
      <c r="AX32" s="258"/>
    </row>
    <row r="33" spans="1:50" ht="15">
      <c r="A33" s="82"/>
      <c r="B33" s="82"/>
      <c r="C33" s="82"/>
      <c r="D33" s="82"/>
      <c r="E33" s="82" t="str">
        <f>CHOOSE($B$3,ENWL!E33,NPgN!E33,NPgY!E33,WMID!E33,EMID!E33,SWALES!E33,SWEST!E33,LPN!E33,SPN!E33,EPN!E33,SPD!E33,SPMW!E33,SSEH!E33,SSES!E33)</f>
        <v>Network Asset Risk Metric Expenditure</v>
      </c>
      <c r="F33" s="82"/>
      <c r="G33" s="82" t="s">
        <v>105</v>
      </c>
      <c r="H33" s="82" t="str">
        <f>CHOOSE($B$3,ENWL!H33,NPgN!H33,NPgY!H33,WMID!H33,EMID!H33,SWALES!H33,SWEST!H33,LPN!H33,SPN!H33,EPN!H33,SPD!H33,SPMW!H33,SSEH!H33,SSES!H33)</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f>CHOOSE($B$3,ENWL!AR33,NPgN!AR33,NPgY!AR33,WMID!AR33,EMID!AR33,SWALES!AR33,SWEST!AR33,LPN!AR33,SPN!AR33,EPN!AR33,SPD!AR33,SPMW!AR33,SSEH!AR33,SSES!AR33)</f>
        <v>27.06</v>
      </c>
      <c r="AS33" s="476">
        <f>CHOOSE($B$3,ENWL!AS33,NPgN!AS33,NPgY!AS33,WMID!AS33,EMID!AS33,SWALES!AS33,SWEST!AS33,LPN!AS33,SPN!AS33,EPN!AS33,SPD!AS33,SPMW!AS33,SSEH!AS33,SSES!AS33)</f>
        <v>27.77</v>
      </c>
      <c r="AT33" s="476">
        <f>CHOOSE($B$3,ENWL!AT33,NPgN!AT33,NPgY!AT33,WMID!AT33,EMID!AT33,SWALES!AT33,SWEST!AT33,LPN!AT33,SPN!AT33,EPN!AT33,SPD!AT33,SPMW!AT33,SSEH!AT33,SSES!AT33)</f>
        <v>26.55</v>
      </c>
      <c r="AU33" s="476">
        <f>CHOOSE($B$3,ENWL!AU33,NPgN!AU33,NPgY!AU33,WMID!AU33,EMID!AU33,SWALES!AU33,SWEST!AU33,LPN!AU33,SPN!AU33,EPN!AU33,SPD!AU33,SPMW!AU33,SSEH!AU33,SSES!AU33)</f>
        <v>27.58</v>
      </c>
      <c r="AV33" s="476">
        <f>CHOOSE($B$3,ENWL!AV33,NPgN!AV33,NPgY!AV33,WMID!AV33,EMID!AV33,SWALES!AV33,SWEST!AV33,LPN!AV33,SPN!AV33,EPN!AV33,SPD!AV33,SPMW!AV33,SSEH!AV33,SSES!AV33)</f>
        <v>29.74</v>
      </c>
      <c r="AW33" s="184"/>
      <c r="AX33" s="258"/>
    </row>
    <row r="34" spans="1:50" ht="15">
      <c r="A34" s="82"/>
      <c r="B34" s="82"/>
      <c r="C34" s="82"/>
      <c r="D34" s="82"/>
      <c r="E34" s="82" t="str">
        <f>CHOOSE($B$3,ENWL!E34,NPgN!E34,NPgY!E34,WMID!E34,EMID!E34,SWALES!E34,SWEST!E34,LPN!E34,SPN!E34,EPN!E34,SPD!E34,SPMW!E34,SSEH!E34,SSES!E34)</f>
        <v>Load Related Expenditure: Secondary Reinforcement</v>
      </c>
      <c r="F34" s="82"/>
      <c r="G34" s="82" t="s">
        <v>105</v>
      </c>
      <c r="H34" s="82" t="str">
        <f>CHOOSE($B$3,ENWL!H34,NPgN!H34,NPgY!H34,WMID!H34,EMID!H34,SWALES!H34,SWEST!H34,LPN!H34,SPN!H34,EPN!H34,SPD!H34,SPMW!H34,SSEH!H34,SSES!H34)</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f>CHOOSE($B$3,ENWL!AR34,NPgN!AR34,NPgY!AR34,WMID!AR34,EMID!AR34,SWALES!AR34,SWEST!AR34,LPN!AR34,SPN!AR34,EPN!AR34,SPD!AR34,SPMW!AR34,SSEH!AR34,SSES!AR34)</f>
        <v>0.62049115946140299</v>
      </c>
      <c r="AS34" s="476">
        <f>CHOOSE($B$3,ENWL!AS34,NPgN!AS34,NPgY!AS34,WMID!AS34,EMID!AS34,SWALES!AS34,SWEST!AS34,LPN!AS34,SPN!AS34,EPN!AS34,SPD!AS34,SPMW!AS34,SSEH!AS34,SSES!AS34)</f>
        <v>2.4783244561256863</v>
      </c>
      <c r="AT34" s="476">
        <f>CHOOSE($B$3,ENWL!AT34,NPgN!AT34,NPgY!AT34,WMID!AT34,EMID!AT34,SWALES!AT34,SWEST!AT34,LPN!AT34,SPN!AT34,EPN!AT34,SPD!AT34,SPMW!AT34,SSEH!AT34,SSES!AT34)</f>
        <v>6.383613974424172</v>
      </c>
      <c r="AU34" s="476">
        <f>CHOOSE($B$3,ENWL!AU34,NPgN!AU34,NPgY!AU34,WMID!AU34,EMID!AU34,SWALES!AU34,SWEST!AU34,LPN!AU34,SPN!AU34,EPN!AU34,SPD!AU34,SPMW!AU34,SSEH!AU34,SSES!AU34)</f>
        <v>9.7291923685449895</v>
      </c>
      <c r="AV34" s="476">
        <f>CHOOSE($B$3,ENWL!AV34,NPgN!AV34,NPgY!AV34,WMID!AV34,EMID!AV34,SWALES!AV34,SWEST!AV34,LPN!AV34,SPN!AV34,EPN!AV34,SPD!AV34,SPMW!AV34,SSEH!AV34,SSES!AV34)</f>
        <v>9.373296719374995</v>
      </c>
      <c r="AW34" s="184"/>
      <c r="AX34" s="258"/>
    </row>
    <row r="35" spans="1:50" ht="15">
      <c r="A35" s="82"/>
      <c r="B35" s="82"/>
      <c r="C35" s="82"/>
      <c r="D35" s="82"/>
      <c r="E35" s="82" t="str">
        <f>CHOOSE($B$3,ENWL!E35,NPgN!E35,NPgY!E35,WMID!E35,EMID!E35,SWALES!E35,SWEST!E35,LPN!E35,SPN!E35,EPN!E35,SPD!E35,SPMW!E35,SSEH!E35,SSES!E35)</f>
        <v>Load Related Expenditure: Low Voltage Services</v>
      </c>
      <c r="F35" s="82"/>
      <c r="G35" s="82" t="s">
        <v>105</v>
      </c>
      <c r="H35" s="82" t="str">
        <f>CHOOSE($B$3,ENWL!H35,NPgN!H35,NPgY!H35,WMID!H35,EMID!H35,SWALES!H35,SWEST!H35,LPN!H35,SPN!H35,EPN!H35,SPD!H35,SPMW!H35,SSEH!H35,SSES!H35)</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f>CHOOSE($B$3,ENWL!AR35,NPgN!AR35,NPgY!AR35,WMID!AR35,EMID!AR35,SWALES!AR35,SWEST!AR35,LPN!AR35,SPN!AR35,EPN!AR35,SPD!AR35,SPMW!AR35,SSEH!AR35,SSES!AR35)</f>
        <v>0.67971713551624946</v>
      </c>
      <c r="AS35" s="476">
        <f>CHOOSE($B$3,ENWL!AS35,NPgN!AS35,NPgY!AS35,WMID!AS35,EMID!AS35,SWALES!AS35,SWEST!AS35,LPN!AS35,SPN!AS35,EPN!AS35,SPD!AS35,SPMW!AS35,SSEH!AS35,SSES!AS35)</f>
        <v>1.7544926468569502</v>
      </c>
      <c r="AT35" s="476">
        <f>CHOOSE($B$3,ENWL!AT35,NPgN!AT35,NPgY!AT35,WMID!AT35,EMID!AT35,SWALES!AT35,SWEST!AT35,LPN!AT35,SPN!AT35,EPN!AT35,SPD!AT35,SPMW!AT35,SSEH!AT35,SSES!AT35)</f>
        <v>4.3676668561821774</v>
      </c>
      <c r="AU35" s="476">
        <f>CHOOSE($B$3,ENWL!AU35,NPgN!AU35,NPgY!AU35,WMID!AU35,EMID!AU35,SWALES!AU35,SWEST!AU35,LPN!AU35,SPN!AU35,EPN!AU35,SPD!AU35,SPMW!AU35,SSEH!AU35,SSES!AU35)</f>
        <v>3.6722984110908179</v>
      </c>
      <c r="AV35" s="476">
        <f>CHOOSE($B$3,ENWL!AV35,NPgN!AV35,NPgY!AV35,WMID!AV35,EMID!AV35,SWALES!AV35,SWEST!AV35,LPN!AV35,SPN!AV35,EPN!AV35,SPD!AV35,SPMW!AV35,SSEH!AV35,SSES!AV35)</f>
        <v>4.4247761896824347</v>
      </c>
      <c r="AW35" s="184"/>
      <c r="AX35" s="258"/>
    </row>
    <row r="36" spans="1:50" ht="15">
      <c r="A36" s="82"/>
      <c r="B36" s="82"/>
      <c r="C36" s="82"/>
      <c r="D36" s="82"/>
      <c r="E36" s="82" t="str">
        <f>CHOOSE($B$3,ENWL!E36,NPgN!E36,NPgY!E36,WMID!E36,EMID!E36,SWALES!E36,SWEST!E36,LPN!E36,SPN!E36,EPN!E36,SPD!E36,SPMW!E36,SSEH!E36,SSES!E36)</f>
        <v>Load Related Expenditure Re-opener</v>
      </c>
      <c r="F36" s="82"/>
      <c r="G36" s="82" t="s">
        <v>105</v>
      </c>
      <c r="H36" s="82" t="str">
        <f>CHOOSE($B$3,ENWL!H36,NPgN!H36,NPgY!H36,WMID!H36,EMID!H36,SWALES!H36,SWEST!H36,LPN!H36,SPN!H36,EPN!H36,SPD!H36,SPMW!H36,SSEH!H36,SSES!H36)</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f>CHOOSE($B$3,ENWL!AR36,NPgN!AR36,NPgY!AR36,WMID!AR36,EMID!AR36,SWALES!AR36,SWEST!AR36,LPN!AR36,SPN!AR36,EPN!AR36,SPD!AR36,SPMW!AR36,SSEH!AR36,SSES!AR36)</f>
        <v>0</v>
      </c>
      <c r="AS36" s="476">
        <f>CHOOSE($B$3,ENWL!AS36,NPgN!AS36,NPgY!AS36,WMID!AS36,EMID!AS36,SWALES!AS36,SWEST!AS36,LPN!AS36,SPN!AS36,EPN!AS36,SPD!AS36,SPMW!AS36,SSEH!AS36,SSES!AS36)</f>
        <v>0</v>
      </c>
      <c r="AT36" s="476">
        <f>CHOOSE($B$3,ENWL!AT36,NPgN!AT36,NPgY!AT36,WMID!AT36,EMID!AT36,SWALES!AT36,SWEST!AT36,LPN!AT36,SPN!AT36,EPN!AT36,SPD!AT36,SPMW!AT36,SSEH!AT36,SSES!AT36)</f>
        <v>0</v>
      </c>
      <c r="AU36" s="476">
        <f>CHOOSE($B$3,ENWL!AU36,NPgN!AU36,NPgY!AU36,WMID!AU36,EMID!AU36,SWALES!AU36,SWEST!AU36,LPN!AU36,SPN!AU36,EPN!AU36,SPD!AU36,SPMW!AU36,SSEH!AU36,SSES!AU36)</f>
        <v>0</v>
      </c>
      <c r="AV36" s="476">
        <f>CHOOSE($B$3,ENWL!AV36,NPgN!AV36,NPgY!AV36,WMID!AV36,EMID!AV36,SWALES!AV36,SWEST!AV36,LPN!AV36,SPN!AV36,EPN!AV36,SPD!AV36,SPMW!AV36,SSEH!AV36,SSES!AV36)</f>
        <v>0</v>
      </c>
      <c r="AW36" s="184"/>
    </row>
    <row r="37" spans="1:50" ht="15">
      <c r="A37" s="82"/>
      <c r="B37" s="82"/>
      <c r="C37" s="82"/>
      <c r="D37" s="82"/>
      <c r="E37" s="82" t="str">
        <f>CHOOSE($B$3,ENWL!E37,NPgN!E37,NPgY!E37,WMID!E37,EMID!E37,SWALES!E37,SWEST!E37,LPN!E37,SPN!E37,EPN!E37,SPD!E37,SPMW!E37,SSEH!E37,SSES!E37)</f>
        <v>Digitalisation Re-opener</v>
      </c>
      <c r="F37" s="82"/>
      <c r="G37" s="82" t="s">
        <v>105</v>
      </c>
      <c r="H37" s="82" t="str">
        <f>CHOOSE($B$3,ENWL!H37,NPgN!H37,NPgY!H37,WMID!H37,EMID!H37,SWALES!H37,SWEST!H37,LPN!H37,SPN!H37,EPN!H37,SPD!H37,SPMW!H37,SSEH!H37,SSES!H37)</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f>CHOOSE($B$3,ENWL!AR37,NPgN!AR37,NPgY!AR37,WMID!AR37,EMID!AR37,SWALES!AR37,SWEST!AR37,LPN!AR37,SPN!AR37,EPN!AR37,SPD!AR37,SPMW!AR37,SSEH!AR37,SSES!AR37)</f>
        <v>0</v>
      </c>
      <c r="AS37" s="476">
        <f>CHOOSE($B$3,ENWL!AS37,NPgN!AS37,NPgY!AS37,WMID!AS37,EMID!AS37,SWALES!AS37,SWEST!AS37,LPN!AS37,SPN!AS37,EPN!AS37,SPD!AS37,SPMW!AS37,SSEH!AS37,SSES!AS37)</f>
        <v>0</v>
      </c>
      <c r="AT37" s="476">
        <f>CHOOSE($B$3,ENWL!AT37,NPgN!AT37,NPgY!AT37,WMID!AT37,EMID!AT37,SWALES!AT37,SWEST!AT37,LPN!AT37,SPN!AT37,EPN!AT37,SPD!AT37,SPMW!AT37,SSEH!AT37,SSES!AT37)</f>
        <v>0</v>
      </c>
      <c r="AU37" s="476">
        <f>CHOOSE($B$3,ENWL!AU37,NPgN!AU37,NPgY!AU37,WMID!AU37,EMID!AU37,SWALES!AU37,SWEST!AU37,LPN!AU37,SPN!AU37,EPN!AU37,SPD!AU37,SPMW!AU37,SSEH!AU37,SSES!AU37)</f>
        <v>0</v>
      </c>
      <c r="AV37" s="476">
        <f>CHOOSE($B$3,ENWL!AV37,NPgN!AV37,NPgY!AV37,WMID!AV37,EMID!AV37,SWALES!AV37,SWEST!AV37,LPN!AV37,SPN!AV37,EPN!AV37,SPD!AV37,SPMW!AV37,SSEH!AV37,SSES!AV37)</f>
        <v>0</v>
      </c>
      <c r="AW37" s="184"/>
    </row>
    <row r="38" spans="1:50" ht="15">
      <c r="A38" s="82"/>
      <c r="B38" s="82"/>
      <c r="C38" s="82"/>
      <c r="D38" s="82"/>
      <c r="E38" s="82" t="str">
        <f>CHOOSE($B$3,ENWL!E38,NPgN!E38,NPgY!E38,WMID!E38,EMID!E38,SWALES!E38,SWEST!E38,LPN!E38,SPN!E38,EPN!E38,SPD!E38,SPMW!E38,SSEH!E38,SSES!E38)</f>
        <v>PCB Interventions</v>
      </c>
      <c r="F38" s="82"/>
      <c r="G38" s="82" t="s">
        <v>105</v>
      </c>
      <c r="H38" s="82" t="str">
        <f>CHOOSE($B$3,ENWL!H38,NPgN!H38,NPgY!H38,WMID!H38,EMID!H38,SWALES!H38,SWEST!H38,LPN!H38,SPN!H38,EPN!H38,SPD!H38,SPMW!H38,SSEH!H38,SSES!H38)</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f>CHOOSE($B$3,ENWL!AR38,NPgN!AR38,NPgY!AR38,WMID!AR38,EMID!AR38,SWALES!AR38,SWEST!AR38,LPN!AR38,SPN!AR38,EPN!AR38,SPD!AR38,SPMW!AR38,SSEH!AR38,SSES!AR38)</f>
        <v>2.7859919999999998</v>
      </c>
      <c r="AS38" s="476">
        <f>CHOOSE($B$3,ENWL!AS38,NPgN!AS38,NPgY!AS38,WMID!AS38,EMID!AS38,SWALES!AS38,SWEST!AS38,LPN!AS38,SPN!AS38,EPN!AS38,SPD!AS38,SPMW!AS38,SSEH!AS38,SSES!AS38)</f>
        <v>7.3595280000000001</v>
      </c>
      <c r="AT38" s="476">
        <f>CHOOSE($B$3,ENWL!AT38,NPgN!AT38,NPgY!AT38,WMID!AT38,EMID!AT38,SWALES!AT38,SWEST!AT38,LPN!AT38,SPN!AT38,EPN!AT38,SPD!AT38,SPMW!AT38,SSEH!AT38,SSES!AT38)</f>
        <v>5.5397759999999998</v>
      </c>
      <c r="AU38" s="476">
        <f>CHOOSE($B$3,ENWL!AU38,NPgN!AU38,NPgY!AU38,WMID!AU38,EMID!AU38,SWALES!AU38,SWEST!AU38,LPN!AU38,SPN!AU38,EPN!AU38,SPD!AU38,SPMW!AU38,SSEH!AU38,SSES!AU38)</f>
        <v>0</v>
      </c>
      <c r="AV38" s="476">
        <f>CHOOSE($B$3,ENWL!AV38,NPgN!AV38,NPgY!AV38,WMID!AV38,EMID!AV38,SWALES!AV38,SWEST!AV38,LPN!AV38,SPN!AV38,EPN!AV38,SPD!AV38,SPMW!AV38,SSEH!AV38,SSES!AV38)</f>
        <v>0</v>
      </c>
      <c r="AW38" s="184"/>
    </row>
    <row r="39" spans="1:50" ht="15">
      <c r="A39" s="82"/>
      <c r="B39" s="82"/>
      <c r="C39" s="82"/>
      <c r="D39" s="82"/>
      <c r="E39" s="82" t="str">
        <f>CHOOSE($B$3,ENWL!E39,NPgN!E39,NPgY!E39,WMID!E39,EMID!E39,SWALES!E39,SWEST!E39,LPN!E39,SPN!E39,EPN!E39,SPD!E39,SPMW!E39,SSEH!E39,SSES!E39)</f>
        <v>Visual Amenity Projects</v>
      </c>
      <c r="F39" s="82"/>
      <c r="G39" s="82" t="s">
        <v>105</v>
      </c>
      <c r="H39" s="82" t="str">
        <f>CHOOSE($B$3,ENWL!H39,NPgN!H39,NPgY!H39,WMID!H39,EMID!H39,SWALES!H39,SWEST!H39,LPN!H39,SPN!H39,EPN!H39,SPD!H39,SPMW!H39,SSEH!H39,SSES!H39)</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f>CHOOSE($B$3,ENWL!AR39,NPgN!AR39,NPgY!AR39,WMID!AR39,EMID!AR39,SWALES!AR39,SWEST!AR39,LPN!AR39,SPN!AR39,EPN!AR39,SPD!AR39,SPMW!AR39,SSEH!AR39,SSES!AR39)</f>
        <v>0.39525288250578339</v>
      </c>
      <c r="AS39" s="476">
        <f>CHOOSE($B$3,ENWL!AS39,NPgN!AS39,NPgY!AS39,WMID!AS39,EMID!AS39,SWALES!AS39,SWEST!AS39,LPN!AS39,SPN!AS39,EPN!AS39,SPD!AS39,SPMW!AS39,SSEH!AS39,SSES!AS39)</f>
        <v>1.0716076004338275</v>
      </c>
      <c r="AT39" s="476">
        <f>CHOOSE($B$3,ENWL!AT39,NPgN!AT39,NPgY!AT39,WMID!AT39,EMID!AT39,SWALES!AT39,SWEST!AT39,LPN!AT39,SPN!AT39,EPN!AT39,SPD!AT39,SPMW!AT39,SSEH!AT39,SSES!AT39)</f>
        <v>1.1473426097469699</v>
      </c>
      <c r="AU39" s="476">
        <f>CHOOSE($B$3,ENWL!AU39,NPgN!AU39,NPgY!AU39,WMID!AU39,EMID!AU39,SWALES!AU39,SWEST!AU39,LPN!AU39,SPN!AU39,EPN!AU39,SPD!AU39,SPMW!AU39,SSEH!AU39,SSES!AU39)</f>
        <v>1.1727876057077979</v>
      </c>
      <c r="AV39" s="476">
        <f>CHOOSE($B$3,ENWL!AV39,NPgN!AV39,NPgY!AV39,WMID!AV39,EMID!AV39,SWALES!AV39,SWEST!AV39,LPN!AV39,SPN!AV39,EPN!AV39,SPD!AV39,SPMW!AV39,SSEH!AV39,SSES!AV39)</f>
        <v>1.1927863898237621</v>
      </c>
      <c r="AW39" s="184"/>
    </row>
    <row r="40" spans="1:50" ht="15">
      <c r="A40" s="82"/>
      <c r="B40" s="82"/>
      <c r="C40" s="82"/>
      <c r="D40" s="82"/>
      <c r="E40" s="82" t="str">
        <f>CHOOSE($B$3,ENWL!E40,NPgN!E40,NPgY!E40,WMID!E40,EMID!E40,SWALES!E40,SWEST!E40,LPN!E40,SPN!E40,EPN!E40,SPD!E40,SPMW!E40,SSEH!E40,SSES!E40)</f>
        <v>Cyber Resilience OT baseline</v>
      </c>
      <c r="F40" s="82"/>
      <c r="G40" s="82" t="s">
        <v>105</v>
      </c>
      <c r="H40" s="82" t="str">
        <f>CHOOSE($B$3,ENWL!H40,NPgN!H40,NPgY!H40,WMID!H40,EMID!H40,SWALES!H40,SWEST!H40,LPN!H40,SPN!H40,EPN!H40,SPD!H40,SPMW!H40,SSEH!H40,SSES!H40)</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f>CHOOSE($B$3,ENWL!AR40,NPgN!AR40,NPgY!AR40,WMID!AR40,EMID!AR40,SWALES!AR40,SWEST!AR40,LPN!AR40,SPN!AR40,EPN!AR40,SPD!AR40,SPMW!AR40,SSEH!AR40,SSES!AR40)</f>
        <v>3.03</v>
      </c>
      <c r="AS40" s="476">
        <f>CHOOSE($B$3,ENWL!AS40,NPgN!AS40,NPgY!AS40,WMID!AS40,EMID!AS40,SWALES!AS40,SWEST!AS40,LPN!AS40,SPN!AS40,EPN!AS40,SPD!AS40,SPMW!AS40,SSEH!AS40,SSES!AS40)</f>
        <v>5.21</v>
      </c>
      <c r="AT40" s="476">
        <f>CHOOSE($B$3,ENWL!AT40,NPgN!AT40,NPgY!AT40,WMID!AT40,EMID!AT40,SWALES!AT40,SWEST!AT40,LPN!AT40,SPN!AT40,EPN!AT40,SPD!AT40,SPMW!AT40,SSEH!AT40,SSES!AT40)</f>
        <v>2.4900000000000002</v>
      </c>
      <c r="AU40" s="476">
        <f>CHOOSE($B$3,ENWL!AU40,NPgN!AU40,NPgY!AU40,WMID!AU40,EMID!AU40,SWALES!AU40,SWEST!AU40,LPN!AU40,SPN!AU40,EPN!AU40,SPD!AU40,SPMW!AU40,SSEH!AU40,SSES!AU40)</f>
        <v>0.45</v>
      </c>
      <c r="AV40" s="476">
        <f>CHOOSE($B$3,ENWL!AV40,NPgN!AV40,NPgY!AV40,WMID!AV40,EMID!AV40,SWALES!AV40,SWEST!AV40,LPN!AV40,SPN!AV40,EPN!AV40,SPD!AV40,SPMW!AV40,SSEH!AV40,SSES!AV40)</f>
        <v>0.45</v>
      </c>
      <c r="AW40" s="184"/>
    </row>
    <row r="41" spans="1:50" ht="15">
      <c r="A41" s="82"/>
      <c r="B41" s="82"/>
      <c r="C41" s="82"/>
      <c r="D41" s="82"/>
      <c r="E41" s="82" t="str">
        <f>CHOOSE($B$3,ENWL!E41,NPgN!E41,NPgY!E41,WMID!E41,EMID!E41,SWALES!E41,SWEST!E41,LPN!E41,SPN!E41,EPN!E41,SPD!E41,SPMW!E41,SSEH!E41,SSES!E41)</f>
        <v>Cyber Resilience OT Re-opener</v>
      </c>
      <c r="F41" s="82"/>
      <c r="G41" s="82" t="s">
        <v>105</v>
      </c>
      <c r="H41" s="82" t="str">
        <f>CHOOSE($B$3,ENWL!H41,NPgN!H41,NPgY!H41,WMID!H41,EMID!H41,SWALES!H41,SWEST!H41,LPN!H41,SPN!H41,EPN!H41,SPD!H41,SPMW!H41,SSEH!H41,SSES!H41)</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f>CHOOSE($B$3,ENWL!AR41,NPgN!AR41,NPgY!AR41,WMID!AR41,EMID!AR41,SWALES!AR41,SWEST!AR41,LPN!AR41,SPN!AR41,EPN!AR41,SPD!AR41,SPMW!AR41,SSEH!AR41,SSES!AR41)</f>
        <v>1.36</v>
      </c>
      <c r="AS41" s="476">
        <f>CHOOSE($B$3,ENWL!AS41,NPgN!AS41,NPgY!AS41,WMID!AS41,EMID!AS41,SWALES!AS41,SWEST!AS41,LPN!AS41,SPN!AS41,EPN!AS41,SPD!AS41,SPMW!AS41,SSEH!AS41,SSES!AS41)</f>
        <v>7.0937078566233769</v>
      </c>
      <c r="AT41" s="476">
        <f>CHOOSE($B$3,ENWL!AT41,NPgN!AT41,NPgY!AT41,WMID!AT41,EMID!AT41,SWALES!AT41,SWEST!AT41,LPN!AT41,SPN!AT41,EPN!AT41,SPD!AT41,SPMW!AT41,SSEH!AT41,SSES!AT41)</f>
        <v>15.961334007619048</v>
      </c>
      <c r="AU41" s="476">
        <f>CHOOSE($B$3,ENWL!AU41,NPgN!AU41,NPgY!AU41,WMID!AU41,EMID!AU41,SWALES!AU41,SWEST!AU41,LPN!AU41,SPN!AU41,EPN!AU41,SPD!AU41,SPMW!AU41,SSEH!AU41,SSES!AU41)</f>
        <v>14.990105017316019</v>
      </c>
      <c r="AV41" s="476">
        <f>CHOOSE($B$3,ENWL!AV41,NPgN!AV41,NPgY!AV41,WMID!AV41,EMID!AV41,SWALES!AV41,SWEST!AV41,LPN!AV41,SPN!AV41,EPN!AV41,SPD!AV41,SPMW!AV41,SSEH!AV41,SSES!AV41)</f>
        <v>3.2402745584415582</v>
      </c>
      <c r="AW41" s="184"/>
    </row>
    <row r="42" spans="1:50" ht="15">
      <c r="A42" s="82"/>
      <c r="B42" s="82"/>
      <c r="C42" s="82"/>
      <c r="D42" s="82"/>
      <c r="E42" s="82" t="str">
        <f>CHOOSE($B$3,ENWL!E42,NPgN!E42,NPgY!E42,WMID!E42,EMID!E42,SWALES!E42,SWEST!E42,LPN!E42,SPN!E42,EPN!E42,SPD!E42,SPMW!E42,SSEH!E42,SSES!E42)</f>
        <v>Cyber Resilience IT Re-opener</v>
      </c>
      <c r="F42" s="82"/>
      <c r="G42" s="82" t="s">
        <v>105</v>
      </c>
      <c r="H42" s="82" t="str">
        <f>CHOOSE($B$3,ENWL!H42,NPgN!H42,NPgY!H42,WMID!H42,EMID!H42,SWALES!H42,SWEST!H42,LPN!H42,SPN!H42,EPN!H42,SPD!H42,SPMW!H42,SSEH!H42,SSES!H42)</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f>CHOOSE($B$3,ENWL!AR42,NPgN!AR42,NPgY!AR42,WMID!AR42,EMID!AR42,SWALES!AR42,SWEST!AR42,LPN!AR42,SPN!AR42,EPN!AR42,SPD!AR42,SPMW!AR42,SSEH!AR42,SSES!AR42)</f>
        <v>0.9</v>
      </c>
      <c r="AS42" s="476">
        <f>CHOOSE($B$3,ENWL!AS42,NPgN!AS42,NPgY!AS42,WMID!AS42,EMID!AS42,SWALES!AS42,SWEST!AS42,LPN!AS42,SPN!AS42,EPN!AS42,SPD!AS42,SPMW!AS42,SSEH!AS42,SSES!AS42)</f>
        <v>0.71</v>
      </c>
      <c r="AT42" s="476">
        <f>CHOOSE($B$3,ENWL!AT42,NPgN!AT42,NPgY!AT42,WMID!AT42,EMID!AT42,SWALES!AT42,SWEST!AT42,LPN!AT42,SPN!AT42,EPN!AT42,SPD!AT42,SPMW!AT42,SSEH!AT42,SSES!AT42)</f>
        <v>1.1100000000000001</v>
      </c>
      <c r="AU42" s="476">
        <f>CHOOSE($B$3,ENWL!AU42,NPgN!AU42,NPgY!AU42,WMID!AU42,EMID!AU42,SWALES!AU42,SWEST!AU42,LPN!AU42,SPN!AU42,EPN!AU42,SPD!AU42,SPMW!AU42,SSEH!AU42,SSES!AU42)</f>
        <v>0.47</v>
      </c>
      <c r="AV42" s="476">
        <f>CHOOSE($B$3,ENWL!AV42,NPgN!AV42,NPgY!AV42,WMID!AV42,EMID!AV42,SWALES!AV42,SWEST!AV42,LPN!AV42,SPN!AV42,EPN!AV42,SPD!AV42,SPMW!AV42,SSEH!AV42,SSES!AV42)</f>
        <v>0.45</v>
      </c>
      <c r="AW42" s="184"/>
    </row>
    <row r="43" spans="1:50" ht="15">
      <c r="A43" s="82"/>
      <c r="B43" s="82"/>
      <c r="C43" s="82"/>
      <c r="D43" s="82"/>
      <c r="E43" s="82" t="str">
        <f>CHOOSE($B$3,ENWL!E43,NPgN!E43,NPgY!E43,WMID!E43,EMID!E43,SWALES!E43,SWEST!E43,LPN!E43,SPN!E43,EPN!E43,SPD!E43,SPMW!E43,SSEH!E43,SSES!E43)</f>
        <v>Off-gas Grid Mechanistic Price Control Deliverable</v>
      </c>
      <c r="F43" s="82"/>
      <c r="G43" s="82" t="s">
        <v>105</v>
      </c>
      <c r="H43" s="82" t="str">
        <f>CHOOSE($B$3,ENWL!H43,NPgN!H43,NPgY!H43,WMID!H43,EMID!H43,SWALES!H43,SWEST!H43,LPN!H43,SPN!H43,EPN!H43,SPD!H43,SPMW!H43,SSEH!H43,SSES!H43)</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f>CHOOSE($B$3,ENWL!AR43,NPgN!AR43,NPgY!AR43,WMID!AR43,EMID!AR43,SWALES!AR43,SWEST!AR43,LPN!AR43,SPN!AR43,EPN!AR43,SPD!AR43,SPMW!AR43,SSEH!AR43,SSES!AR43)</f>
        <v>0</v>
      </c>
      <c r="AS43" s="476">
        <f>CHOOSE($B$3,ENWL!AS43,NPgN!AS43,NPgY!AS43,WMID!AS43,EMID!AS43,SWALES!AS43,SWEST!AS43,LPN!AS43,SPN!AS43,EPN!AS43,SPD!AS43,SPMW!AS43,SSEH!AS43,SSES!AS43)</f>
        <v>0</v>
      </c>
      <c r="AT43" s="476">
        <f>CHOOSE($B$3,ENWL!AT43,NPgN!AT43,NPgY!AT43,WMID!AT43,EMID!AT43,SWALES!AT43,SWEST!AT43,LPN!AT43,SPN!AT43,EPN!AT43,SPD!AT43,SPMW!AT43,SSEH!AT43,SSES!AT43)</f>
        <v>0</v>
      </c>
      <c r="AU43" s="476">
        <f>CHOOSE($B$3,ENWL!AU43,NPgN!AU43,NPgY!AU43,WMID!AU43,EMID!AU43,SWALES!AU43,SWEST!AU43,LPN!AU43,SPN!AU43,EPN!AU43,SPD!AU43,SPMW!AU43,SSEH!AU43,SSES!AU43)</f>
        <v>0</v>
      </c>
      <c r="AV43" s="476">
        <f>CHOOSE($B$3,ENWL!AV43,NPgN!AV43,NPgY!AV43,WMID!AV43,EMID!AV43,SWALES!AV43,SWEST!AV43,LPN!AV43,SPN!AV43,EPN!AV43,SPD!AV43,SPMW!AV43,SSEH!AV43,SSES!AV43)</f>
        <v>0</v>
      </c>
      <c r="AW43" s="184"/>
    </row>
    <row r="44" spans="1:50" ht="15">
      <c r="A44" s="82"/>
      <c r="B44" s="82"/>
      <c r="C44" s="82"/>
      <c r="D44" s="82"/>
      <c r="E44" s="82" t="s">
        <v>113</v>
      </c>
      <c r="F44" s="82"/>
      <c r="G44" s="82" t="s">
        <v>105</v>
      </c>
      <c r="H44" s="82" t="str">
        <f>CHOOSE($B$3,ENWL!H44,NPgN!H44,NPgY!H44,WMID!H44,EMID!H44,SWALES!H44,SWEST!H44,LPN!H44,SPN!H44,EPN!H44,SPD!H44,SPMW!H44,SSEH!H44,SSES!H44)</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f>CHOOSE($B$3,ENWL!AR44,NPgN!AR44,NPgY!AR44,WMID!AR44,EMID!AR44,SWALES!AR44,SWEST!AR44,LPN!AR44,SPN!AR44,EPN!AR44,SPD!AR44,SPMW!AR44,SSEH!AR44,SSES!AR44)</f>
        <v>0</v>
      </c>
      <c r="AS44" s="476">
        <f>CHOOSE($B$3,ENWL!AS44,NPgN!AS44,NPgY!AS44,WMID!AS44,EMID!AS44,SWALES!AS44,SWEST!AS44,LPN!AS44,SPN!AS44,EPN!AS44,SPD!AS44,SPMW!AS44,SSEH!AS44,SSES!AS44)</f>
        <v>0</v>
      </c>
      <c r="AT44" s="476">
        <f>CHOOSE($B$3,ENWL!AT44,NPgN!AT44,NPgY!AT44,WMID!AT44,EMID!AT44,SWALES!AT44,SWEST!AT44,LPN!AT44,SPN!AT44,EPN!AT44,SPD!AT44,SPMW!AT44,SSEH!AT44,SSES!AT44)</f>
        <v>0</v>
      </c>
      <c r="AU44" s="476">
        <f>CHOOSE($B$3,ENWL!AU44,NPgN!AU44,NPgY!AU44,WMID!AU44,EMID!AU44,SWALES!AU44,SWEST!AU44,LPN!AU44,SPN!AU44,EPN!AU44,SPD!AU44,SPMW!AU44,SSEH!AU44,SSES!AU44)</f>
        <v>0</v>
      </c>
      <c r="AV44" s="476">
        <f>CHOOSE($B$3,ENWL!AV44,NPgN!AV44,NPgY!AV44,WMID!AV44,EMID!AV44,SWALES!AV44,SWEST!AV44,LPN!AV44,SPN!AV44,EPN!AV44,SPD!AV44,SPMW!AV44,SSEH!AV44,SSES!AV44)</f>
        <v>0</v>
      </c>
      <c r="AW44" s="184"/>
    </row>
    <row r="45" spans="1:50" ht="15">
      <c r="A45" s="82"/>
      <c r="B45" s="82"/>
      <c r="C45" s="82"/>
      <c r="D45" s="82"/>
      <c r="E45" s="82" t="str">
        <f>CHOOSE($B$3,ENWL!E45,NPgN!E45,NPgY!E45,WMID!E45,EMID!E45,SWALES!E45,SWEST!E45,LPN!E45,SPN!E45,EPN!E45,SPD!E45,SPMW!E45,SSEH!E45,SSES!E45)</f>
        <v>West Coast of Cumbria Re-opener (ENWL only)</v>
      </c>
      <c r="F45" s="82"/>
      <c r="G45" s="82" t="s">
        <v>105</v>
      </c>
      <c r="H45" s="82" t="str">
        <f>CHOOSE($B$3,ENWL!H45,NPgN!H45,NPgY!H45,WMID!H45,EMID!H45,SWALES!H45,SWEST!H45,LPN!H45,SPN!H45,EPN!H45,SPD!H45,SPMW!H45,SSEH!H45,SSES!H45)</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f>CHOOSE($B$3,ENWL!AR45,NPgN!AR45,NPgY!AR45,WMID!AR45,EMID!AR45,SWALES!AR45,SWEST!AR45,LPN!AR45,SPN!AR45,EPN!AR45,SPD!AR45,SPMW!AR45,SSEH!AR45,SSES!AR45)</f>
        <v>0</v>
      </c>
      <c r="AS45" s="476">
        <f>CHOOSE($B$3,ENWL!AS45,NPgN!AS45,NPgY!AS45,WMID!AS45,EMID!AS45,SWALES!AS45,SWEST!AS45,LPN!AS45,SPN!AS45,EPN!AS45,SPD!AS45,SPMW!AS45,SSEH!AS45,SSES!AS45)</f>
        <v>0</v>
      </c>
      <c r="AT45" s="476">
        <f>CHOOSE($B$3,ENWL!AT45,NPgN!AT45,NPgY!AT45,WMID!AT45,EMID!AT45,SWALES!AT45,SWEST!AT45,LPN!AT45,SPN!AT45,EPN!AT45,SPD!AT45,SPMW!AT45,SSEH!AT45,SSES!AT45)</f>
        <v>0</v>
      </c>
      <c r="AU45" s="476">
        <f>CHOOSE($B$3,ENWL!AU45,NPgN!AU45,NPgY!AU45,WMID!AU45,EMID!AU45,SWALES!AU45,SWEST!AU45,LPN!AU45,SPN!AU45,EPN!AU45,SPD!AU45,SPMW!AU45,SSEH!AU45,SSES!AU45)</f>
        <v>0</v>
      </c>
      <c r="AV45" s="476">
        <f>CHOOSE($B$3,ENWL!AV45,NPgN!AV45,NPgY!AV45,WMID!AV45,EMID!AV45,SWALES!AV45,SWEST!AV45,LPN!AV45,SPN!AV45,EPN!AV45,SPD!AV45,SPMW!AV45,SSEH!AV45,SSES!AV45)</f>
        <v>0</v>
      </c>
      <c r="AW45" s="184"/>
    </row>
    <row r="46" spans="1:50" ht="15">
      <c r="A46" s="82"/>
      <c r="B46" s="82"/>
      <c r="C46" s="82"/>
      <c r="D46" s="82"/>
      <c r="E46" s="82" t="str">
        <f>CHOOSE($B$3,ENWL!E46,NPgN!E46,NPgY!E46,WMID!E46,EMID!E46,SWALES!E46,SWEST!E46,LPN!E46,SPN!E46,EPN!E46,SPD!E46,SPMW!E46,SSEH!E46,SSES!E46)</f>
        <v>Shetland Enduring Solution Re-opener (SSEH only)</v>
      </c>
      <c r="F46" s="82"/>
      <c r="G46" s="82" t="s">
        <v>105</v>
      </c>
      <c r="H46" s="82" t="s">
        <v>114</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f>CHOOSE($B$3,ENWL!AR46,NPgN!AR46,NPgY!AR46,WMID!AR46,EMID!AR46,SWALES!AR46,SWEST!AR46,LPN!AR46,SPN!AR46,EPN!AR46,SPD!AR46,SPMW!AR46,SSEH!AR46,SSES!AR46)</f>
        <v>0</v>
      </c>
      <c r="AS46" s="476">
        <f>CHOOSE($B$3,ENWL!AS46,NPgN!AS46,NPgY!AS46,WMID!AS46,EMID!AS46,SWALES!AS46,SWEST!AS46,LPN!AS46,SPN!AS46,EPN!AS46,SPD!AS46,SPMW!AS46,SSEH!AS46,SSES!AS46)</f>
        <v>0</v>
      </c>
      <c r="AT46" s="476">
        <f>CHOOSE($B$3,ENWL!AT46,NPgN!AT46,NPgY!AT46,WMID!AT46,EMID!AT46,SWALES!AT46,SWEST!AT46,LPN!AT46,SPN!AT46,EPN!AT46,SPD!AT46,SPMW!AT46,SSEH!AT46,SSES!AT46)</f>
        <v>0</v>
      </c>
      <c r="AU46" s="476">
        <f>CHOOSE($B$3,ENWL!AU46,NPgN!AU46,NPgY!AU46,WMID!AU46,EMID!AU46,SWALES!AU46,SWEST!AU46,LPN!AU46,SPN!AU46,EPN!AU46,SPD!AU46,SPMW!AU46,SSEH!AU46,SSES!AU46)</f>
        <v>0</v>
      </c>
      <c r="AV46" s="476">
        <f>CHOOSE($B$3,ENWL!AV46,NPgN!AV46,NPgY!AV46,WMID!AV46,EMID!AV46,SWALES!AV46,SWEST!AV46,LPN!AV46,SPN!AV46,EPN!AV46,SPD!AV46,SPMW!AV46,SSEH!AV46,SSES!AV46)</f>
        <v>0</v>
      </c>
      <c r="AW46" s="184"/>
    </row>
    <row r="47" spans="1:50" ht="15">
      <c r="A47" s="82"/>
      <c r="B47" s="82"/>
      <c r="C47" s="82"/>
      <c r="D47" s="82"/>
      <c r="E47" s="82" t="str">
        <f>CHOOSE($B$3,ENWL!E47,NPgN!E47,NPgY!E47,WMID!E47,EMID!E47,SWALES!E47,SWEST!E47,LPN!E47,SPN!E47,EPN!E47,SPD!E47,SPMW!E47,SSEH!E47,SSES!E47)</f>
        <v>Shetland Extension Fixed Energy Costs Re-opener (SSEH only)</v>
      </c>
      <c r="F47" s="82"/>
      <c r="G47" s="82" t="s">
        <v>105</v>
      </c>
      <c r="H47" s="82" t="str">
        <f>CHOOSE($B$3,ENWL!H47,NPgN!H47,NPgY!H47,WMID!H47,EMID!H47,SWALES!H47,SWEST!H47,LPN!H47,SPN!H47,EPN!H47,SPD!H47,SPMW!H47,SSEH!H47,SSES!H47)</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f>CHOOSE($B$3,ENWL!AR47,NPgN!AR47,NPgY!AR47,WMID!AR47,EMID!AR47,SWALES!AR47,SWEST!AR47,LPN!AR47,SPN!AR47,EPN!AR47,SPD!AR47,SPMW!AR47,SSEH!AR47,SSES!AR47)</f>
        <v>0</v>
      </c>
      <c r="AS47" s="476">
        <f>CHOOSE($B$3,ENWL!AS47,NPgN!AS47,NPgY!AS47,WMID!AS47,EMID!AS47,SWALES!AS47,SWEST!AS47,LPN!AS47,SPN!AS47,EPN!AS47,SPD!AS47,SPMW!AS47,SSEH!AS47,SSES!AS47)</f>
        <v>0</v>
      </c>
      <c r="AT47" s="476">
        <f>CHOOSE($B$3,ENWL!AT47,NPgN!AT47,NPgY!AT47,WMID!AT47,EMID!AT47,SWALES!AT47,SWEST!AT47,LPN!AT47,SPN!AT47,EPN!AT47,SPD!AT47,SPMW!AT47,SSEH!AT47,SSES!AT47)</f>
        <v>0</v>
      </c>
      <c r="AU47" s="476">
        <f>CHOOSE($B$3,ENWL!AU47,NPgN!AU47,NPgY!AU47,WMID!AU47,EMID!AU47,SWALES!AU47,SWEST!AU47,LPN!AU47,SPN!AU47,EPN!AU47,SPD!AU47,SPMW!AU47,SSEH!AU47,SSES!AU47)</f>
        <v>0</v>
      </c>
      <c r="AV47" s="476">
        <f>CHOOSE($B$3,ENWL!AV47,NPgN!AV47,NPgY!AV47,WMID!AV47,EMID!AV47,SWALES!AV47,SWEST!AV47,LPN!AV47,SPN!AV47,EPN!AV47,SPD!AV47,SPMW!AV47,SSEH!AV47,SSES!AV47)</f>
        <v>0</v>
      </c>
      <c r="AW47" s="184"/>
    </row>
    <row r="48" spans="1:50" ht="15">
      <c r="A48" s="82"/>
      <c r="B48" s="82"/>
      <c r="C48" s="82"/>
      <c r="D48" s="82"/>
      <c r="E48" s="82" t="str">
        <f>CHOOSE($B$3,ENWL!E48,NPgN!E48,NPgY!E48,WMID!E48,EMID!E48,SWALES!E48,SWEST!E48,LPN!E48,SPN!E48,EPN!E48,SPD!E48,SPMW!E48,SSEH!E48,SSES!E48)</f>
        <v>Hebrides and Orkney Re-opener (SSEH only)</v>
      </c>
      <c r="F48" s="82"/>
      <c r="G48" s="82" t="s">
        <v>105</v>
      </c>
      <c r="H48" s="82" t="str">
        <f>CHOOSE($B$3,ENWL!H48,NPgN!H48,NPgY!H48,WMID!H48,EMID!H48,SWALES!H48,SWEST!H48,LPN!H48,SPN!H48,EPN!H48,SPD!H48,SPMW!H48,SSEH!H48,SSES!H48)</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f>CHOOSE($B$3,ENWL!AR48,NPgN!AR48,NPgY!AR48,WMID!AR48,EMID!AR48,SWALES!AR48,SWEST!AR48,LPN!AR48,SPN!AR48,EPN!AR48,SPD!AR48,SPMW!AR48,SSEH!AR48,SSES!AR48)</f>
        <v>0</v>
      </c>
      <c r="AS48" s="476">
        <f>CHOOSE($B$3,ENWL!AS48,NPgN!AS48,NPgY!AS48,WMID!AS48,EMID!AS48,SWALES!AS48,SWEST!AS48,LPN!AS48,SPN!AS48,EPN!AS48,SPD!AS48,SPMW!AS48,SSEH!AS48,SSES!AS48)</f>
        <v>0</v>
      </c>
      <c r="AT48" s="476">
        <f>CHOOSE($B$3,ENWL!AT48,NPgN!AT48,NPgY!AT48,WMID!AT48,EMID!AT48,SWALES!AT48,SWEST!AT48,LPN!AT48,SPN!AT48,EPN!AT48,SPD!AT48,SPMW!AT48,SSEH!AT48,SSES!AT48)</f>
        <v>0</v>
      </c>
      <c r="AU48" s="476">
        <f>CHOOSE($B$3,ENWL!AU48,NPgN!AU48,NPgY!AU48,WMID!AU48,EMID!AU48,SWALES!AU48,SWEST!AU48,LPN!AU48,SPN!AU48,EPN!AU48,SPD!AU48,SPMW!AU48,SSEH!AU48,SSES!AU48)</f>
        <v>0</v>
      </c>
      <c r="AV48" s="476">
        <f>CHOOSE($B$3,ENWL!AV48,NPgN!AV48,NPgY!AV48,WMID!AV48,EMID!AV48,SWALES!AV48,SWEST!AV48,LPN!AV48,SPN!AV48,EPN!AV48,SPD!AV48,SPMW!AV48,SSEH!AV48,SSES!AV48)</f>
        <v>0</v>
      </c>
      <c r="AW48" s="184"/>
    </row>
    <row r="49" spans="1:49" ht="15">
      <c r="A49" s="82"/>
      <c r="B49" s="82"/>
      <c r="C49" s="82"/>
      <c r="D49" s="82"/>
      <c r="E49" s="82" t="str">
        <f>CHOOSE($B$3,ENWL!E49,NPgN!E49,NPgY!E49,WMID!E49,EMID!E49,SWALES!E49,SWEST!E49,LPN!E49,SPN!E49,EPN!E49,SPD!E49,SPMW!E49,SSEH!E49,SSES!E49)</f>
        <v>Smart Street Mechanistic Price Control Deliverable (ENWL only)</v>
      </c>
      <c r="F49" s="82"/>
      <c r="G49" s="82" t="s">
        <v>105</v>
      </c>
      <c r="H49" s="82" t="str">
        <f>CHOOSE($B$3,ENWL!H49,NPgN!H49,NPgY!H49,WMID!H49,EMID!H49,SWALES!H49,SWEST!H49,LPN!H49,SPN!H49,EPN!H49,SPD!H49,SPMW!H49,SSEH!H49,SSES!H49)</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f>CHOOSE($B$3,ENWL!AR49,NPgN!AR49,NPgY!AR49,WMID!AR49,EMID!AR49,SWALES!AR49,SWEST!AR49,LPN!AR49,SPN!AR49,EPN!AR49,SPD!AR49,SPMW!AR49,SSEH!AR49,SSES!AR49)</f>
        <v>0</v>
      </c>
      <c r="AS49" s="476">
        <f>CHOOSE($B$3,ENWL!AS49,NPgN!AS49,NPgY!AS49,WMID!AS49,EMID!AS49,SWALES!AS49,SWEST!AS49,LPN!AS49,SPN!AS49,EPN!AS49,SPD!AS49,SPMW!AS49,SSEH!AS49,SSES!AS49)</f>
        <v>0</v>
      </c>
      <c r="AT49" s="476">
        <f>CHOOSE($B$3,ENWL!AT49,NPgN!AT49,NPgY!AT49,WMID!AT49,EMID!AT49,SWALES!AT49,SWEST!AT49,LPN!AT49,SPN!AT49,EPN!AT49,SPD!AT49,SPMW!AT49,SSEH!AT49,SSES!AT49)</f>
        <v>0</v>
      </c>
      <c r="AU49" s="476">
        <f>CHOOSE($B$3,ENWL!AU49,NPgN!AU49,NPgY!AU49,WMID!AU49,EMID!AU49,SWALES!AU49,SWEST!AU49,LPN!AU49,SPN!AU49,EPN!AU49,SPD!AU49,SPMW!AU49,SSEH!AU49,SSES!AU49)</f>
        <v>0</v>
      </c>
      <c r="AV49" s="476">
        <f>CHOOSE($B$3,ENWL!AV49,NPgN!AV49,NPgY!AV49,WMID!AV49,EMID!AV49,SWALES!AV49,SWEST!AV49,LPN!AV49,SPN!AV49,EPN!AV49,SPD!AV49,SPMW!AV49,SSEH!AV49,SSES!AV49)</f>
        <v>0</v>
      </c>
      <c r="AW49" s="184"/>
    </row>
    <row r="50" spans="1:49" ht="15">
      <c r="A50" s="82"/>
      <c r="B50" s="82"/>
      <c r="C50" s="82"/>
      <c r="D50" s="82"/>
      <c r="E50" s="82" t="str">
        <f>CHOOSE($B$3,ENWL!E50,NPgN!E50,NPgY!E50,WMID!E50,EMID!E50,SWALES!E50,SWEST!E50,LPN!E50,SPN!E50,EPN!E50,SPD!E50,SPMW!E50,SSEH!E50,SSES!E50)</f>
        <v>Worst Served Customers</v>
      </c>
      <c r="F50" s="82"/>
      <c r="G50" s="82" t="s">
        <v>105</v>
      </c>
      <c r="H50" s="82" t="str">
        <f>CHOOSE($B$3,ENWL!H50,NPgN!H50,NPgY!H50,WMID!H50,EMID!H50,SWALES!H50,SWEST!H50,LPN!H50,SPN!H50,EPN!H50,SPD!H50,SPMW!H50,SSEH!H50,SSES!H50)</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f>CHOOSE($B$3,ENWL!AR50,NPgN!AR50,NPgY!AR50,WMID!AR50,EMID!AR50,SWALES!AR50,SWEST!AR50,LPN!AR50,SPN!AR50,EPN!AR50,SPD!AR50,SPMW!AR50,SSEH!AR50,SSES!AR50)</f>
        <v>0.15473140499478172</v>
      </c>
      <c r="AS50" s="476">
        <f>CHOOSE($B$3,ENWL!AS50,NPgN!AS50,NPgY!AS50,WMID!AS50,EMID!AS50,SWALES!AS50,SWEST!AS50,LPN!AS50,SPN!AS50,EPN!AS50,SPD!AS50,SPMW!AS50,SSEH!AS50,SSES!AS50)</f>
        <v>0.16028178160164702</v>
      </c>
      <c r="AT50" s="476">
        <f>CHOOSE($B$3,ENWL!AT50,NPgN!AT50,NPgY!AT50,WMID!AT50,EMID!AT50,SWALES!AT50,SWEST!AT50,LPN!AT50,SPN!AT50,EPN!AT50,SPD!AT50,SPMW!AT50,SSEH!AT50,SSES!AT50)</f>
        <v>0.17030084612910451</v>
      </c>
      <c r="AU50" s="476">
        <f>CHOOSE($B$3,ENWL!AU50,NPgN!AU50,NPgY!AU50,WMID!AU50,EMID!AU50,SWALES!AU50,SWEST!AU50,LPN!AU50,SPN!AU50,EPN!AU50,SPD!AU50,SPMW!AU50,SSEH!AU50,SSES!AU50)</f>
        <v>0.1841790696069168</v>
      </c>
      <c r="AV50" s="476">
        <f>CHOOSE($B$3,ENWL!AV50,NPgN!AV50,NPgY!AV50,WMID!AV50,EMID!AV50,SWALES!AV50,SWEST!AV50,LPN!AV50,SPN!AV50,EPN!AV50,SPD!AV50,SPMW!AV50,SSEH!AV50,SSES!AV50)</f>
        <v>0.18050689766755001</v>
      </c>
      <c r="AW50" s="184"/>
    </row>
    <row r="51" spans="1:49" ht="15">
      <c r="A51" s="82"/>
      <c r="B51" s="82"/>
      <c r="C51" s="82"/>
      <c r="D51" s="82"/>
      <c r="E51" s="82" t="str">
        <f>CHOOSE($B$3,ENWL!E51,NPgN!E51,NPgY!E51,WMID!E51,EMID!E51,SWALES!E51,SWEST!E51,LPN!E51,SPN!E51,EPN!E51,SPD!E51,SPMW!E51,SSEH!E51,SSES!E51)</f>
        <v>EV Optioneering Projects</v>
      </c>
      <c r="F51" s="82"/>
      <c r="G51" s="82" t="s">
        <v>105</v>
      </c>
      <c r="H51" s="82" t="str">
        <f>CHOOSE($B$3,ENWL!H51,NPgN!H51,NPgY!H51,WMID!H51,EMID!H51,SWALES!H51,SWEST!H51,LPN!H51,SPN!H51,EPN!H51,SPD!H51,SPMW!H51,SSEH!H51,SSES!H51)</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f>CHOOSE($B$3,ENWL!AR51,NPgN!AR51,NPgY!AR51,WMID!AR51,EMID!AR51,SWALES!AR51,SWEST!AR51,LPN!AR51,SPN!AR51,EPN!AR51,SPD!AR51,SPMW!AR51,SSEH!AR51,SSES!AR51)</f>
        <v>0</v>
      </c>
      <c r="AS51" s="476">
        <f>CHOOSE($B$3,ENWL!AS51,NPgN!AS51,NPgY!AS51,WMID!AS51,EMID!AS51,SWALES!AS51,SWEST!AS51,LPN!AS51,SPN!AS51,EPN!AS51,SPD!AS51,SPMW!AS51,SSEH!AS51,SSES!AS51)</f>
        <v>0</v>
      </c>
      <c r="AT51" s="476">
        <f>CHOOSE($B$3,ENWL!AT51,NPgN!AT51,NPgY!AT51,WMID!AT51,EMID!AT51,SWALES!AT51,SWEST!AT51,LPN!AT51,SPN!AT51,EPN!AT51,SPD!AT51,SPMW!AT51,SSEH!AT51,SSES!AT51)</f>
        <v>0</v>
      </c>
      <c r="AU51" s="476">
        <f>CHOOSE($B$3,ENWL!AU51,NPgN!AU51,NPgY!AU51,WMID!AU51,EMID!AU51,SWALES!AU51,SWEST!AU51,LPN!AU51,SPN!AU51,EPN!AU51,SPD!AU51,SPMW!AU51,SSEH!AU51,SSES!AU51)</f>
        <v>0</v>
      </c>
      <c r="AV51" s="476">
        <f>CHOOSE($B$3,ENWL!AV51,NPgN!AV51,NPgY!AV51,WMID!AV51,EMID!AV51,SWALES!AV51,SWEST!AV51,LPN!AV51,SPN!AV51,EPN!AV51,SPD!AV51,SPMW!AV51,SSEH!AV51,SSES!AV51)</f>
        <v>0</v>
      </c>
      <c r="AW51" s="184"/>
    </row>
    <row r="52" spans="1:49" ht="15">
      <c r="A52" s="82"/>
      <c r="B52" s="82"/>
      <c r="C52" s="82"/>
      <c r="D52" s="82"/>
      <c r="E52" s="82" t="str">
        <f>CHOOSE($B$3,ENWL!E52,NPgN!E52,NPgY!E52,WMID!E52,EMID!E52,SWALES!E52,SWEST!E52,LPN!E52,SPN!E52,EPN!E52,SPD!E52,SPMW!E52,SSEH!E52,SSES!E52)</f>
        <v>Cyber Resilience IT baseline</v>
      </c>
      <c r="F52" s="82"/>
      <c r="G52" s="82" t="s">
        <v>105</v>
      </c>
      <c r="H52" s="82" t="str">
        <f>CHOOSE($B$3,ENWL!H52,NPgN!H52,NPgY!H52,WMID!H52,EMID!H52,SWALES!H52,SWEST!H52,LPN!H52,SPN!H52,EPN!H52,SPD!H52,SPMW!H52,SSEH!H52,SSES!H52)</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f>CHOOSE($B$3,ENWL!AR52,NPgN!AR52,NPgY!AR52,WMID!AR52,EMID!AR52,SWALES!AR52,SWEST!AR52,LPN!AR52,SPN!AR52,EPN!AR52,SPD!AR52,SPMW!AR52,SSEH!AR52,SSES!AR52)</f>
        <v>1.88</v>
      </c>
      <c r="AS52" s="476">
        <f>CHOOSE($B$3,ENWL!AS52,NPgN!AS52,NPgY!AS52,WMID!AS52,EMID!AS52,SWALES!AS52,SWEST!AS52,LPN!AS52,SPN!AS52,EPN!AS52,SPD!AS52,SPMW!AS52,SSEH!AS52,SSES!AS52)</f>
        <v>1.82</v>
      </c>
      <c r="AT52" s="476">
        <f>CHOOSE($B$3,ENWL!AT52,NPgN!AT52,NPgY!AT52,WMID!AT52,EMID!AT52,SWALES!AT52,SWEST!AT52,LPN!AT52,SPN!AT52,EPN!AT52,SPD!AT52,SPMW!AT52,SSEH!AT52,SSES!AT52)</f>
        <v>0.34</v>
      </c>
      <c r="AU52" s="476">
        <f>CHOOSE($B$3,ENWL!AU52,NPgN!AU52,NPgY!AU52,WMID!AU52,EMID!AU52,SWALES!AU52,SWEST!AU52,LPN!AU52,SPN!AU52,EPN!AU52,SPD!AU52,SPMW!AU52,SSEH!AU52,SSES!AU52)</f>
        <v>0.23</v>
      </c>
      <c r="AV52" s="476">
        <f>CHOOSE($B$3,ENWL!AV52,NPgN!AV52,NPgY!AV52,WMID!AV52,EMID!AV52,SWALES!AV52,SWEST!AV52,LPN!AV52,SPN!AV52,EPN!AV52,SPD!AV52,SPMW!AV52,SSEH!AV52,SSES!AV52)</f>
        <v>0.22</v>
      </c>
      <c r="AW52" s="184"/>
    </row>
    <row r="53" spans="1:49" ht="15">
      <c r="A53" s="82"/>
      <c r="B53" s="82"/>
      <c r="C53" s="82"/>
      <c r="D53" s="82"/>
      <c r="E53" s="82" t="str">
        <f>CHOOSE($B$3,ENWL!E53,NPgN!E53,NPgY!E53,WMID!E53,EMID!E53,SWALES!E53,SWEST!E53,LPN!E53,SPN!E53,EPN!E53,SPD!E53,SPMW!E53,SSEH!E53,SSES!E53)</f>
        <v>Wayleaves and Diversions Re-opener</v>
      </c>
      <c r="F53" s="82"/>
      <c r="G53" s="82" t="s">
        <v>105</v>
      </c>
      <c r="H53" s="82" t="str">
        <f>CHOOSE($B$3,ENWL!H53,NPgN!H53,NPgY!H53,WMID!H53,EMID!H53,SWALES!H53,SWEST!H53,LPN!H53,SPN!H53,EPN!H53,SPD!H53,SPMW!H53,SSEH!H53,SSES!H53)</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f>CHOOSE($B$3,ENWL!AR53,NPgN!AR53,NPgY!AR53,WMID!AR53,EMID!AR53,SWALES!AR53,SWEST!AR53,LPN!AR53,SPN!AR53,EPN!AR53,SPD!AR53,SPMW!AR53,SSEH!AR53,SSES!AR53)</f>
        <v>0</v>
      </c>
      <c r="AS53" s="476">
        <f>CHOOSE($B$3,ENWL!AS53,NPgN!AS53,NPgY!AS53,WMID!AS53,EMID!AS53,SWALES!AS53,SWEST!AS53,LPN!AS53,SPN!AS53,EPN!AS53,SPD!AS53,SPMW!AS53,SSEH!AS53,SSES!AS53)</f>
        <v>0</v>
      </c>
      <c r="AT53" s="476">
        <f>CHOOSE($B$3,ENWL!AT53,NPgN!AT53,NPgY!AT53,WMID!AT53,EMID!AT53,SWALES!AT53,SWEST!AT53,LPN!AT53,SPN!AT53,EPN!AT53,SPD!AT53,SPMW!AT53,SSEH!AT53,SSES!AT53)</f>
        <v>0</v>
      </c>
      <c r="AU53" s="476">
        <f>CHOOSE($B$3,ENWL!AU53,NPgN!AU53,NPgY!AU53,WMID!AU53,EMID!AU53,SWALES!AU53,SWEST!AU53,LPN!AU53,SPN!AU53,EPN!AU53,SPD!AU53,SPMW!AU53,SSEH!AU53,SSES!AU53)</f>
        <v>0</v>
      </c>
      <c r="AV53" s="476">
        <f>CHOOSE($B$3,ENWL!AV53,NPgN!AV53,NPgY!AV53,WMID!AV53,EMID!AV53,SWALES!AV53,SWEST!AV53,LPN!AV53,SPN!AV53,EPN!AV53,SPD!AV53,SPMW!AV53,SSEH!AV53,SSES!AV53)</f>
        <v>0</v>
      </c>
      <c r="AW53" s="184"/>
    </row>
    <row r="54" spans="1:49" ht="15">
      <c r="A54" s="82"/>
      <c r="B54" s="82"/>
      <c r="C54" s="82"/>
      <c r="D54" s="82"/>
      <c r="E54" s="82" t="str">
        <f>CHOOSE($B$3,ENWL!E54,NPgN!E54,NPgY!E54,WMID!E54,EMID!E54,SWALES!E54,SWEST!E54,LPN!E54,SPN!E54,EPN!E54,SPD!E54,SPMW!E54,SSEH!E54,SSES!E54)</f>
        <v>Indirects Scaler</v>
      </c>
      <c r="F54" s="82"/>
      <c r="G54" s="82" t="s">
        <v>105</v>
      </c>
      <c r="H54" s="82" t="str">
        <f>CHOOSE($B$3,ENWL!H54,NPgN!H54,NPgY!H54,WMID!H54,EMID!H54,SWALES!H54,SWEST!H54,LPN!H54,SPN!H54,EPN!H54,SPD!H54,SPMW!H54,SSEH!H54,SSES!H54)</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f>CHOOSE($B$3,ENWL!AR54,NPgN!AR54,NPgY!AR54,WMID!AR54,EMID!AR54,SWALES!AR54,SWEST!AR54,LPN!AR54,SPN!AR54,EPN!AR54,SPD!AR54,SPMW!AR54,SSEH!AR54,SSES!AR54)</f>
        <v>0.14042249585758648</v>
      </c>
      <c r="AS54" s="476">
        <f>CHOOSE($B$3,ENWL!AS54,NPgN!AS54,NPgY!AS54,WMID!AS54,EMID!AS54,SWALES!AS54,SWEST!AS54,LPN!AS54,SPN!AS54,EPN!AS54,SPD!AS54,SPMW!AS54,SSEH!AS54,SSES!AS54)</f>
        <v>0.45714424712212476</v>
      </c>
      <c r="AT54" s="476">
        <f>CHOOSE($B$3,ENWL!AT54,NPgN!AT54,NPgY!AT54,WMID!AT54,EMID!AT54,SWALES!AT54,SWEST!AT54,LPN!AT54,SPN!AT54,EPN!AT54,SPD!AT54,SPMW!AT54,SSEH!AT54,SSES!AT54)</f>
        <v>1.1611383297054858</v>
      </c>
      <c r="AU54" s="476">
        <f>CHOOSE($B$3,ENWL!AU54,NPgN!AU54,NPgY!AU54,WMID!AU54,EMID!AU54,SWALES!AU54,SWEST!AU54,LPN!AU54,SPN!AU54,EPN!AU54,SPD!AU54,SPMW!AU54,SSEH!AU54,SSES!AU54)</f>
        <v>1.4473610042006673</v>
      </c>
      <c r="AV54" s="476">
        <f>CHOOSE($B$3,ENWL!AV54,NPgN!AV54,NPgY!AV54,WMID!AV54,EMID!AV54,SWALES!AV54,SWEST!AV54,LPN!AV54,SPN!AV54,EPN!AV54,SPD!AV54,SPMW!AV54,SSEH!AV54,SSES!AV54)</f>
        <v>1.4901918741782023</v>
      </c>
      <c r="AW54" s="184"/>
    </row>
    <row r="55" spans="1:49" ht="15">
      <c r="A55" s="82"/>
      <c r="B55" s="82"/>
      <c r="C55" s="82"/>
      <c r="D55" s="82"/>
      <c r="E55" s="182" t="str">
        <f>CHOOSE($B$3,ENWL!E55,NPgN!E55,NPgY!E55,WMID!E55,EMID!E55,SWALES!E55,SWEST!E55,LPN!E55,SPN!E55,EPN!E55,SPD!E55,SPMW!E55,SSEH!E55,SSES!E55)</f>
        <v>LineSIGHT Mechanistic Price Control Deliverable (ENWL only)</v>
      </c>
      <c r="F55" s="82"/>
      <c r="G55" s="82" t="s">
        <v>105</v>
      </c>
      <c r="H55" s="82" t="str">
        <f>CHOOSE($B$3,ENWL!H55,NPgN!H55,NPgY!H55,WMID!H55,EMID!H55,SWALES!H55,SWEST!H55,LPN!H55,SPN!H55,EPN!H55,SPD!H55,SPMW!H55,SSEH!H55,SSES!H55)</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f>CHOOSE($B$3,ENWL!AR55,NPgN!AR55,NPgY!AR55,WMID!AR55,EMID!AR55,SWALES!AR55,SWEST!AR55,LPN!AR55,SPN!AR55,EPN!AR55,SPD!AR55,SPMW!AR55,SSEH!AR55,SSES!AR55)</f>
        <v>0</v>
      </c>
      <c r="AS55" s="476">
        <f>CHOOSE($B$3,ENWL!AS55,NPgN!AS55,NPgY!AS55,WMID!AS55,EMID!AS55,SWALES!AS55,SWEST!AS55,LPN!AS55,SPN!AS55,EPN!AS55,SPD!AS55,SPMW!AS55,SSEH!AS55,SSES!AS55)</f>
        <v>0</v>
      </c>
      <c r="AT55" s="476">
        <f>CHOOSE($B$3,ENWL!AT55,NPgN!AT55,NPgY!AT55,WMID!AT55,EMID!AT55,SWALES!AT55,SWEST!AT55,LPN!AT55,SPN!AT55,EPN!AT55,SPD!AT55,SPMW!AT55,SSEH!AT55,SSES!AT55)</f>
        <v>0</v>
      </c>
      <c r="AU55" s="476">
        <f>CHOOSE($B$3,ENWL!AU55,NPgN!AU55,NPgY!AU55,WMID!AU55,EMID!AU55,SWALES!AU55,SWEST!AU55,LPN!AU55,SPN!AU55,EPN!AU55,SPD!AU55,SPMW!AU55,SSEH!AU55,SSES!AU55)</f>
        <v>0</v>
      </c>
      <c r="AV55" s="476">
        <f>CHOOSE($B$3,ENWL!AV55,NPgN!AV55,NPgY!AV55,WMID!AV55,EMID!AV55,SWALES!AV55,SWEST!AV55,LPN!AV55,SPN!AV55,EPN!AV55,SPD!AV55,SPMW!AV55,SSEH!AV55,SSES!AV55)</f>
        <v>0</v>
      </c>
      <c r="AW55" s="184"/>
    </row>
    <row r="56" spans="1:49" ht="15">
      <c r="A56" s="82"/>
      <c r="B56" s="82"/>
      <c r="C56" s="82"/>
      <c r="D56" s="82"/>
      <c r="E56" s="182" t="str">
        <f>CHOOSE($B$3,ENWL!E56,NPgN!E56,NPgY!E56,WMID!E56,EMID!E56,SWALES!E56,SWEST!E56,LPN!E56,SPN!E56,EPN!E56,SPD!E56,SPMW!E56,SSEH!E56,SSES!E56)</f>
        <v>New Depot (EMID, SWALES, SWEST and WMID only)</v>
      </c>
      <c r="F56" s="82"/>
      <c r="G56" s="82" t="s">
        <v>105</v>
      </c>
      <c r="H56" s="82" t="str">
        <f>CHOOSE($B$3,ENWL!H56,NPgN!H56,NPgY!H56,WMID!H56,EMID!H56,SWALES!H56,SWEST!H56,LPN!H56,SPN!H56,EPN!H56,SPD!H56,SPMW!H56,SSEH!H56,SSES!H56)</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f>CHOOSE($B$3,ENWL!AR56,NPgN!AR56,NPgY!AR56,WMID!AR56,EMID!AR56,SWALES!AR56,SWEST!AR56,LPN!AR56,SPN!AR56,EPN!AR56,SPD!AR56,SPMW!AR56,SSEH!AR56,SSES!AR56)</f>
        <v>0</v>
      </c>
      <c r="AS56" s="476">
        <f>CHOOSE($B$3,ENWL!AS56,NPgN!AS56,NPgY!AS56,WMID!AS56,EMID!AS56,SWALES!AS56,SWEST!AS56,LPN!AS56,SPN!AS56,EPN!AS56,SPD!AS56,SPMW!AS56,SSEH!AS56,SSES!AS56)</f>
        <v>0</v>
      </c>
      <c r="AT56" s="476">
        <f>CHOOSE($B$3,ENWL!AT56,NPgN!AT56,NPgY!AT56,WMID!AT56,EMID!AT56,SWALES!AT56,SWEST!AT56,LPN!AT56,SPN!AT56,EPN!AT56,SPD!AT56,SPMW!AT56,SSEH!AT56,SSES!AT56)</f>
        <v>0</v>
      </c>
      <c r="AU56" s="476">
        <f>CHOOSE($B$3,ENWL!AU56,NPgN!AU56,NPgY!AU56,WMID!AU56,EMID!AU56,SWALES!AU56,SWEST!AU56,LPN!AU56,SPN!AU56,EPN!AU56,SPD!AU56,SPMW!AU56,SSEH!AU56,SSES!AU56)</f>
        <v>0</v>
      </c>
      <c r="AV56" s="476">
        <f>CHOOSE($B$3,ENWL!AV56,NPgN!AV56,NPgY!AV56,WMID!AV56,EMID!AV56,SWALES!AV56,SWEST!AV56,LPN!AV56,SPN!AV56,EPN!AV56,SPD!AV56,SPMW!AV56,SSEH!AV56,SSES!AV56)</f>
        <v>0</v>
      </c>
      <c r="AW56" s="184"/>
    </row>
    <row r="57" spans="1:49" ht="15">
      <c r="A57" s="82"/>
      <c r="B57" s="82"/>
      <c r="C57" s="82"/>
      <c r="D57" s="82"/>
      <c r="E57" s="182" t="str">
        <f>CHOOSE($B$3,ENWL!E57,NPgN!E57,NPgY!E57,WMID!E57,EMID!E57,SWALES!E57,SWEST!E57,LPN!E57,SPN!E57,EPN!E57,SPD!E57,SPMW!E57,SSEH!E57,SSES!E57)</f>
        <v>New Control Room (SSES and SSEH only)</v>
      </c>
      <c r="F57" s="82"/>
      <c r="G57" s="82" t="s">
        <v>105</v>
      </c>
      <c r="H57" s="82" t="str">
        <f>CHOOSE($B$3,ENWL!H57,NPgN!H57,NPgY!H57,WMID!H57,EMID!H57,SWALES!H57,SWEST!H57,LPN!H57,SPN!H57,EPN!H57,SPD!H57,SPMW!H57,SSEH!H57,SSES!H57)</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f>CHOOSE($B$3,ENWL!AR57,NPgN!AR57,NPgY!AR57,WMID!AR57,EMID!AR57,SWALES!AR57,SWEST!AR57,LPN!AR57,SPN!AR57,EPN!AR57,SPD!AR57,SPMW!AR57,SSEH!AR57,SSES!AR57)</f>
        <v>0</v>
      </c>
      <c r="AS57" s="476">
        <f>CHOOSE($B$3,ENWL!AS57,NPgN!AS57,NPgY!AS57,WMID!AS57,EMID!AS57,SWALES!AS57,SWEST!AS57,LPN!AS57,SPN!AS57,EPN!AS57,SPD!AS57,SPMW!AS57,SSEH!AS57,SSES!AS57)</f>
        <v>0</v>
      </c>
      <c r="AT57" s="476">
        <f>CHOOSE($B$3,ENWL!AT57,NPgN!AT57,NPgY!AT57,WMID!AT57,EMID!AT57,SWALES!AT57,SWEST!AT57,LPN!AT57,SPN!AT57,EPN!AT57,SPD!AT57,SPMW!AT57,SSEH!AT57,SSES!AT57)</f>
        <v>0</v>
      </c>
      <c r="AU57" s="476">
        <f>CHOOSE($B$3,ENWL!AU57,NPgN!AU57,NPgY!AU57,WMID!AU57,EMID!AU57,SWALES!AU57,SWEST!AU57,LPN!AU57,SPN!AU57,EPN!AU57,SPD!AU57,SPMW!AU57,SSEH!AU57,SSES!AU57)</f>
        <v>0</v>
      </c>
      <c r="AV57" s="476">
        <f>CHOOSE($B$3,ENWL!AV57,NPgN!AV57,NPgY!AV57,WMID!AV57,EMID!AV57,SWALES!AV57,SWEST!AV57,LPN!AV57,SPN!AV57,EPN!AV57,SPD!AV57,SPMW!AV57,SSEH!AV57,SSES!AV57)</f>
        <v>0</v>
      </c>
      <c r="AW57" s="184"/>
    </row>
    <row r="58" spans="1:49" ht="15">
      <c r="A58" s="82"/>
      <c r="B58" s="82"/>
      <c r="C58" s="82"/>
      <c r="D58" s="82"/>
      <c r="E58" s="182" t="str">
        <f>CHOOSE($B$3,ENWL!E58,NPgN!E58,NPgY!E58,WMID!E58,EMID!E58,SWALES!E58,SWEST!E58,LPN!E58,SPN!E58,EPN!E58,SPD!E58,SPMW!E58,SSEH!E58,SSES!E58)</f>
        <v>Storm Arwen Re-opener</v>
      </c>
      <c r="F58" s="82"/>
      <c r="G58" s="82" t="s">
        <v>105</v>
      </c>
      <c r="H58" s="82" t="str">
        <f>CHOOSE($B$3,ENWL!H58,NPgN!H58,NPgY!H58,WMID!H58,EMID!H58,SWALES!H58,SWEST!H58,LPN!H58,SPN!H58,EPN!H58,SPD!H58,SPMW!H58,SSEH!H58,SSES!H58)</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f>CHOOSE($B$3,ENWL!AR58,NPgN!AR58,NPgY!AR58,WMID!AR58,EMID!AR58,SWALES!AR58,SWEST!AR58,LPN!AR58,SPN!AR58,EPN!AR58,SPD!AR58,SPMW!AR58,SSEH!AR58,SSES!AR58)</f>
        <v>0</v>
      </c>
      <c r="AS58" s="476">
        <f>CHOOSE($B$3,ENWL!AS58,NPgN!AS58,NPgY!AS58,WMID!AS58,EMID!AS58,SWALES!AS58,SWEST!AS58,LPN!AS58,SPN!AS58,EPN!AS58,SPD!AS58,SPMW!AS58,SSEH!AS58,SSES!AS58)</f>
        <v>0</v>
      </c>
      <c r="AT58" s="476">
        <f>CHOOSE($B$3,ENWL!AT58,NPgN!AT58,NPgY!AT58,WMID!AT58,EMID!AT58,SWALES!AT58,SWEST!AT58,LPN!AT58,SPN!AT58,EPN!AT58,SPD!AT58,SPMW!AT58,SSEH!AT58,SSES!AT58)</f>
        <v>0</v>
      </c>
      <c r="AU58" s="476">
        <f>CHOOSE($B$3,ENWL!AU58,NPgN!AU58,NPgY!AU58,WMID!AU58,EMID!AU58,SWALES!AU58,SWEST!AU58,LPN!AU58,SPN!AU58,EPN!AU58,SPD!AU58,SPMW!AU58,SSEH!AU58,SSES!AU58)</f>
        <v>0</v>
      </c>
      <c r="AV58" s="476">
        <f>CHOOSE($B$3,ENWL!AV58,NPgN!AV58,NPgY!AV58,WMID!AV58,EMID!AV58,SWALES!AV58,SWEST!AV58,LPN!AV58,SPN!AV58,EPN!AV58,SPD!AV58,SPMW!AV58,SSEH!AV58,SSES!AV58)</f>
        <v>0</v>
      </c>
      <c r="AW58" s="184"/>
    </row>
    <row r="59" spans="1:49" ht="15">
      <c r="A59" s="82"/>
      <c r="B59" s="82"/>
      <c r="C59" s="82"/>
      <c r="D59" s="82"/>
      <c r="E59" s="182" t="str">
        <f>CHOOSE($B$3,ENWL!E59,NPgN!E59,NPgY!E59,WMID!E59,EMID!E59,SWALES!E59,SWEST!E59,LPN!E59,SPN!E59,EPN!E59,SPD!E59,SPMW!E59,SSEH!E59,SSES!E59)</f>
        <v>High Value Projects Re-opener</v>
      </c>
      <c r="F59" s="82"/>
      <c r="G59" s="82" t="s">
        <v>105</v>
      </c>
      <c r="H59" s="82" t="str">
        <f>CHOOSE($B$3,ENWL!H59,NPgN!H59,NPgY!H59,WMID!H59,EMID!H59,SWALES!H59,SWEST!H59,LPN!H59,SPN!H59,EPN!H59,SPD!H59,SPMW!H59,SSEH!H59,SSES!H59)</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f>CHOOSE($B$3,ENWL!AR59,NPgN!AR59,NPgY!AR59,WMID!AR59,EMID!AR59,SWALES!AR59,SWEST!AR59,LPN!AR59,SPN!AR59,EPN!AR59,SPD!AR59,SPMW!AR59,SSEH!AR59,SSES!AR59)</f>
        <v>0</v>
      </c>
      <c r="AS59" s="476">
        <f>CHOOSE($B$3,ENWL!AS59,NPgN!AS59,NPgY!AS59,WMID!AS59,EMID!AS59,SWALES!AS59,SWEST!AS59,LPN!AS59,SPN!AS59,EPN!AS59,SPD!AS59,SPMW!AS59,SSEH!AS59,SSES!AS59)</f>
        <v>0</v>
      </c>
      <c r="AT59" s="476">
        <f>CHOOSE($B$3,ENWL!AT59,NPgN!AT59,NPgY!AT59,WMID!AT59,EMID!AT59,SWALES!AT59,SWEST!AT59,LPN!AT59,SPN!AT59,EPN!AT59,SPD!AT59,SPMW!AT59,SSEH!AT59,SSES!AT59)</f>
        <v>0</v>
      </c>
      <c r="AU59" s="476">
        <f>CHOOSE($B$3,ENWL!AU59,NPgN!AU59,NPgY!AU59,WMID!AU59,EMID!AU59,SWALES!AU59,SWEST!AU59,LPN!AU59,SPN!AU59,EPN!AU59,SPD!AU59,SPMW!AU59,SSEH!AU59,SSES!AU59)</f>
        <v>0</v>
      </c>
      <c r="AV59" s="476">
        <f>CHOOSE($B$3,ENWL!AV59,NPgN!AV59,NPgY!AV59,WMID!AV59,EMID!AV59,SWALES!AV59,SWEST!AV59,LPN!AV59,SPN!AV59,EPN!AV59,SPD!AV59,SPMW!AV59,SSEH!AV59,SSES!AV59)</f>
        <v>0</v>
      </c>
      <c r="AW59" s="184"/>
    </row>
    <row r="60" spans="1:49" ht="15">
      <c r="A60" s="82"/>
      <c r="B60" s="82"/>
      <c r="C60" s="82"/>
      <c r="D60" s="82"/>
      <c r="E60" s="182" t="str">
        <f>CHOOSE($B$3,ENWL!E60,NPgN!E60,NPgY!E60,WMID!E60,EMID!E60,SWALES!E60,SWEST!E60,LPN!E60,SPN!E60,EPN!E60,SPD!E60,SPMW!E60,SSEH!E60,SSES!E60)</f>
        <v>Strategic Investment</v>
      </c>
      <c r="F60" s="82"/>
      <c r="G60" s="82" t="s">
        <v>105</v>
      </c>
      <c r="H60" s="82" t="str">
        <f>CHOOSE($B$3,ENWL!H60,NPgN!H60,NPgY!H60,WMID!H60,EMID!H60,SWALES!H60,SWEST!H60,LPN!H60,SPN!H60,EPN!H60,SPD!H60,SPMW!H60,SSEH!H60,SSES!H60)</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f>CHOOSE($B$3,ENWL!AR60,NPgN!AR60,NPgY!AR60,WMID!AR60,EMID!AR60,SWALES!AR60,SWEST!AR60,LPN!AR60,SPN!AR60,EPN!AR60,SPD!AR60,SPMW!AR60,SSEH!AR60,SSES!AR60)</f>
        <v>0</v>
      </c>
      <c r="AS60" s="476">
        <f>CHOOSE($B$3,ENWL!AS60,NPgN!AS60,NPgY!AS60,WMID!AS60,EMID!AS60,SWALES!AS60,SWEST!AS60,LPN!AS60,SPN!AS60,EPN!AS60,SPD!AS60,SPMW!AS60,SSEH!AS60,SSES!AS60)</f>
        <v>0</v>
      </c>
      <c r="AT60" s="476">
        <f>CHOOSE($B$3,ENWL!AT60,NPgN!AT60,NPgY!AT60,WMID!AT60,EMID!AT60,SWALES!AT60,SWEST!AT60,LPN!AT60,SPN!AT60,EPN!AT60,SPD!AT60,SPMW!AT60,SSEH!AT60,SSES!AT60)</f>
        <v>0</v>
      </c>
      <c r="AU60" s="476">
        <f>CHOOSE($B$3,ENWL!AU60,NPgN!AU60,NPgY!AU60,WMID!AU60,EMID!AU60,SWALES!AU60,SWEST!AU60,LPN!AU60,SPN!AU60,EPN!AU60,SPD!AU60,SPMW!AU60,SSEH!AU60,SSES!AU60)</f>
        <v>0</v>
      </c>
      <c r="AV60" s="476">
        <f>CHOOSE($B$3,ENWL!AV60,NPgN!AV60,NPgY!AV60,WMID!AV60,EMID!AV60,SWALES!AV60,SWEST!AV60,LPN!AV60,SPN!AV60,EPN!AV60,SPD!AV60,SPMW!AV60,SSEH!AV60,SSES!AV60)</f>
        <v>0</v>
      </c>
      <c r="AW60" s="184"/>
    </row>
    <row r="61" spans="1:49" ht="15">
      <c r="A61" s="82"/>
      <c r="B61" s="82"/>
      <c r="C61" s="82"/>
      <c r="D61" s="82"/>
      <c r="E61" s="182" t="str">
        <f>CHOOSE($B$3,ENWL!E61,NPgN!E61,NPgY!E61,WMID!E61,EMID!E61,SWALES!E61,SWEST!E61,LPN!E61,SPN!E61,EPN!E61,SPD!E61,SPMW!E61,SSEH!E61,SSES!E61)</f>
        <v>Carry-over Green Recovery Scheme</v>
      </c>
      <c r="F61" s="82"/>
      <c r="G61" s="82" t="s">
        <v>105</v>
      </c>
      <c r="H61" s="82" t="str">
        <f>CHOOSE($B$3,ENWL!H61,NPgN!H61,NPgY!H61,WMID!H61,EMID!H61,SWALES!H61,SWEST!H61,LPN!H61,SPN!H61,EPN!H61,SPD!H61,SPMW!H61,SSEH!H61,SSES!H61)</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f>CHOOSE($B$3,ENWL!AR61,NPgN!AR61,NPgY!AR61,WMID!AR61,EMID!AR61,SWALES!AR61,SWEST!AR61,LPN!AR61,SPN!AR61,EPN!AR61,SPD!AR61,SPMW!AR61,SSEH!AR61,SSES!AR61)</f>
        <v>9.8873967942453884</v>
      </c>
      <c r="AS61" s="476">
        <f>CHOOSE($B$3,ENWL!AS61,NPgN!AS61,NPgY!AS61,WMID!AS61,EMID!AS61,SWALES!AS61,SWEST!AS61,LPN!AS61,SPN!AS61,EPN!AS61,SPD!AS61,SPMW!AS61,SSEH!AS61,SSES!AS61)</f>
        <v>13.679290695742472</v>
      </c>
      <c r="AT61" s="476">
        <f>CHOOSE($B$3,ENWL!AT61,NPgN!AT61,NPgY!AT61,WMID!AT61,EMID!AT61,SWALES!AT61,SWEST!AT61,LPN!AT61,SPN!AT61,EPN!AT61,SPD!AT61,SPMW!AT61,SSEH!AT61,SSES!AT61)</f>
        <v>0</v>
      </c>
      <c r="AU61" s="476">
        <f>CHOOSE($B$3,ENWL!AU61,NPgN!AU61,NPgY!AU61,WMID!AU61,EMID!AU61,SWALES!AU61,SWEST!AU61,LPN!AU61,SPN!AU61,EPN!AU61,SPD!AU61,SPMW!AU61,SSEH!AU61,SSES!AU61)</f>
        <v>0</v>
      </c>
      <c r="AV61" s="476">
        <f>CHOOSE($B$3,ENWL!AV61,NPgN!AV61,NPgY!AV61,WMID!AV61,EMID!AV61,SWALES!AV61,SWEST!AV61,LPN!AV61,SPN!AV61,EPN!AV61,SPD!AV61,SPMW!AV61,SSEH!AV61,SSES!AV61)</f>
        <v>0</v>
      </c>
      <c r="AW61" s="184"/>
    </row>
    <row r="62" spans="1:49" ht="15">
      <c r="A62" s="82"/>
      <c r="B62" s="82"/>
      <c r="C62" s="82"/>
      <c r="D62" s="82"/>
      <c r="E62" s="182" t="str">
        <f>CHOOSE($B$3,ENWL!E62,NPgN!E62,NPgY!E62,WMID!E62,EMID!E62,SWALES!E62,SWEST!E62,LPN!E62,SPN!E62,EPN!E62,SPD!E62,SPMW!E62,SSEH!E62,SSES!E62)</f>
        <v>1-in-20 Severe Weather Event</v>
      </c>
      <c r="F62" s="82"/>
      <c r="G62" s="82" t="s">
        <v>105</v>
      </c>
      <c r="H62" s="82" t="str">
        <f>CHOOSE($B$3,ENWL!H62,NPgN!H62,NPgY!H62,WMID!H62,EMID!H62,SWALES!H62,SWEST!H62,LPN!H62,SPN!H62,EPN!H62,SPD!H62,SPMW!H62,SSEH!H62,SSES!H62)</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f>CHOOSE($B$3,ENWL!AR62,NPgN!AR62,NPgY!AR62,WMID!AR62,EMID!AR62,SWALES!AR62,SWEST!AR62,LPN!AR62,SPN!AR62,EPN!AR62,SPD!AR62,SPMW!AR62,SSEH!AR62,SSES!AR62)</f>
        <v>0</v>
      </c>
      <c r="AS62" s="476">
        <f>CHOOSE($B$3,ENWL!AS62,NPgN!AS62,NPgY!AS62,WMID!AS62,EMID!AS62,SWALES!AS62,SWEST!AS62,LPN!AS62,SPN!AS62,EPN!AS62,SPD!AS62,SPMW!AS62,SSEH!AS62,SSES!AS62)</f>
        <v>0</v>
      </c>
      <c r="AT62" s="476">
        <f>CHOOSE($B$3,ENWL!AT62,NPgN!AT62,NPgY!AT62,WMID!AT62,EMID!AT62,SWALES!AT62,SWEST!AT62,LPN!AT62,SPN!AT62,EPN!AT62,SPD!AT62,SPMW!AT62,SSEH!AT62,SSES!AT62)</f>
        <v>0</v>
      </c>
      <c r="AU62" s="476">
        <f>CHOOSE($B$3,ENWL!AU62,NPgN!AU62,NPgY!AU62,WMID!AU62,EMID!AU62,SWALES!AU62,SWEST!AU62,LPN!AU62,SPN!AU62,EPN!AU62,SPD!AU62,SPMW!AU62,SSEH!AU62,SSES!AU62)</f>
        <v>0</v>
      </c>
      <c r="AV62" s="476">
        <f>CHOOSE($B$3,ENWL!AV62,NPgN!AV62,NPgY!AV62,WMID!AV62,EMID!AV62,SWALES!AV62,SWEST!AV62,LPN!AV62,SPN!AV62,EPN!AV62,SPD!AV62,SPMW!AV62,SSEH!AV62,SSES!AV62)</f>
        <v>0</v>
      </c>
      <c r="AW62" s="184"/>
    </row>
    <row r="63" spans="1:49" ht="15">
      <c r="A63" s="82"/>
      <c r="B63" s="82"/>
      <c r="C63" s="82"/>
      <c r="D63" s="82"/>
      <c r="E63" s="182" t="str">
        <f>CHOOSE($B$3,ENWL!E63,NPgN!E63,NPgY!E63,WMID!E63,EMID!E63,SWALES!E63,SWEST!E63,LPN!E63,SPN!E63,EPN!E63,SPD!E63,SPMW!E63,SSEH!E63,SSES!E63)</f>
        <v>Net to Gross Load Related Expenditure</v>
      </c>
      <c r="F63" s="82"/>
      <c r="G63" s="82" t="s">
        <v>105</v>
      </c>
      <c r="H63" s="82" t="str">
        <f>CHOOSE($B$3,ENWL!H63,NPgN!H63,NPgY!H63,WMID!H63,EMID!H63,SWALES!H63,SWEST!H63,LPN!H63,SPN!H63,EPN!H63,SPD!H63,SPMW!H63,SSEH!H63,SSES!H63)</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f>CHOOSE($B$3,ENWL!AR63,NPgN!AR63,NPgY!AR63,WMID!AR63,EMID!AR63,SWALES!AR63,SWEST!AR63,LPN!AR63,SPN!AR63,EPN!AR63,SPD!AR63,SPMW!AR63,SSEH!AR63,SSES!AR63)</f>
        <v>0</v>
      </c>
      <c r="AS63" s="476">
        <f>CHOOSE($B$3,ENWL!AS63,NPgN!AS63,NPgY!AS63,WMID!AS63,EMID!AS63,SWALES!AS63,SWEST!AS63,LPN!AS63,SPN!AS63,EPN!AS63,SPD!AS63,SPMW!AS63,SSEH!AS63,SSES!AS63)</f>
        <v>0</v>
      </c>
      <c r="AT63" s="476">
        <f>CHOOSE($B$3,ENWL!AT63,NPgN!AT63,NPgY!AT63,WMID!AT63,EMID!AT63,SWALES!AT63,SWEST!AT63,LPN!AT63,SPN!AT63,EPN!AT63,SPD!AT63,SPMW!AT63,SSEH!AT63,SSES!AT63)</f>
        <v>0</v>
      </c>
      <c r="AU63" s="476">
        <f>CHOOSE($B$3,ENWL!AU63,NPgN!AU63,NPgY!AU63,WMID!AU63,EMID!AU63,SWALES!AU63,SWEST!AU63,LPN!AU63,SPN!AU63,EPN!AU63,SPD!AU63,SPMW!AU63,SSEH!AU63,SSES!AU63)</f>
        <v>0</v>
      </c>
      <c r="AV63" s="476">
        <f>CHOOSE($B$3,ENWL!AV63,NPgN!AV63,NPgY!AV63,WMID!AV63,EMID!AV63,SWALES!AV63,SWEST!AV63,LPN!AV63,SPN!AV63,EPN!AV63,SPD!AV63,SPMW!AV63,SSEH!AV63,SSES!AV63)</f>
        <v>0</v>
      </c>
      <c r="AW63" s="184"/>
    </row>
    <row r="64" spans="1:49" ht="15">
      <c r="A64" s="82"/>
      <c r="B64" s="82"/>
      <c r="C64" s="82"/>
      <c r="D64" s="82"/>
      <c r="E64" s="182">
        <f>CHOOSE($B$3,ENWL!E64,NPgN!E64,NPgY!E64,WMID!E64,EMID!E64,SWALES!E64,SWEST!E64,LPN!E64,SPN!E64,EPN!E64,SPD!E64,SPMW!E64,SSEH!E64,SSES!E64)</f>
        <v>0</v>
      </c>
      <c r="F64" s="82"/>
      <c r="G64" s="82" t="s">
        <v>105</v>
      </c>
      <c r="H64" s="82">
        <f>CHOOSE($B$3,ENWL!H64,NPgN!H64,NPgY!H64,WMID!H64,EMID!H64,SWALES!H64,SWEST!H64,LPN!H64,SPN!H64,EPN!H64,SPD!H64,SPMW!H64,SSEH!H64,SSES!H64)</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f>CHOOSE($B$3,ENWL!AR64,NPgN!AR64,NPgY!AR64,WMID!AR64,EMID!AR64,SWALES!AR64,SWEST!AR64,LPN!AR64,SPN!AR64,EPN!AR64,SPD!AR64,SPMW!AR64,SSEH!AR64,SSES!AR64)</f>
        <v>0</v>
      </c>
      <c r="AS64" s="476">
        <f>CHOOSE($B$3,ENWL!AS64,NPgN!AS64,NPgY!AS64,WMID!AS64,EMID!AS64,SWALES!AS64,SWEST!AS64,LPN!AS64,SPN!AS64,EPN!AS64,SPD!AS64,SPMW!AS64,SSEH!AS64,SSES!AS64)</f>
        <v>0</v>
      </c>
      <c r="AT64" s="476">
        <f>CHOOSE($B$3,ENWL!AT64,NPgN!AT64,NPgY!AT64,WMID!AT64,EMID!AT64,SWALES!AT64,SWEST!AT64,LPN!AT64,SPN!AT64,EPN!AT64,SPD!AT64,SPMW!AT64,SSEH!AT64,SSES!AT64)</f>
        <v>0</v>
      </c>
      <c r="AU64" s="476">
        <f>CHOOSE($B$3,ENWL!AU64,NPgN!AU64,NPgY!AU64,WMID!AU64,EMID!AU64,SWALES!AU64,SWEST!AU64,LPN!AU64,SPN!AU64,EPN!AU64,SPD!AU64,SPMW!AU64,SSEH!AU64,SSES!AU64)</f>
        <v>0</v>
      </c>
      <c r="AV64" s="476">
        <f>CHOOSE($B$3,ENWL!AV64,NPgN!AV64,NPgY!AV64,WMID!AV64,EMID!AV64,SWALES!AV64,SWEST!AV64,LPN!AV64,SPN!AV64,EPN!AV64,SPD!AV64,SPMW!AV64,SSEH!AV64,SSES!AV64)</f>
        <v>0</v>
      </c>
      <c r="AW64" s="184"/>
    </row>
    <row r="65" spans="1:49" ht="15">
      <c r="A65" s="82"/>
      <c r="B65" s="82"/>
      <c r="C65" s="82"/>
      <c r="D65" s="82"/>
      <c r="E65" s="182">
        <f>CHOOSE($B$3,ENWL!E65,NPgN!E65,NPgY!E65,WMID!E65,EMID!E65,SWALES!E65,SWEST!E65,LPN!E65,SPN!E65,EPN!E65,SPD!E65,SPMW!E65,SSEH!E65,SSES!E65)</f>
        <v>0</v>
      </c>
      <c r="F65" s="82"/>
      <c r="G65" s="82" t="s">
        <v>105</v>
      </c>
      <c r="H65" s="82">
        <f>CHOOSE($B$3,ENWL!H65,NPgN!H65,NPgY!H65,WMID!H65,EMID!H65,SWALES!H65,SWEST!H65,LPN!H65,SPN!H65,EPN!H65,SPD!H65,SPMW!H65,SSEH!H65,SSES!H65)</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f>CHOOSE($B$3,ENWL!AR65,NPgN!AR65,NPgY!AR65,WMID!AR65,EMID!AR65,SWALES!AR65,SWEST!AR65,LPN!AR65,SPN!AR65,EPN!AR65,SPD!AR65,SPMW!AR65,SSEH!AR65,SSES!AR65)</f>
        <v>0</v>
      </c>
      <c r="AS65" s="476">
        <f>CHOOSE($B$3,ENWL!AS65,NPgN!AS65,NPgY!AS65,WMID!AS65,EMID!AS65,SWALES!AS65,SWEST!AS65,LPN!AS65,SPN!AS65,EPN!AS65,SPD!AS65,SPMW!AS65,SSEH!AS65,SSES!AS65)</f>
        <v>0</v>
      </c>
      <c r="AT65" s="476">
        <f>CHOOSE($B$3,ENWL!AT65,NPgN!AT65,NPgY!AT65,WMID!AT65,EMID!AT65,SWALES!AT65,SWEST!AT65,LPN!AT65,SPN!AT65,EPN!AT65,SPD!AT65,SPMW!AT65,SSEH!AT65,SSES!AT65)</f>
        <v>0</v>
      </c>
      <c r="AU65" s="476">
        <f>CHOOSE($B$3,ENWL!AU65,NPgN!AU65,NPgY!AU65,WMID!AU65,EMID!AU65,SWALES!AU65,SWEST!AU65,LPN!AU65,SPN!AU65,EPN!AU65,SPD!AU65,SPMW!AU65,SSEH!AU65,SSES!AU65)</f>
        <v>0</v>
      </c>
      <c r="AV65" s="476">
        <f>CHOOSE($B$3,ENWL!AV65,NPgN!AV65,NPgY!AV65,WMID!AV65,EMID!AV65,SWALES!AV65,SWEST!AV65,LPN!AV65,SPN!AV65,EPN!AV65,SPD!AV65,SPMW!AV65,SSEH!AV65,SSES!AV65)</f>
        <v>0</v>
      </c>
      <c r="AW65" s="184"/>
    </row>
    <row r="66" spans="1:49" ht="15">
      <c r="A66" s="82"/>
      <c r="B66" s="82"/>
      <c r="C66" s="82"/>
      <c r="D66" s="82"/>
      <c r="E66" s="182">
        <f>CHOOSE($B$3,ENWL!E66,NPgN!E66,NPgY!E66,WMID!E66,EMID!E66,SWALES!E66,SWEST!E66,LPN!E66,SPN!E66,EPN!E66,SPD!E66,SPMW!E66,SSEH!E66,SSES!E66)</f>
        <v>0</v>
      </c>
      <c r="F66" s="82"/>
      <c r="G66" s="82" t="s">
        <v>105</v>
      </c>
      <c r="H66" s="82">
        <f>CHOOSE($B$3,ENWL!H66,NPgN!H66,NPgY!H66,WMID!H66,EMID!H66,SWALES!H66,SWEST!H66,LPN!H66,SPN!H66,EPN!H66,SPD!H66,SPMW!H66,SSEH!H66,SSES!H66)</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f>CHOOSE($B$3,ENWL!AR66,NPgN!AR66,NPgY!AR66,WMID!AR66,EMID!AR66,SWALES!AR66,SWEST!AR66,LPN!AR66,SPN!AR66,EPN!AR66,SPD!AR66,SPMW!AR66,SSEH!AR66,SSES!AR66)</f>
        <v>0</v>
      </c>
      <c r="AS66" s="476">
        <f>CHOOSE($B$3,ENWL!AS66,NPgN!AS66,NPgY!AS66,WMID!AS66,EMID!AS66,SWALES!AS66,SWEST!AS66,LPN!AS66,SPN!AS66,EPN!AS66,SPD!AS66,SPMW!AS66,SSEH!AS66,SSES!AS66)</f>
        <v>0</v>
      </c>
      <c r="AT66" s="476">
        <f>CHOOSE($B$3,ENWL!AT66,NPgN!AT66,NPgY!AT66,WMID!AT66,EMID!AT66,SWALES!AT66,SWEST!AT66,LPN!AT66,SPN!AT66,EPN!AT66,SPD!AT66,SPMW!AT66,SSEH!AT66,SSES!AT66)</f>
        <v>0</v>
      </c>
      <c r="AU66" s="476">
        <f>CHOOSE($B$3,ENWL!AU66,NPgN!AU66,NPgY!AU66,WMID!AU66,EMID!AU66,SWALES!AU66,SWEST!AU66,LPN!AU66,SPN!AU66,EPN!AU66,SPD!AU66,SPMW!AU66,SSEH!AU66,SSES!AU66)</f>
        <v>0</v>
      </c>
      <c r="AV66" s="476">
        <f>CHOOSE($B$3,ENWL!AV66,NPgN!AV66,NPgY!AV66,WMID!AV66,EMID!AV66,SWALES!AV66,SWEST!AV66,LPN!AV66,SPN!AV66,EPN!AV66,SPD!AV66,SPMW!AV66,SSEH!AV66,SSES!AV66)</f>
        <v>0</v>
      </c>
      <c r="AW66" s="184"/>
    </row>
    <row r="67" spans="1:49" ht="15">
      <c r="A67" s="82"/>
      <c r="B67" s="82"/>
      <c r="C67" s="82"/>
      <c r="D67" s="82"/>
      <c r="E67" s="182">
        <f>CHOOSE($B$3,ENWL!E67,NPgN!E67,NPgY!E67,WMID!E67,EMID!E67,SWALES!E67,SWEST!E67,LPN!E67,SPN!E67,EPN!E67,SPD!E67,SPMW!E67,SSEH!E67,SSES!E67)</f>
        <v>0</v>
      </c>
      <c r="F67" s="82"/>
      <c r="G67" s="82" t="s">
        <v>105</v>
      </c>
      <c r="H67" s="82">
        <f>CHOOSE($B$3,ENWL!H67,NPgN!H67,NPgY!H67,WMID!H67,EMID!H67,SWALES!H67,SWEST!H67,LPN!H67,SPN!H67,EPN!H67,SPD!H67,SPMW!H67,SSEH!H67,SSES!H67)</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f>CHOOSE($B$3,ENWL!AR67,NPgN!AR67,NPgY!AR67,WMID!AR67,EMID!AR67,SWALES!AR67,SWEST!AR67,LPN!AR67,SPN!AR67,EPN!AR67,SPD!AR67,SPMW!AR67,SSEH!AR67,SSES!AR67)</f>
        <v>0</v>
      </c>
      <c r="AS67" s="476">
        <f>CHOOSE($B$3,ENWL!AS67,NPgN!AS67,NPgY!AS67,WMID!AS67,EMID!AS67,SWALES!AS67,SWEST!AS67,LPN!AS67,SPN!AS67,EPN!AS67,SPD!AS67,SPMW!AS67,SSEH!AS67,SSES!AS67)</f>
        <v>0</v>
      </c>
      <c r="AT67" s="476">
        <f>CHOOSE($B$3,ENWL!AT67,NPgN!AT67,NPgY!AT67,WMID!AT67,EMID!AT67,SWALES!AT67,SWEST!AT67,LPN!AT67,SPN!AT67,EPN!AT67,SPD!AT67,SPMW!AT67,SSEH!AT67,SSES!AT67)</f>
        <v>0</v>
      </c>
      <c r="AU67" s="476">
        <f>CHOOSE($B$3,ENWL!AU67,NPgN!AU67,NPgY!AU67,WMID!AU67,EMID!AU67,SWALES!AU67,SWEST!AU67,LPN!AU67,SPN!AU67,EPN!AU67,SPD!AU67,SPMW!AU67,SSEH!AU67,SSES!AU67)</f>
        <v>0</v>
      </c>
      <c r="AV67" s="476">
        <f>CHOOSE($B$3,ENWL!AV67,NPgN!AV67,NPgY!AV67,WMID!AV67,EMID!AV67,SWALES!AV67,SWEST!AV67,LPN!AV67,SPN!AV67,EPN!AV67,SPD!AV67,SPMW!AV67,SSEH!AV67,SSES!AV67)</f>
        <v>0</v>
      </c>
      <c r="AW67" s="184"/>
    </row>
    <row r="68" spans="1:49" ht="15">
      <c r="A68" s="82"/>
      <c r="B68" s="82"/>
      <c r="C68" s="82"/>
      <c r="D68" s="82"/>
      <c r="E68" s="182">
        <f>CHOOSE($B$3,ENWL!E68,NPgN!E68,NPgY!E68,WMID!E68,EMID!E68,SWALES!E68,SWEST!E68,LPN!E68,SPN!E68,EPN!E68,SPD!E68,SPMW!E68,SSEH!E68,SSES!E68)</f>
        <v>0</v>
      </c>
      <c r="F68" s="82"/>
      <c r="G68" s="82" t="s">
        <v>105</v>
      </c>
      <c r="H68" s="82">
        <f>CHOOSE($B$3,ENWL!H68,NPgN!H68,NPgY!H68,WMID!H68,EMID!H68,SWALES!H68,SWEST!H68,LPN!H68,SPN!H68,EPN!H68,SPD!H68,SPMW!H68,SSEH!H68,SSES!H68)</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f>CHOOSE($B$3,ENWL!AR68,NPgN!AR68,NPgY!AR68,WMID!AR68,EMID!AR68,SWALES!AR68,SWEST!AR68,LPN!AR68,SPN!AR68,EPN!AR68,SPD!AR68,SPMW!AR68,SSEH!AR68,SSES!AR68)</f>
        <v>0</v>
      </c>
      <c r="AS68" s="476">
        <f>CHOOSE($B$3,ENWL!AS68,NPgN!AS68,NPgY!AS68,WMID!AS68,EMID!AS68,SWALES!AS68,SWEST!AS68,LPN!AS68,SPN!AS68,EPN!AS68,SPD!AS68,SPMW!AS68,SSEH!AS68,SSES!AS68)</f>
        <v>0</v>
      </c>
      <c r="AT68" s="476">
        <f>CHOOSE($B$3,ENWL!AT68,NPgN!AT68,NPgY!AT68,WMID!AT68,EMID!AT68,SWALES!AT68,SWEST!AT68,LPN!AT68,SPN!AT68,EPN!AT68,SPD!AT68,SPMW!AT68,SSEH!AT68,SSES!AT68)</f>
        <v>0</v>
      </c>
      <c r="AU68" s="476">
        <f>CHOOSE($B$3,ENWL!AU68,NPgN!AU68,NPgY!AU68,WMID!AU68,EMID!AU68,SWALES!AU68,SWEST!AU68,LPN!AU68,SPN!AU68,EPN!AU68,SPD!AU68,SPMW!AU68,SSEH!AU68,SSES!AU68)</f>
        <v>0</v>
      </c>
      <c r="AV68" s="476">
        <f>CHOOSE($B$3,ENWL!AV68,NPgN!AV68,NPgY!AV68,WMID!AV68,EMID!AV68,SWALES!AV68,SWEST!AV68,LPN!AV68,SPN!AV68,EPN!AV68,SPD!AV68,SPMW!AV68,SSEH!AV68,SSES!AV68)</f>
        <v>0</v>
      </c>
      <c r="AW68" s="184"/>
    </row>
    <row r="69" spans="1:49" ht="15">
      <c r="A69" s="82"/>
      <c r="B69" s="82"/>
      <c r="C69" s="82"/>
      <c r="D69" s="82"/>
      <c r="E69" s="182">
        <f>CHOOSE($B$3,ENWL!E69,NPgN!E69,NPgY!E69,WMID!E69,EMID!E69,SWALES!E69,SWEST!E69,LPN!E69,SPN!E69,EPN!E69,SPD!E69,SPMW!E69,SSEH!E69,SSES!E69)</f>
        <v>0</v>
      </c>
      <c r="F69" s="82"/>
      <c r="G69" s="82" t="s">
        <v>105</v>
      </c>
      <c r="H69" s="82">
        <f>CHOOSE($B$3,ENWL!H69,NPgN!H69,NPgY!H69,WMID!H69,EMID!H69,SWALES!H69,SWEST!H69,LPN!H69,SPN!H69,EPN!H69,SPD!H69,SPMW!H69,SSEH!H69,SSES!H69)</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f>CHOOSE($B$3,ENWL!AR69,NPgN!AR69,NPgY!AR69,WMID!AR69,EMID!AR69,SWALES!AR69,SWEST!AR69,LPN!AR69,SPN!AR69,EPN!AR69,SPD!AR69,SPMW!AR69,SSEH!AR69,SSES!AR69)</f>
        <v>0</v>
      </c>
      <c r="AS69" s="476">
        <f>CHOOSE($B$3,ENWL!AS69,NPgN!AS69,NPgY!AS69,WMID!AS69,EMID!AS69,SWALES!AS69,SWEST!AS69,LPN!AS69,SPN!AS69,EPN!AS69,SPD!AS69,SPMW!AS69,SSEH!AS69,SSES!AS69)</f>
        <v>0</v>
      </c>
      <c r="AT69" s="476">
        <f>CHOOSE($B$3,ENWL!AT69,NPgN!AT69,NPgY!AT69,WMID!AT69,EMID!AT69,SWALES!AT69,SWEST!AT69,LPN!AT69,SPN!AT69,EPN!AT69,SPD!AT69,SPMW!AT69,SSEH!AT69,SSES!AT69)</f>
        <v>0</v>
      </c>
      <c r="AU69" s="476">
        <f>CHOOSE($B$3,ENWL!AU69,NPgN!AU69,NPgY!AU69,WMID!AU69,EMID!AU69,SWALES!AU69,SWEST!AU69,LPN!AU69,SPN!AU69,EPN!AU69,SPD!AU69,SPMW!AU69,SSEH!AU69,SSES!AU69)</f>
        <v>0</v>
      </c>
      <c r="AV69" s="476">
        <f>CHOOSE($B$3,ENWL!AV69,NPgN!AV69,NPgY!AV69,WMID!AV69,EMID!AV69,SWALES!AV69,SWEST!AV69,LPN!AV69,SPN!AV69,EPN!AV69,SPD!AV69,SPMW!AV69,SSEH!AV69,SSES!AV69)</f>
        <v>0</v>
      </c>
      <c r="AW69" s="184"/>
    </row>
    <row r="70" spans="1:49" ht="15">
      <c r="A70" s="82"/>
      <c r="B70" s="82"/>
      <c r="C70" s="82"/>
      <c r="D70" s="82"/>
      <c r="E70" s="182">
        <f>CHOOSE($B$3,ENWL!E70,NPgN!E70,NPgY!E70,WMID!E70,EMID!E70,SWALES!E70,SWEST!E70,LPN!E70,SPN!E70,EPN!E70,SPD!E70,SPMW!E70,SSEH!E70,SSES!E70)</f>
        <v>0</v>
      </c>
      <c r="F70" s="82"/>
      <c r="G70" s="82" t="s">
        <v>105</v>
      </c>
      <c r="H70" s="82">
        <f>CHOOSE($B$3,ENWL!H70,NPgN!H70,NPgY!H70,WMID!H70,EMID!H70,SWALES!H70,SWEST!H70,LPN!H70,SPN!H70,EPN!H70,SPD!H70,SPMW!H70,SSEH!H70,SSES!H70)</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f>CHOOSE($B$3,ENWL!AR70,NPgN!AR70,NPgY!AR70,WMID!AR70,EMID!AR70,SWALES!AR70,SWEST!AR70,LPN!AR70,SPN!AR70,EPN!AR70,SPD!AR70,SPMW!AR70,SSEH!AR70,SSES!AR70)</f>
        <v>0</v>
      </c>
      <c r="AS70" s="476">
        <f>CHOOSE($B$3,ENWL!AS70,NPgN!AS70,NPgY!AS70,WMID!AS70,EMID!AS70,SWALES!AS70,SWEST!AS70,LPN!AS70,SPN!AS70,EPN!AS70,SPD!AS70,SPMW!AS70,SSEH!AS70,SSES!AS70)</f>
        <v>0</v>
      </c>
      <c r="AT70" s="476">
        <f>CHOOSE($B$3,ENWL!AT70,NPgN!AT70,NPgY!AT70,WMID!AT70,EMID!AT70,SWALES!AT70,SWEST!AT70,LPN!AT70,SPN!AT70,EPN!AT70,SPD!AT70,SPMW!AT70,SSEH!AT70,SSES!AT70)</f>
        <v>0</v>
      </c>
      <c r="AU70" s="476">
        <f>CHOOSE($B$3,ENWL!AU70,NPgN!AU70,NPgY!AU70,WMID!AU70,EMID!AU70,SWALES!AU70,SWEST!AU70,LPN!AU70,SPN!AU70,EPN!AU70,SPD!AU70,SPMW!AU70,SSEH!AU70,SSES!AU70)</f>
        <v>0</v>
      </c>
      <c r="AV70" s="476">
        <f>CHOOSE($B$3,ENWL!AV70,NPgN!AV70,NPgY!AV70,WMID!AV70,EMID!AV70,SWALES!AV70,SWEST!AV70,LPN!AV70,SPN!AV70,EPN!AV70,SPD!AV70,SPMW!AV70,SSEH!AV70,SSES!AV70)</f>
        <v>0</v>
      </c>
      <c r="AW70" s="184"/>
    </row>
    <row r="71" spans="1:49" ht="15">
      <c r="A71" s="82"/>
      <c r="B71" s="82"/>
      <c r="C71" s="82"/>
      <c r="D71" s="82"/>
      <c r="E71" s="182">
        <f>CHOOSE($B$3,ENWL!E71,NPgN!E71,NPgY!E71,WMID!E71,EMID!E71,SWALES!E71,SWEST!E71,LPN!E71,SPN!E71,EPN!E71,SPD!E71,SPMW!E71,SSEH!E71,SSES!E71)</f>
        <v>0</v>
      </c>
      <c r="F71" s="82"/>
      <c r="G71" s="82" t="s">
        <v>105</v>
      </c>
      <c r="H71" s="82">
        <f>CHOOSE($B$3,ENWL!H71,NPgN!H71,NPgY!H71,WMID!H71,EMID!H71,SWALES!H71,SWEST!H71,LPN!H71,SPN!H71,EPN!H71,SPD!H71,SPMW!H71,SSEH!H71,SSES!H71)</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f>CHOOSE($B$3,ENWL!AR71,NPgN!AR71,NPgY!AR71,WMID!AR71,EMID!AR71,SWALES!AR71,SWEST!AR71,LPN!AR71,SPN!AR71,EPN!AR71,SPD!AR71,SPMW!AR71,SSEH!AR71,SSES!AR71)</f>
        <v>0</v>
      </c>
      <c r="AS71" s="476">
        <f>CHOOSE($B$3,ENWL!AS71,NPgN!AS71,NPgY!AS71,WMID!AS71,EMID!AS71,SWALES!AS71,SWEST!AS71,LPN!AS71,SPN!AS71,EPN!AS71,SPD!AS71,SPMW!AS71,SSEH!AS71,SSES!AS71)</f>
        <v>0</v>
      </c>
      <c r="AT71" s="476">
        <f>CHOOSE($B$3,ENWL!AT71,NPgN!AT71,NPgY!AT71,WMID!AT71,EMID!AT71,SWALES!AT71,SWEST!AT71,LPN!AT71,SPN!AT71,EPN!AT71,SPD!AT71,SPMW!AT71,SSEH!AT71,SSES!AT71)</f>
        <v>0</v>
      </c>
      <c r="AU71" s="476">
        <f>CHOOSE($B$3,ENWL!AU71,NPgN!AU71,NPgY!AU71,WMID!AU71,EMID!AU71,SWALES!AU71,SWEST!AU71,LPN!AU71,SPN!AU71,EPN!AU71,SPD!AU71,SPMW!AU71,SSEH!AU71,SSES!AU71)</f>
        <v>0</v>
      </c>
      <c r="AV71" s="476">
        <f>CHOOSE($B$3,ENWL!AV71,NPgN!AV71,NPgY!AV71,WMID!AV71,EMID!AV71,SWALES!AV71,SWEST!AV71,LPN!AV71,SPN!AV71,EPN!AV71,SPD!AV71,SPMW!AV71,SSEH!AV71,SSES!AV71)</f>
        <v>0</v>
      </c>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75">
      <c r="A73" s="82"/>
      <c r="B73" s="82"/>
      <c r="C73" s="82"/>
      <c r="D73" s="351" t="s">
        <v>115</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116</v>
      </c>
      <c r="AK73" s="495"/>
      <c r="AL73" s="495" t="s">
        <v>117</v>
      </c>
      <c r="AM73" s="495" t="s">
        <v>118</v>
      </c>
      <c r="AN73" s="495" t="s">
        <v>21</v>
      </c>
      <c r="AO73" s="495" t="s">
        <v>119</v>
      </c>
      <c r="AP73" s="495" t="s">
        <v>120</v>
      </c>
      <c r="AQ73" s="496" t="s">
        <v>121</v>
      </c>
      <c r="AR73" s="497" t="s">
        <v>122</v>
      </c>
      <c r="AS73" s="495" t="s">
        <v>123</v>
      </c>
      <c r="AT73" s="495" t="s">
        <v>124</v>
      </c>
      <c r="AU73" s="495" t="s">
        <v>125</v>
      </c>
      <c r="AV73" s="495"/>
      <c r="AW73" s="184"/>
    </row>
    <row r="74" spans="1:49" ht="15">
      <c r="A74" s="82"/>
      <c r="B74" s="82"/>
      <c r="C74" s="82"/>
      <c r="D74" s="82"/>
      <c r="E74" s="82" t="str">
        <f t="shared" ref="E74:E121" si="0">E24</f>
        <v>RPEs (bucket 1 allowances)</v>
      </c>
      <c r="F74" s="82"/>
      <c r="G74" s="82" t="s">
        <v>126</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CHOOSE($B$3,ENWL!AJ74,NPgN!AJ74,NPgY!AJ74,WMID!AJ74,EMID!AJ74,SWALES!AJ74,SWEST!AJ74,LPN!AJ74,SPN!AJ74,EPN!AJ74,SPD!AJ74,SPMW!AJ74,SSEH!AJ74,SSES!AJ74)</f>
        <v>Other</v>
      </c>
      <c r="AK74" s="321"/>
      <c r="AL74" s="417">
        <f>CHOOSE($B$3,ENWL!AL74,NPgN!AL74,NPgY!AL74,WMID!AL74,EMID!AL74,SWALES!AL74,SWEST!AL74,LPN!AL74,SPN!AL74,EPN!AL74,SPD!AL74,SPMW!AL74,SSEH!AL74,SSES!AL74)</f>
        <v>0</v>
      </c>
      <c r="AM74" s="528">
        <f>CHOOSE($B$3,ENWL!AM74,NPgN!AM74,NPgY!AM74,WMID!AM74,EMID!AM74,SWALES!AM74,SWEST!AM74,LPN!AM74,SPN!AM74,EPN!AM74,SPD!AM74,SPMW!AM74,SSEH!AM74,SSES!AM74)</f>
        <v>1</v>
      </c>
      <c r="AN74" s="321"/>
      <c r="AO74" s="263">
        <f>CHOOSE($B$3,ENWL!AO74,NPgN!AO74,NPgY!AO74,WMID!AO74,EMID!AO74,SWALES!AO74,SWEST!AO74,LPN!AO74,SPN!AO74,EPN!AO74,SPD!AO74,SPMW!AO74,SSEH!AO74,SSES!AO74)</f>
        <v>7.6835609116089221E-2</v>
      </c>
      <c r="AP74" s="263">
        <f>CHOOSE($B$3,ENWL!AP74,NPgN!AP74,NPgY!AP74,WMID!AP74,EMID!AP74,SWALES!AP74,SWEST!AP74,LPN!AP74,SPN!AP74,EPN!AP74,SPD!AP74,SPMW!AP74,SSEH!AP74,SSES!AP74)</f>
        <v>0.30831430098644247</v>
      </c>
      <c r="AQ74" s="494">
        <f>CHOOSE($B$3,ENWL!AQ74,NPgN!AQ74,NPgY!AQ74,WMID!AQ74,EMID!AQ74,SWALES!AQ74,SWEST!AQ74,LPN!AQ74,SPN!AQ74,EPN!AQ74,SPD!AQ74,SPMW!AQ74,SSEH!AQ74,SSES!AQ74)</f>
        <v>0.10674959910588462</v>
      </c>
      <c r="AR74" s="263">
        <f>CHOOSE($B$3,ENWL!AR74,NPgN!AR74,NPgY!AR74,WMID!AR74,EMID!AR74,SWALES!AR74,SWEST!AR74,LPN!AR74,SPN!AR74,EPN!AR74,SPD!AR74,SPMW!AR74,SSEH!AR74,SSES!AR74)</f>
        <v>0.11674036639292482</v>
      </c>
      <c r="AS74" s="263">
        <f>CHOOSE($B$3,ENWL!AS74,NPgN!AS74,NPgY!AS74,WMID!AS74,EMID!AS74,SWALES!AS74,SWEST!AS74,LPN!AS74,SPN!AS74,EPN!AS74,SPD!AS74,SPMW!AS74,SSEH!AS74,SSES!AS74)</f>
        <v>1.7804558044608582E-2</v>
      </c>
      <c r="AT74" s="263">
        <f>CHOOSE($B$3,ENWL!AT74,NPgN!AT74,NPgY!AT74,WMID!AT74,EMID!AT74,SWALES!AT74,SWEST!AT74,LPN!AT74,SPN!AT74,EPN!AT74,SPD!AT74,SPMW!AT74,SSEH!AT74,SSES!AT74)</f>
        <v>2.9865396763691137E-2</v>
      </c>
      <c r="AU74" s="263">
        <f>CHOOSE($B$3,ENWL!AU74,NPgN!AU74,NPgY!AU74,WMID!AU74,EMID!AU74,SWALES!AU74,SWEST!AU74,LPN!AU74,SPN!AU74,EPN!AU74,SPD!AU74,SPMW!AU74,SSEH!AU74,SSES!AU74)</f>
        <v>0.34369016959035914</v>
      </c>
      <c r="AV74" s="263"/>
      <c r="AW74" s="184"/>
    </row>
    <row r="75" spans="1:49" ht="15">
      <c r="A75" s="82"/>
      <c r="B75" s="82"/>
      <c r="C75" s="82"/>
      <c r="D75" s="82"/>
      <c r="E75" s="82" t="str">
        <f t="shared" si="0"/>
        <v>RPEs (bucket 2 allowances)</v>
      </c>
      <c r="F75" s="82"/>
      <c r="G75" s="82" t="s">
        <v>126</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CHOOSE($B$3,ENWL!AJ75,NPgN!AJ75,NPgY!AJ75,WMID!AJ75,EMID!AJ75,SWALES!AJ75,SWEST!AJ75,LPN!AJ75,SPN!AJ75,EPN!AJ75,SPD!AJ75,SPMW!AJ75,SSEH!AJ75,SSES!AJ75)</f>
        <v>Other</v>
      </c>
      <c r="AK75" s="321"/>
      <c r="AL75" s="417">
        <f>CHOOSE($B$3,ENWL!AL75,NPgN!AL75,NPgY!AL75,WMID!AL75,EMID!AL75,SWALES!AL75,SWEST!AL75,LPN!AL75,SPN!AL75,EPN!AL75,SPD!AL75,SPMW!AL75,SSEH!AL75,SSES!AL75)</f>
        <v>0</v>
      </c>
      <c r="AM75" s="528">
        <f>CHOOSE($B$3,ENWL!AM75,NPgN!AM75,NPgY!AM75,WMID!AM75,EMID!AM75,SWALES!AM75,SWEST!AM75,LPN!AM75,SPN!AM75,EPN!AM75,SPD!AM75,SPMW!AM75,SSEH!AM75,SSES!AM75)</f>
        <v>2</v>
      </c>
      <c r="AN75" s="321"/>
      <c r="AO75" s="263">
        <f>CHOOSE($B$3,ENWL!AO75,NPgN!AO75,NPgY!AO75,WMID!AO75,EMID!AO75,SWALES!AO75,SWEST!AO75,LPN!AO75,SPN!AO75,EPN!AO75,SPD!AO75,SPMW!AO75,SSEH!AO75,SSES!AO75)</f>
        <v>0.73490760336331629</v>
      </c>
      <c r="AP75" s="263">
        <f>CHOOSE($B$3,ENWL!AP75,NPgN!AP75,NPgY!AP75,WMID!AP75,EMID!AP75,SWALES!AP75,SWEST!AP75,LPN!AP75,SPN!AP75,EPN!AP75,SPD!AP75,SPMW!AP75,SSEH!AP75,SSES!AP75)</f>
        <v>0.26509239663668366</v>
      </c>
      <c r="AQ75" s="494">
        <f>CHOOSE($B$3,ENWL!AQ75,NPgN!AQ75,NPgY!AQ75,WMID!AQ75,EMID!AQ75,SWALES!AQ75,SWEST!AQ75,LPN!AQ75,SPN!AQ75,EPN!AQ75,SPD!AQ75,SPMW!AQ75,SSEH!AQ75,SSES!AQ75)</f>
        <v>0</v>
      </c>
      <c r="AR75" s="263">
        <f>CHOOSE($B$3,ENWL!AR75,NPgN!AR75,NPgY!AR75,WMID!AR75,EMID!AR75,SWALES!AR75,SWEST!AR75,LPN!AR75,SPN!AR75,EPN!AR75,SPD!AR75,SPMW!AR75,SSEH!AR75,SSES!AR75)</f>
        <v>0</v>
      </c>
      <c r="AS75" s="263">
        <f>CHOOSE($B$3,ENWL!AS75,NPgN!AS75,NPgY!AS75,WMID!AS75,EMID!AS75,SWALES!AS75,SWEST!AS75,LPN!AS75,SPN!AS75,EPN!AS75,SPD!AS75,SPMW!AS75,SSEH!AS75,SSES!AS75)</f>
        <v>0</v>
      </c>
      <c r="AT75" s="263">
        <f>CHOOSE($B$3,ENWL!AT75,NPgN!AT75,NPgY!AT75,WMID!AT75,EMID!AT75,SWALES!AT75,SWEST!AT75,LPN!AT75,SPN!AT75,EPN!AT75,SPD!AT75,SPMW!AT75,SSEH!AT75,SSES!AT75)</f>
        <v>0</v>
      </c>
      <c r="AU75" s="263">
        <f>CHOOSE($B$3,ENWL!AU75,NPgN!AU75,NPgY!AU75,WMID!AU75,EMID!AU75,SWALES!AU75,SWEST!AU75,LPN!AU75,SPN!AU75,EPN!AU75,SPD!AU75,SPMW!AU75,SSEH!AU75,SSES!AU75)</f>
        <v>0</v>
      </c>
      <c r="AV75" s="263"/>
      <c r="AW75" s="184"/>
    </row>
    <row r="76" spans="1:49" ht="15">
      <c r="A76" s="82"/>
      <c r="B76" s="82"/>
      <c r="C76" s="82"/>
      <c r="D76" s="82"/>
      <c r="E76" s="82" t="str">
        <f t="shared" si="0"/>
        <v>Physical Security Re-opener</v>
      </c>
      <c r="F76" s="82"/>
      <c r="G76" s="82" t="s">
        <v>126</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CHOOSE($B$3,ENWL!AJ76,NPgN!AJ76,NPgY!AJ76,WMID!AJ76,EMID!AJ76,SWALES!AJ76,SWEST!AJ76,LPN!AJ76,SPN!AJ76,EPN!AJ76,SPD!AJ76,SPMW!AJ76,SSEH!AJ76,SSES!AJ76)</f>
        <v>Re-opener</v>
      </c>
      <c r="AK76" s="321"/>
      <c r="AL76" s="417" t="str">
        <f>CHOOSE($B$3,ENWL!AL76,NPgN!AL76,NPgY!AL76,WMID!AL76,EMID!AL76,SWALES!AL76,SWEST!AL76,LPN!AL76,SPN!AL76,EPN!AL76,SPD!AL76,SPMW!AL76,SSEH!AL76,SSES!AL76)</f>
        <v>RPEs Don't Apply</v>
      </c>
      <c r="AM76" s="528">
        <f>CHOOSE($B$3,ENWL!AM76,NPgN!AM76,NPgY!AM76,WMID!AM76,EMID!AM76,SWALES!AM76,SWEST!AM76,LPN!AM76,SPN!AM76,EPN!AM76,SPD!AM76,SPMW!AM76,SSEH!AM76,SSES!AM76)</f>
        <v>2</v>
      </c>
      <c r="AN76" s="321"/>
      <c r="AO76" s="410">
        <f>CHOOSE($B$3,ENWL!AO76,NPgN!AO76,NPgY!AO76,WMID!AO76,EMID!AO76,SWALES!AO76,SWEST!AO76,LPN!AO76,SPN!AO76,EPN!AO76,SPD!AO76,SPMW!AO76,SSEH!AO76,SSES!AO76)</f>
        <v>0</v>
      </c>
      <c r="AP76" s="410">
        <f>CHOOSE($B$3,ENWL!AP76,NPgN!AP76,NPgY!AP76,WMID!AP76,EMID!AP76,SWALES!AP76,SWEST!AP76,LPN!AP76,SPN!AP76,EPN!AP76,SPD!AP76,SPMW!AP76,SSEH!AP76,SSES!AP76)</f>
        <v>1</v>
      </c>
      <c r="AQ76" s="456">
        <f>CHOOSE($B$3,ENWL!AQ76,NPgN!AQ76,NPgY!AQ76,WMID!AQ76,EMID!AQ76,SWALES!AQ76,SWEST!AQ76,LPN!AQ76,SPN!AQ76,EPN!AQ76,SPD!AQ76,SPMW!AQ76,SSEH!AQ76,SSES!AQ76)</f>
        <v>0</v>
      </c>
      <c r="AR76" s="410">
        <f>CHOOSE($B$3,ENWL!AR76,NPgN!AR76,NPgY!AR76,WMID!AR76,EMID!AR76,SWALES!AR76,SWEST!AR76,LPN!AR76,SPN!AR76,EPN!AR76,SPD!AR76,SPMW!AR76,SSEH!AR76,SSES!AR76)</f>
        <v>0</v>
      </c>
      <c r="AS76" s="410">
        <f>CHOOSE($B$3,ENWL!AS76,NPgN!AS76,NPgY!AS76,WMID!AS76,EMID!AS76,SWALES!AS76,SWEST!AS76,LPN!AS76,SPN!AS76,EPN!AS76,SPD!AS76,SPMW!AS76,SSEH!AS76,SSES!AS76)</f>
        <v>0</v>
      </c>
      <c r="AT76" s="410">
        <f>CHOOSE($B$3,ENWL!AT76,NPgN!AT76,NPgY!AT76,WMID!AT76,EMID!AT76,SWALES!AT76,SWEST!AT76,LPN!AT76,SPN!AT76,EPN!AT76,SPD!AT76,SPMW!AT76,SSEH!AT76,SSES!AT76)</f>
        <v>0</v>
      </c>
      <c r="AU76" s="410">
        <f>CHOOSE($B$3,ENWL!AU76,NPgN!AU76,NPgY!AU76,WMID!AU76,EMID!AU76,SWALES!AU76,SWEST!AU76,LPN!AU76,SPN!AU76,EPN!AU76,SPD!AU76,SPMW!AU76,SSEH!AU76,SSES!AU76)</f>
        <v>0</v>
      </c>
      <c r="AV76" s="263"/>
      <c r="AW76" s="184"/>
    </row>
    <row r="77" spans="1:49" ht="15">
      <c r="A77" s="82"/>
      <c r="B77" s="82"/>
      <c r="C77" s="82"/>
      <c r="D77" s="82"/>
      <c r="E77" s="82" t="str">
        <f t="shared" si="0"/>
        <v>Specified Street Works Costs Re-opener</v>
      </c>
      <c r="F77" s="82"/>
      <c r="G77" s="82" t="s">
        <v>126</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CHOOSE($B$3,ENWL!AJ77,NPgN!AJ77,NPgY!AJ77,WMID!AJ77,EMID!AJ77,SWALES!AJ77,SWEST!AJ77,LPN!AJ77,SPN!AJ77,EPN!AJ77,SPD!AJ77,SPMW!AJ77,SSEH!AJ77,SSES!AJ77)</f>
        <v>Re-opener</v>
      </c>
      <c r="AK77" s="321"/>
      <c r="AL77" s="417" t="str">
        <f>CHOOSE($B$3,ENWL!AL77,NPgN!AL77,NPgY!AL77,WMID!AL77,EMID!AL77,SWALES!AL77,SWEST!AL77,LPN!AL77,SPN!AL77,EPN!AL77,SPD!AL77,SPMW!AL77,SSEH!AL77,SSES!AL77)</f>
        <v>RPEs Don't Apply</v>
      </c>
      <c r="AM77" s="528">
        <f>CHOOSE($B$3,ENWL!AM77,NPgN!AM77,NPgY!AM77,WMID!AM77,EMID!AM77,SWALES!AM77,SWEST!AM77,LPN!AM77,SPN!AM77,EPN!AM77,SPD!AM77,SPMW!AM77,SSEH!AM77,SSES!AM77)</f>
        <v>2</v>
      </c>
      <c r="AN77" s="321"/>
      <c r="AO77" s="410">
        <f>CHOOSE($B$3,ENWL!AO77,NPgN!AO77,NPgY!AO77,WMID!AO77,EMID!AO77,SWALES!AO77,SWEST!AO77,LPN!AO77,SPN!AO77,EPN!AO77,SPD!AO77,SPMW!AO77,SSEH!AO77,SSES!AO77)</f>
        <v>0</v>
      </c>
      <c r="AP77" s="410">
        <f>CHOOSE($B$3,ENWL!AP77,NPgN!AP77,NPgY!AP77,WMID!AP77,EMID!AP77,SWALES!AP77,SWEST!AP77,LPN!AP77,SPN!AP77,EPN!AP77,SPD!AP77,SPMW!AP77,SSEH!AP77,SSES!AP77)</f>
        <v>0</v>
      </c>
      <c r="AQ77" s="456">
        <f>CHOOSE($B$3,ENWL!AQ77,NPgN!AQ77,NPgY!AQ77,WMID!AQ77,EMID!AQ77,SWALES!AQ77,SWEST!AQ77,LPN!AQ77,SPN!AQ77,EPN!AQ77,SPD!AQ77,SPMW!AQ77,SSEH!AQ77,SSES!AQ77)</f>
        <v>0</v>
      </c>
      <c r="AR77" s="410">
        <f>CHOOSE($B$3,ENWL!AR77,NPgN!AR77,NPgY!AR77,WMID!AR77,EMID!AR77,SWALES!AR77,SWEST!AR77,LPN!AR77,SPN!AR77,EPN!AR77,SPD!AR77,SPMW!AR77,SSEH!AR77,SSES!AR77)</f>
        <v>0</v>
      </c>
      <c r="AS77" s="410">
        <f>CHOOSE($B$3,ENWL!AS77,NPgN!AS77,NPgY!AS77,WMID!AS77,EMID!AS77,SWALES!AS77,SWEST!AS77,LPN!AS77,SPN!AS77,EPN!AS77,SPD!AS77,SPMW!AS77,SSEH!AS77,SSES!AS77)</f>
        <v>0</v>
      </c>
      <c r="AT77" s="410">
        <f>CHOOSE($B$3,ENWL!AT77,NPgN!AT77,NPgY!AT77,WMID!AT77,EMID!AT77,SWALES!AT77,SWEST!AT77,LPN!AT77,SPN!AT77,EPN!AT77,SPD!AT77,SPMW!AT77,SSEH!AT77,SSES!AT77)</f>
        <v>0</v>
      </c>
      <c r="AU77" s="410">
        <f>CHOOSE($B$3,ENWL!AU77,NPgN!AU77,NPgY!AU77,WMID!AU77,EMID!AU77,SWALES!AU77,SWEST!AU77,LPN!AU77,SPN!AU77,EPN!AU77,SPD!AU77,SPMW!AU77,SSEH!AU77,SSES!AU77)</f>
        <v>1</v>
      </c>
      <c r="AV77" s="263"/>
      <c r="AW77" s="184"/>
    </row>
    <row r="78" spans="1:49" ht="15">
      <c r="A78" s="82"/>
      <c r="B78" s="82"/>
      <c r="C78" s="82"/>
      <c r="D78" s="82"/>
      <c r="E78" s="82" t="str">
        <f t="shared" si="0"/>
        <v>Rail Electrification Costs Re-opener</v>
      </c>
      <c r="F78" s="82"/>
      <c r="G78" s="82" t="s">
        <v>126</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CHOOSE($B$3,ENWL!AJ78,NPgN!AJ78,NPgY!AJ78,WMID!AJ78,EMID!AJ78,SWALES!AJ78,SWEST!AJ78,LPN!AJ78,SPN!AJ78,EPN!AJ78,SPD!AJ78,SPMW!AJ78,SSEH!AJ78,SSES!AJ78)</f>
        <v>Re-opener</v>
      </c>
      <c r="AK78" s="321"/>
      <c r="AL78" s="417" t="str">
        <f>CHOOSE($B$3,ENWL!AL78,NPgN!AL78,NPgY!AL78,WMID!AL78,EMID!AL78,SWALES!AL78,SWEST!AL78,LPN!AL78,SPN!AL78,EPN!AL78,SPD!AL78,SPMW!AL78,SSEH!AL78,SSES!AL78)</f>
        <v>RPEs Don't Apply</v>
      </c>
      <c r="AM78" s="528">
        <f>CHOOSE($B$3,ENWL!AM78,NPgN!AM78,NPgY!AM78,WMID!AM78,EMID!AM78,SWALES!AM78,SWEST!AM78,LPN!AM78,SPN!AM78,EPN!AM78,SPD!AM78,SPMW!AM78,SSEH!AM78,SSES!AM78)</f>
        <v>2</v>
      </c>
      <c r="AN78" s="321"/>
      <c r="AO78" s="410">
        <f>CHOOSE($B$3,ENWL!AO78,NPgN!AO78,NPgY!AO78,WMID!AO78,EMID!AO78,SWALES!AO78,SWEST!AO78,LPN!AO78,SPN!AO78,EPN!AO78,SPD!AO78,SPMW!AO78,SSEH!AO78,SSES!AO78)</f>
        <v>0</v>
      </c>
      <c r="AP78" s="410">
        <f>CHOOSE($B$3,ENWL!AP78,NPgN!AP78,NPgY!AP78,WMID!AP78,EMID!AP78,SWALES!AP78,SWEST!AP78,LPN!AP78,SPN!AP78,EPN!AP78,SPD!AP78,SPMW!AP78,SSEH!AP78,SSES!AP78)</f>
        <v>1</v>
      </c>
      <c r="AQ78" s="456">
        <f>CHOOSE($B$3,ENWL!AQ78,NPgN!AQ78,NPgY!AQ78,WMID!AQ78,EMID!AQ78,SWALES!AQ78,SWEST!AQ78,LPN!AQ78,SPN!AQ78,EPN!AQ78,SPD!AQ78,SPMW!AQ78,SSEH!AQ78,SSES!AQ78)</f>
        <v>0</v>
      </c>
      <c r="AR78" s="410">
        <f>CHOOSE($B$3,ENWL!AR78,NPgN!AR78,NPgY!AR78,WMID!AR78,EMID!AR78,SWALES!AR78,SWEST!AR78,LPN!AR78,SPN!AR78,EPN!AR78,SPD!AR78,SPMW!AR78,SSEH!AR78,SSES!AR78)</f>
        <v>0</v>
      </c>
      <c r="AS78" s="410">
        <f>CHOOSE($B$3,ENWL!AS78,NPgN!AS78,NPgY!AS78,WMID!AS78,EMID!AS78,SWALES!AS78,SWEST!AS78,LPN!AS78,SPN!AS78,EPN!AS78,SPD!AS78,SPMW!AS78,SSEH!AS78,SSES!AS78)</f>
        <v>0</v>
      </c>
      <c r="AT78" s="410">
        <f>CHOOSE($B$3,ENWL!AT78,NPgN!AT78,NPgY!AT78,WMID!AT78,EMID!AT78,SWALES!AT78,SWEST!AT78,LPN!AT78,SPN!AT78,EPN!AT78,SPD!AT78,SPMW!AT78,SSEH!AT78,SSES!AT78)</f>
        <v>0</v>
      </c>
      <c r="AU78" s="410">
        <f>CHOOSE($B$3,ENWL!AU78,NPgN!AU78,NPgY!AU78,WMID!AU78,EMID!AU78,SWALES!AU78,SWEST!AU78,LPN!AU78,SPN!AU78,EPN!AU78,SPD!AU78,SPMW!AU78,SSEH!AU78,SSES!AU78)</f>
        <v>0</v>
      </c>
      <c r="AV78" s="263"/>
      <c r="AW78" s="184"/>
    </row>
    <row r="79" spans="1:49" ht="15">
      <c r="A79" s="82"/>
      <c r="B79" s="82"/>
      <c r="C79" s="82"/>
      <c r="D79" s="82"/>
      <c r="E79" s="82" t="str">
        <f t="shared" si="0"/>
        <v>Net Zero Re-opener</v>
      </c>
      <c r="F79" s="82"/>
      <c r="G79" s="82" t="s">
        <v>126</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CHOOSE($B$3,ENWL!AJ79,NPgN!AJ79,NPgY!AJ79,WMID!AJ79,EMID!AJ79,SWALES!AJ79,SWEST!AJ79,LPN!AJ79,SPN!AJ79,EPN!AJ79,SPD!AJ79,SPMW!AJ79,SSEH!AJ79,SSES!AJ79)</f>
        <v>Re-opener</v>
      </c>
      <c r="AK79" s="321"/>
      <c r="AL79" s="417" t="str">
        <f>CHOOSE($B$3,ENWL!AL79,NPgN!AL79,NPgY!AL79,WMID!AL79,EMID!AL79,SWALES!AL79,SWEST!AL79,LPN!AL79,SPN!AL79,EPN!AL79,SPD!AL79,SPMW!AL79,SSEH!AL79,SSES!AL79)</f>
        <v>RPEs Don't Apply</v>
      </c>
      <c r="AM79" s="528">
        <f>CHOOSE($B$3,ENWL!AM79,NPgN!AM79,NPgY!AM79,WMID!AM79,EMID!AM79,SWALES!AM79,SWEST!AM79,LPN!AM79,SPN!AM79,EPN!AM79,SPD!AM79,SPMW!AM79,SSEH!AM79,SSES!AM79)</f>
        <v>2</v>
      </c>
      <c r="AN79" s="321"/>
      <c r="AO79" s="410">
        <f>CHOOSE($B$3,ENWL!AO79,NPgN!AO79,NPgY!AO79,WMID!AO79,EMID!AO79,SWALES!AO79,SWEST!AO79,LPN!AO79,SPN!AO79,EPN!AO79,SPD!AO79,SPMW!AO79,SSEH!AO79,SSES!AO79)</f>
        <v>1</v>
      </c>
      <c r="AP79" s="410">
        <f>CHOOSE($B$3,ENWL!AP79,NPgN!AP79,NPgY!AP79,WMID!AP79,EMID!AP79,SWALES!AP79,SWEST!AP79,LPN!AP79,SPN!AP79,EPN!AP79,SPD!AP79,SPMW!AP79,SSEH!AP79,SSES!AP79)</f>
        <v>0</v>
      </c>
      <c r="AQ79" s="456">
        <f>CHOOSE($B$3,ENWL!AQ79,NPgN!AQ79,NPgY!AQ79,WMID!AQ79,EMID!AQ79,SWALES!AQ79,SWEST!AQ79,LPN!AQ79,SPN!AQ79,EPN!AQ79,SPD!AQ79,SPMW!AQ79,SSEH!AQ79,SSES!AQ79)</f>
        <v>0</v>
      </c>
      <c r="AR79" s="410">
        <f>CHOOSE($B$3,ENWL!AR79,NPgN!AR79,NPgY!AR79,WMID!AR79,EMID!AR79,SWALES!AR79,SWEST!AR79,LPN!AR79,SPN!AR79,EPN!AR79,SPD!AR79,SPMW!AR79,SSEH!AR79,SSES!AR79)</f>
        <v>0</v>
      </c>
      <c r="AS79" s="410">
        <f>CHOOSE($B$3,ENWL!AS79,NPgN!AS79,NPgY!AS79,WMID!AS79,EMID!AS79,SWALES!AS79,SWEST!AS79,LPN!AS79,SPN!AS79,EPN!AS79,SPD!AS79,SPMW!AS79,SSEH!AS79,SSES!AS79)</f>
        <v>0</v>
      </c>
      <c r="AT79" s="410">
        <f>CHOOSE($B$3,ENWL!AT79,NPgN!AT79,NPgY!AT79,WMID!AT79,EMID!AT79,SWALES!AT79,SWEST!AT79,LPN!AT79,SPN!AT79,EPN!AT79,SPD!AT79,SPMW!AT79,SSEH!AT79,SSES!AT79)</f>
        <v>0</v>
      </c>
      <c r="AU79" s="410">
        <f>CHOOSE($B$3,ENWL!AU79,NPgN!AU79,NPgY!AU79,WMID!AU79,EMID!AU79,SWALES!AU79,SWEST!AU79,LPN!AU79,SPN!AU79,EPN!AU79,SPD!AU79,SPMW!AU79,SSEH!AU79,SSES!AU79)</f>
        <v>0</v>
      </c>
      <c r="AV79" s="263"/>
      <c r="AW79" s="184"/>
    </row>
    <row r="80" spans="1:49" ht="15">
      <c r="A80" s="82"/>
      <c r="B80" s="82"/>
      <c r="C80" s="82"/>
      <c r="D80" s="82"/>
      <c r="E80" s="82" t="str">
        <f t="shared" si="0"/>
        <v>Coordinated Adjustment Mechanism Re-opener</v>
      </c>
      <c r="F80" s="82"/>
      <c r="G80" s="82" t="s">
        <v>126</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CHOOSE($B$3,ENWL!AJ80,NPgN!AJ80,NPgY!AJ80,WMID!AJ80,EMID!AJ80,SWALES!AJ80,SWEST!AJ80,LPN!AJ80,SPN!AJ80,EPN!AJ80,SPD!AJ80,SPMW!AJ80,SSEH!AJ80,SSES!AJ80)</f>
        <v>Re-opener</v>
      </c>
      <c r="AK80" s="321"/>
      <c r="AL80" s="417" t="str">
        <f>CHOOSE($B$3,ENWL!AL80,NPgN!AL80,NPgY!AL80,WMID!AL80,EMID!AL80,SWALES!AL80,SWEST!AL80,LPN!AL80,SPN!AL80,EPN!AL80,SPD!AL80,SPMW!AL80,SSEH!AL80,SSES!AL80)</f>
        <v>RPEs Don't Apply</v>
      </c>
      <c r="AM80" s="528">
        <f>CHOOSE($B$3,ENWL!AM80,NPgN!AM80,NPgY!AM80,WMID!AM80,EMID!AM80,SWALES!AM80,SWEST!AM80,LPN!AM80,SPN!AM80,EPN!AM80,SPD!AM80,SPMW!AM80,SSEH!AM80,SSES!AM80)</f>
        <v>2</v>
      </c>
      <c r="AN80" s="321"/>
      <c r="AO80" s="410">
        <f>CHOOSE($B$3,ENWL!AO80,NPgN!AO80,NPgY!AO80,WMID!AO80,EMID!AO80,SWALES!AO80,SWEST!AO80,LPN!AO80,SPN!AO80,EPN!AO80,SPD!AO80,SPMW!AO80,SSEH!AO80,SSES!AO80)</f>
        <v>0</v>
      </c>
      <c r="AP80" s="410">
        <f>CHOOSE($B$3,ENWL!AP80,NPgN!AP80,NPgY!AP80,WMID!AP80,EMID!AP80,SWALES!AP80,SWEST!AP80,LPN!AP80,SPN!AP80,EPN!AP80,SPD!AP80,SPMW!AP80,SSEH!AP80,SSES!AP80)</f>
        <v>0</v>
      </c>
      <c r="AQ80" s="456">
        <f>CHOOSE($B$3,ENWL!AQ80,NPgN!AQ80,NPgY!AQ80,WMID!AQ80,EMID!AQ80,SWALES!AQ80,SWEST!AQ80,LPN!AQ80,SPN!AQ80,EPN!AQ80,SPD!AQ80,SPMW!AQ80,SSEH!AQ80,SSES!AQ80)</f>
        <v>1</v>
      </c>
      <c r="AR80" s="410">
        <f>CHOOSE($B$3,ENWL!AR80,NPgN!AR80,NPgY!AR80,WMID!AR80,EMID!AR80,SWALES!AR80,SWEST!AR80,LPN!AR80,SPN!AR80,EPN!AR80,SPD!AR80,SPMW!AR80,SSEH!AR80,SSES!AR80)</f>
        <v>0</v>
      </c>
      <c r="AS80" s="410">
        <f>CHOOSE($B$3,ENWL!AS80,NPgN!AS80,NPgY!AS80,WMID!AS80,EMID!AS80,SWALES!AS80,SWEST!AS80,LPN!AS80,SPN!AS80,EPN!AS80,SPD!AS80,SPMW!AS80,SSEH!AS80,SSES!AS80)</f>
        <v>0</v>
      </c>
      <c r="AT80" s="410">
        <f>CHOOSE($B$3,ENWL!AT80,NPgN!AT80,NPgY!AT80,WMID!AT80,EMID!AT80,SWALES!AT80,SWEST!AT80,LPN!AT80,SPN!AT80,EPN!AT80,SPD!AT80,SPMW!AT80,SSEH!AT80,SSES!AT80)</f>
        <v>0</v>
      </c>
      <c r="AU80" s="410">
        <f>CHOOSE($B$3,ENWL!AU80,NPgN!AU80,NPgY!AU80,WMID!AU80,EMID!AU80,SWALES!AU80,SWEST!AU80,LPN!AU80,SPN!AU80,EPN!AU80,SPD!AU80,SPMW!AU80,SSEH!AU80,SSES!AU80)</f>
        <v>0</v>
      </c>
      <c r="AV80" s="263"/>
      <c r="AW80" s="184"/>
    </row>
    <row r="81" spans="1:49" ht="15">
      <c r="A81" s="82"/>
      <c r="B81" s="82"/>
      <c r="C81" s="82"/>
      <c r="D81" s="82"/>
      <c r="E81" s="82" t="str">
        <f t="shared" si="0"/>
        <v>Electricity System Restoration Re-opener</v>
      </c>
      <c r="F81" s="82"/>
      <c r="G81" s="82" t="s">
        <v>126</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CHOOSE($B$3,ENWL!AJ81,NPgN!AJ81,NPgY!AJ81,WMID!AJ81,EMID!AJ81,SWALES!AJ81,SWEST!AJ81,LPN!AJ81,SPN!AJ81,EPN!AJ81,SPD!AJ81,SPMW!AJ81,SSEH!AJ81,SSES!AJ81)</f>
        <v>Re-opener</v>
      </c>
      <c r="AK81" s="321"/>
      <c r="AL81" s="417" t="str">
        <f>CHOOSE($B$3,ENWL!AL81,NPgN!AL81,NPgY!AL81,WMID!AL81,EMID!AL81,SWALES!AL81,SWEST!AL81,LPN!AL81,SPN!AL81,EPN!AL81,SPD!AL81,SPMW!AL81,SSEH!AL81,SSES!AL81)</f>
        <v>RPEs Don't Apply</v>
      </c>
      <c r="AM81" s="528">
        <f>CHOOSE($B$3,ENWL!AM81,NPgN!AM81,NPgY!AM81,WMID!AM81,EMID!AM81,SWALES!AM81,SWEST!AM81,LPN!AM81,SPN!AM81,EPN!AM81,SPD!AM81,SPMW!AM81,SSEH!AM81,SSES!AM81)</f>
        <v>2</v>
      </c>
      <c r="AN81" s="321"/>
      <c r="AO81" s="410">
        <f>CHOOSE($B$3,ENWL!AO81,NPgN!AO81,NPgY!AO81,WMID!AO81,EMID!AO81,SWALES!AO81,SWEST!AO81,LPN!AO81,SPN!AO81,EPN!AO81,SPD!AO81,SPMW!AO81,SSEH!AO81,SSES!AO81)</f>
        <v>0</v>
      </c>
      <c r="AP81" s="410">
        <f>CHOOSE($B$3,ENWL!AP81,NPgN!AP81,NPgY!AP81,WMID!AP81,EMID!AP81,SWALES!AP81,SWEST!AP81,LPN!AP81,SPN!AP81,EPN!AP81,SPD!AP81,SPMW!AP81,SSEH!AP81,SSES!AP81)</f>
        <v>1</v>
      </c>
      <c r="AQ81" s="456">
        <f>CHOOSE($B$3,ENWL!AQ81,NPgN!AQ81,NPgY!AQ81,WMID!AQ81,EMID!AQ81,SWALES!AQ81,SWEST!AQ81,LPN!AQ81,SPN!AQ81,EPN!AQ81,SPD!AQ81,SPMW!AQ81,SSEH!AQ81,SSES!AQ81)</f>
        <v>0</v>
      </c>
      <c r="AR81" s="410">
        <f>CHOOSE($B$3,ENWL!AR81,NPgN!AR81,NPgY!AR81,WMID!AR81,EMID!AR81,SWALES!AR81,SWEST!AR81,LPN!AR81,SPN!AR81,EPN!AR81,SPD!AR81,SPMW!AR81,SSEH!AR81,SSES!AR81)</f>
        <v>0</v>
      </c>
      <c r="AS81" s="410">
        <f>CHOOSE($B$3,ENWL!AS81,NPgN!AS81,NPgY!AS81,WMID!AS81,EMID!AS81,SWALES!AS81,SWEST!AS81,LPN!AS81,SPN!AS81,EPN!AS81,SPD!AS81,SPMW!AS81,SSEH!AS81,SSES!AS81)</f>
        <v>0</v>
      </c>
      <c r="AT81" s="410">
        <f>CHOOSE($B$3,ENWL!AT81,NPgN!AT81,NPgY!AT81,WMID!AT81,EMID!AT81,SWALES!AT81,SWEST!AT81,LPN!AT81,SPN!AT81,EPN!AT81,SPD!AT81,SPMW!AT81,SSEH!AT81,SSES!AT81)</f>
        <v>0</v>
      </c>
      <c r="AU81" s="410">
        <f>CHOOSE($B$3,ENWL!AU81,NPgN!AU81,NPgY!AU81,WMID!AU81,EMID!AU81,SWALES!AU81,SWEST!AU81,LPN!AU81,SPN!AU81,EPN!AU81,SPD!AU81,SPMW!AU81,SSEH!AU81,SSES!AU81)</f>
        <v>0</v>
      </c>
      <c r="AV81" s="263"/>
      <c r="AW81" s="184"/>
    </row>
    <row r="82" spans="1:49" ht="15">
      <c r="A82" s="82"/>
      <c r="B82" s="82"/>
      <c r="C82" s="82"/>
      <c r="D82" s="82"/>
      <c r="E82" s="82" t="str">
        <f t="shared" si="0"/>
        <v>Environmental Re-opener</v>
      </c>
      <c r="F82" s="82"/>
      <c r="G82" s="82" t="s">
        <v>126</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CHOOSE($B$3,ENWL!AJ82,NPgN!AJ82,NPgY!AJ82,WMID!AJ82,EMID!AJ82,SWALES!AJ82,SWEST!AJ82,LPN!AJ82,SPN!AJ82,EPN!AJ82,SPD!AJ82,SPMW!AJ82,SSEH!AJ82,SSES!AJ82)</f>
        <v>Re-opener</v>
      </c>
      <c r="AK82" s="321"/>
      <c r="AL82" s="417" t="str">
        <f>CHOOSE($B$3,ENWL!AL82,NPgN!AL82,NPgY!AL82,WMID!AL82,EMID!AL82,SWALES!AL82,SWEST!AL82,LPN!AL82,SPN!AL82,EPN!AL82,SPD!AL82,SPMW!AL82,SSEH!AL82,SSES!AL82)</f>
        <v>RPEs Don't Apply</v>
      </c>
      <c r="AM82" s="528">
        <f>CHOOSE($B$3,ENWL!AM82,NPgN!AM82,NPgY!AM82,WMID!AM82,EMID!AM82,SWALES!AM82,SWEST!AM82,LPN!AM82,SPN!AM82,EPN!AM82,SPD!AM82,SPMW!AM82,SSEH!AM82,SSES!AM82)</f>
        <v>2</v>
      </c>
      <c r="AN82" s="321"/>
      <c r="AO82" s="410">
        <f>CHOOSE($B$3,ENWL!AO82,NPgN!AO82,NPgY!AO82,WMID!AO82,EMID!AO82,SWALES!AO82,SWEST!AO82,LPN!AO82,SPN!AO82,EPN!AO82,SPD!AO82,SPMW!AO82,SSEH!AO82,SSES!AO82)</f>
        <v>0</v>
      </c>
      <c r="AP82" s="410">
        <f>CHOOSE($B$3,ENWL!AP82,NPgN!AP82,NPgY!AP82,WMID!AP82,EMID!AP82,SWALES!AP82,SWEST!AP82,LPN!AP82,SPN!AP82,EPN!AP82,SPD!AP82,SPMW!AP82,SSEH!AP82,SSES!AP82)</f>
        <v>1</v>
      </c>
      <c r="AQ82" s="456">
        <f>CHOOSE($B$3,ENWL!AQ82,NPgN!AQ82,NPgY!AQ82,WMID!AQ82,EMID!AQ82,SWALES!AQ82,SWEST!AQ82,LPN!AQ82,SPN!AQ82,EPN!AQ82,SPD!AQ82,SPMW!AQ82,SSEH!AQ82,SSES!AQ82)</f>
        <v>0</v>
      </c>
      <c r="AR82" s="410">
        <f>CHOOSE($B$3,ENWL!AR82,NPgN!AR82,NPgY!AR82,WMID!AR82,EMID!AR82,SWALES!AR82,SWEST!AR82,LPN!AR82,SPN!AR82,EPN!AR82,SPD!AR82,SPMW!AR82,SSEH!AR82,SSES!AR82)</f>
        <v>0</v>
      </c>
      <c r="AS82" s="410">
        <f>CHOOSE($B$3,ENWL!AS82,NPgN!AS82,NPgY!AS82,WMID!AS82,EMID!AS82,SWALES!AS82,SWEST!AS82,LPN!AS82,SPN!AS82,EPN!AS82,SPD!AS82,SPMW!AS82,SSEH!AS82,SSES!AS82)</f>
        <v>0</v>
      </c>
      <c r="AT82" s="410">
        <f>CHOOSE($B$3,ENWL!AT82,NPgN!AT82,NPgY!AT82,WMID!AT82,EMID!AT82,SWALES!AT82,SWEST!AT82,LPN!AT82,SPN!AT82,EPN!AT82,SPD!AT82,SPMW!AT82,SSEH!AT82,SSES!AT82)</f>
        <v>0</v>
      </c>
      <c r="AU82" s="410">
        <f>CHOOSE($B$3,ENWL!AU82,NPgN!AU82,NPgY!AU82,WMID!AU82,EMID!AU82,SWALES!AU82,SWEST!AU82,LPN!AU82,SPN!AU82,EPN!AU82,SPD!AU82,SPMW!AU82,SSEH!AU82,SSES!AU82)</f>
        <v>0</v>
      </c>
      <c r="AV82" s="263"/>
      <c r="AW82" s="184"/>
    </row>
    <row r="83" spans="1:49" ht="15">
      <c r="A83" s="82"/>
      <c r="B83" s="82"/>
      <c r="C83" s="82"/>
      <c r="D83" s="82"/>
      <c r="E83" s="82" t="str">
        <f t="shared" si="0"/>
        <v>Network Asset Risk Metric Expenditure</v>
      </c>
      <c r="F83" s="82"/>
      <c r="G83" s="82" t="s">
        <v>126</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CHOOSE($B$3,ENWL!AJ83,NPgN!AJ83,NPgY!AJ83,WMID!AJ83,EMID!AJ83,SWALES!AJ83,SWEST!AJ83,LPN!AJ83,SPN!AJ83,EPN!AJ83,SPD!AJ83,SPMW!AJ83,SSEH!AJ83,SSES!AJ83)</f>
        <v>PCD</v>
      </c>
      <c r="AK83" s="321"/>
      <c r="AL83" s="417" t="str">
        <f>CHOOSE($B$3,ENWL!AL83,NPgN!AL83,NPgY!AL83,WMID!AL83,EMID!AL83,SWALES!AL83,SWEST!AL83,LPN!AL83,SPN!AL83,EPN!AL83,SPD!AL83,SPMW!AL83,SSEH!AL83,SSES!AL83)</f>
        <v>RPEs Apply</v>
      </c>
      <c r="AM83" s="528">
        <f>CHOOSE($B$3,ENWL!AM83,NPgN!AM83,NPgY!AM83,WMID!AM83,EMID!AM83,SWALES!AM83,SWEST!AM83,LPN!AM83,SPN!AM83,EPN!AM83,SPD!AM83,SPMW!AM83,SSEH!AM83,SSES!AM83)</f>
        <v>1</v>
      </c>
      <c r="AN83" s="321"/>
      <c r="AO83" s="410">
        <f>CHOOSE($B$3,ENWL!AO83,NPgN!AO83,NPgY!AO83,WMID!AO83,EMID!AO83,SWALES!AO83,SWEST!AO83,LPN!AO83,SPN!AO83,EPN!AO83,SPD!AO83,SPMW!AO83,SSEH!AO83,SSES!AO83)</f>
        <v>0</v>
      </c>
      <c r="AP83" s="410">
        <f>CHOOSE($B$3,ENWL!AP83,NPgN!AP83,NPgY!AP83,WMID!AP83,EMID!AP83,SWALES!AP83,SWEST!AP83,LPN!AP83,SPN!AP83,EPN!AP83,SPD!AP83,SPMW!AP83,SSEH!AP83,SSES!AP83)</f>
        <v>1</v>
      </c>
      <c r="AQ83" s="456">
        <f>CHOOSE($B$3,ENWL!AQ83,NPgN!AQ83,NPgY!AQ83,WMID!AQ83,EMID!AQ83,SWALES!AQ83,SWEST!AQ83,LPN!AQ83,SPN!AQ83,EPN!AQ83,SPD!AQ83,SPMW!AQ83,SSEH!AQ83,SSES!AQ83)</f>
        <v>0</v>
      </c>
      <c r="AR83" s="410">
        <f>CHOOSE($B$3,ENWL!AR83,NPgN!AR83,NPgY!AR83,WMID!AR83,EMID!AR83,SWALES!AR83,SWEST!AR83,LPN!AR83,SPN!AR83,EPN!AR83,SPD!AR83,SPMW!AR83,SSEH!AR83,SSES!AR83)</f>
        <v>0</v>
      </c>
      <c r="AS83" s="410">
        <f>CHOOSE($B$3,ENWL!AS83,NPgN!AS83,NPgY!AS83,WMID!AS83,EMID!AS83,SWALES!AS83,SWEST!AS83,LPN!AS83,SPN!AS83,EPN!AS83,SPD!AS83,SPMW!AS83,SSEH!AS83,SSES!AS83)</f>
        <v>0</v>
      </c>
      <c r="AT83" s="410">
        <f>CHOOSE($B$3,ENWL!AT83,NPgN!AT83,NPgY!AT83,WMID!AT83,EMID!AT83,SWALES!AT83,SWEST!AT83,LPN!AT83,SPN!AT83,EPN!AT83,SPD!AT83,SPMW!AT83,SSEH!AT83,SSES!AT83)</f>
        <v>0</v>
      </c>
      <c r="AU83" s="410">
        <f>CHOOSE($B$3,ENWL!AU83,NPgN!AU83,NPgY!AU83,WMID!AU83,EMID!AU83,SWALES!AU83,SWEST!AU83,LPN!AU83,SPN!AU83,EPN!AU83,SPD!AU83,SPMW!AU83,SSEH!AU83,SSES!AU83)</f>
        <v>0</v>
      </c>
      <c r="AV83" s="263"/>
      <c r="AW83" s="184"/>
    </row>
    <row r="84" spans="1:49" ht="15">
      <c r="A84" s="82"/>
      <c r="B84" s="82"/>
      <c r="C84" s="82"/>
      <c r="D84" s="82"/>
      <c r="E84" s="82" t="str">
        <f t="shared" si="0"/>
        <v>Load Related Expenditure: Secondary Reinforcement</v>
      </c>
      <c r="F84" s="82"/>
      <c r="G84" s="82" t="s">
        <v>126</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CHOOSE($B$3,ENWL!AJ84,NPgN!AJ84,NPgY!AJ84,WMID!AJ84,EMID!AJ84,SWALES!AJ84,SWEST!AJ84,LPN!AJ84,SPN!AJ84,EPN!AJ84,SPD!AJ84,SPMW!AJ84,SSEH!AJ84,SSES!AJ84)</f>
        <v>Volume driver</v>
      </c>
      <c r="AK84" s="321"/>
      <c r="AL84" s="417" t="str">
        <f>CHOOSE($B$3,ENWL!AL84,NPgN!AL84,NPgY!AL84,WMID!AL84,EMID!AL84,SWALES!AL84,SWEST!AL84,LPN!AL84,SPN!AL84,EPN!AL84,SPD!AL84,SPMW!AL84,SSEH!AL84,SSES!AL84)</f>
        <v>RPEs Apply</v>
      </c>
      <c r="AM84" s="528">
        <f>CHOOSE($B$3,ENWL!AM84,NPgN!AM84,NPgY!AM84,WMID!AM84,EMID!AM84,SWALES!AM84,SWEST!AM84,LPN!AM84,SPN!AM84,EPN!AM84,SPD!AM84,SPMW!AM84,SSEH!AM84,SSES!AM84)</f>
        <v>2</v>
      </c>
      <c r="AN84" s="321"/>
      <c r="AO84" s="410">
        <f>CHOOSE($B$3,ENWL!AO84,NPgN!AO84,NPgY!AO84,WMID!AO84,EMID!AO84,SWALES!AO84,SWEST!AO84,LPN!AO84,SPN!AO84,EPN!AO84,SPD!AO84,SPMW!AO84,SSEH!AO84,SSES!AO84)</f>
        <v>1</v>
      </c>
      <c r="AP84" s="410">
        <f>CHOOSE($B$3,ENWL!AP84,NPgN!AP84,NPgY!AP84,WMID!AP84,EMID!AP84,SWALES!AP84,SWEST!AP84,LPN!AP84,SPN!AP84,EPN!AP84,SPD!AP84,SPMW!AP84,SSEH!AP84,SSES!AP84)</f>
        <v>0</v>
      </c>
      <c r="AQ84" s="456">
        <f>CHOOSE($B$3,ENWL!AQ84,NPgN!AQ84,NPgY!AQ84,WMID!AQ84,EMID!AQ84,SWALES!AQ84,SWEST!AQ84,LPN!AQ84,SPN!AQ84,EPN!AQ84,SPD!AQ84,SPMW!AQ84,SSEH!AQ84,SSES!AQ84)</f>
        <v>0</v>
      </c>
      <c r="AR84" s="410">
        <f>CHOOSE($B$3,ENWL!AR84,NPgN!AR84,NPgY!AR84,WMID!AR84,EMID!AR84,SWALES!AR84,SWEST!AR84,LPN!AR84,SPN!AR84,EPN!AR84,SPD!AR84,SPMW!AR84,SSEH!AR84,SSES!AR84)</f>
        <v>0</v>
      </c>
      <c r="AS84" s="410">
        <f>CHOOSE($B$3,ENWL!AS84,NPgN!AS84,NPgY!AS84,WMID!AS84,EMID!AS84,SWALES!AS84,SWEST!AS84,LPN!AS84,SPN!AS84,EPN!AS84,SPD!AS84,SPMW!AS84,SSEH!AS84,SSES!AS84)</f>
        <v>0</v>
      </c>
      <c r="AT84" s="410">
        <f>CHOOSE($B$3,ENWL!AT84,NPgN!AT84,NPgY!AT84,WMID!AT84,EMID!AT84,SWALES!AT84,SWEST!AT84,LPN!AT84,SPN!AT84,EPN!AT84,SPD!AT84,SPMW!AT84,SSEH!AT84,SSES!AT84)</f>
        <v>0</v>
      </c>
      <c r="AU84" s="410">
        <f>CHOOSE($B$3,ENWL!AU84,NPgN!AU84,NPgY!AU84,WMID!AU84,EMID!AU84,SWALES!AU84,SWEST!AU84,LPN!AU84,SPN!AU84,EPN!AU84,SPD!AU84,SPMW!AU84,SSEH!AU84,SSES!AU84)</f>
        <v>0</v>
      </c>
      <c r="AV84" s="263"/>
      <c r="AW84" s="184"/>
    </row>
    <row r="85" spans="1:49" ht="15">
      <c r="A85" s="82"/>
      <c r="B85" s="82"/>
      <c r="C85" s="82"/>
      <c r="D85" s="82"/>
      <c r="E85" s="82" t="str">
        <f t="shared" si="0"/>
        <v>Load Related Expenditure: Low Voltage Services</v>
      </c>
      <c r="F85" s="82"/>
      <c r="G85" s="82" t="s">
        <v>126</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CHOOSE($B$3,ENWL!AJ85,NPgN!AJ85,NPgY!AJ85,WMID!AJ85,EMID!AJ85,SWALES!AJ85,SWEST!AJ85,LPN!AJ85,SPN!AJ85,EPN!AJ85,SPD!AJ85,SPMW!AJ85,SSEH!AJ85,SSES!AJ85)</f>
        <v>Volume driver</v>
      </c>
      <c r="AK85" s="321"/>
      <c r="AL85" s="417" t="str">
        <f>CHOOSE($B$3,ENWL!AL85,NPgN!AL85,NPgY!AL85,WMID!AL85,EMID!AL85,SWALES!AL85,SWEST!AL85,LPN!AL85,SPN!AL85,EPN!AL85,SPD!AL85,SPMW!AL85,SSEH!AL85,SSES!AL85)</f>
        <v>RPEs Apply</v>
      </c>
      <c r="AM85" s="528">
        <f>CHOOSE($B$3,ENWL!AM85,NPgN!AM85,NPgY!AM85,WMID!AM85,EMID!AM85,SWALES!AM85,SWEST!AM85,LPN!AM85,SPN!AM85,EPN!AM85,SPD!AM85,SPMW!AM85,SSEH!AM85,SSES!AM85)</f>
        <v>2</v>
      </c>
      <c r="AN85" s="321"/>
      <c r="AO85" s="410">
        <f>CHOOSE($B$3,ENWL!AO85,NPgN!AO85,NPgY!AO85,WMID!AO85,EMID!AO85,SWALES!AO85,SWEST!AO85,LPN!AO85,SPN!AO85,EPN!AO85,SPD!AO85,SPMW!AO85,SSEH!AO85,SSES!AO85)</f>
        <v>1</v>
      </c>
      <c r="AP85" s="410">
        <f>CHOOSE($B$3,ENWL!AP85,NPgN!AP85,NPgY!AP85,WMID!AP85,EMID!AP85,SWALES!AP85,SWEST!AP85,LPN!AP85,SPN!AP85,EPN!AP85,SPD!AP85,SPMW!AP85,SSEH!AP85,SSES!AP85)</f>
        <v>0</v>
      </c>
      <c r="AQ85" s="456">
        <f>CHOOSE($B$3,ENWL!AQ85,NPgN!AQ85,NPgY!AQ85,WMID!AQ85,EMID!AQ85,SWALES!AQ85,SWEST!AQ85,LPN!AQ85,SPN!AQ85,EPN!AQ85,SPD!AQ85,SPMW!AQ85,SSEH!AQ85,SSES!AQ85)</f>
        <v>0</v>
      </c>
      <c r="AR85" s="410">
        <f>CHOOSE($B$3,ENWL!AR85,NPgN!AR85,NPgY!AR85,WMID!AR85,EMID!AR85,SWALES!AR85,SWEST!AR85,LPN!AR85,SPN!AR85,EPN!AR85,SPD!AR85,SPMW!AR85,SSEH!AR85,SSES!AR85)</f>
        <v>0</v>
      </c>
      <c r="AS85" s="410">
        <f>CHOOSE($B$3,ENWL!AS85,NPgN!AS85,NPgY!AS85,WMID!AS85,EMID!AS85,SWALES!AS85,SWEST!AS85,LPN!AS85,SPN!AS85,EPN!AS85,SPD!AS85,SPMW!AS85,SSEH!AS85,SSES!AS85)</f>
        <v>0</v>
      </c>
      <c r="AT85" s="410">
        <f>CHOOSE($B$3,ENWL!AT85,NPgN!AT85,NPgY!AT85,WMID!AT85,EMID!AT85,SWALES!AT85,SWEST!AT85,LPN!AT85,SPN!AT85,EPN!AT85,SPD!AT85,SPMW!AT85,SSEH!AT85,SSES!AT85)</f>
        <v>0</v>
      </c>
      <c r="AU85" s="410">
        <f>CHOOSE($B$3,ENWL!AU85,NPgN!AU85,NPgY!AU85,WMID!AU85,EMID!AU85,SWALES!AU85,SWEST!AU85,LPN!AU85,SPN!AU85,EPN!AU85,SPD!AU85,SPMW!AU85,SSEH!AU85,SSES!AU85)</f>
        <v>0</v>
      </c>
      <c r="AV85" s="263"/>
      <c r="AW85" s="184"/>
    </row>
    <row r="86" spans="1:49" ht="15">
      <c r="A86" s="82"/>
      <c r="B86" s="82"/>
      <c r="C86" s="82"/>
      <c r="D86" s="82"/>
      <c r="E86" s="82" t="str">
        <f t="shared" si="0"/>
        <v>Load Related Expenditure Re-opener</v>
      </c>
      <c r="F86" s="82"/>
      <c r="G86" s="82" t="s">
        <v>126</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CHOOSE($B$3,ENWL!AJ86,NPgN!AJ86,NPgY!AJ86,WMID!AJ86,EMID!AJ86,SWALES!AJ86,SWEST!AJ86,LPN!AJ86,SPN!AJ86,EPN!AJ86,SPD!AJ86,SPMW!AJ86,SSEH!AJ86,SSES!AJ86)</f>
        <v>Re-opener</v>
      </c>
      <c r="AK86" s="321"/>
      <c r="AL86" s="417" t="str">
        <f>CHOOSE($B$3,ENWL!AL86,NPgN!AL86,NPgY!AL86,WMID!AL86,EMID!AL86,SWALES!AL86,SWEST!AL86,LPN!AL86,SPN!AL86,EPN!AL86,SPD!AL86,SPMW!AL86,SSEH!AL86,SSES!AL86)</f>
        <v>RPEs Don't Apply</v>
      </c>
      <c r="AM86" s="528">
        <f>CHOOSE($B$3,ENWL!AM86,NPgN!AM86,NPgY!AM86,WMID!AM86,EMID!AM86,SWALES!AM86,SWEST!AM86,LPN!AM86,SPN!AM86,EPN!AM86,SPD!AM86,SPMW!AM86,SSEH!AM86,SSES!AM86)</f>
        <v>2</v>
      </c>
      <c r="AN86" s="321"/>
      <c r="AO86" s="410">
        <f>CHOOSE($B$3,ENWL!AO86,NPgN!AO86,NPgY!AO86,WMID!AO86,EMID!AO86,SWALES!AO86,SWEST!AO86,LPN!AO86,SPN!AO86,EPN!AO86,SPD!AO86,SPMW!AO86,SSEH!AO86,SSES!AO86)</f>
        <v>1</v>
      </c>
      <c r="AP86" s="410">
        <f>CHOOSE($B$3,ENWL!AP86,NPgN!AP86,NPgY!AP86,WMID!AP86,EMID!AP86,SWALES!AP86,SWEST!AP86,LPN!AP86,SPN!AP86,EPN!AP86,SPD!AP86,SPMW!AP86,SSEH!AP86,SSES!AP86)</f>
        <v>0</v>
      </c>
      <c r="AQ86" s="456">
        <f>CHOOSE($B$3,ENWL!AQ86,NPgN!AQ86,NPgY!AQ86,WMID!AQ86,EMID!AQ86,SWALES!AQ86,SWEST!AQ86,LPN!AQ86,SPN!AQ86,EPN!AQ86,SPD!AQ86,SPMW!AQ86,SSEH!AQ86,SSES!AQ86)</f>
        <v>0</v>
      </c>
      <c r="AR86" s="410">
        <f>CHOOSE($B$3,ENWL!AR86,NPgN!AR86,NPgY!AR86,WMID!AR86,EMID!AR86,SWALES!AR86,SWEST!AR86,LPN!AR86,SPN!AR86,EPN!AR86,SPD!AR86,SPMW!AR86,SSEH!AR86,SSES!AR86)</f>
        <v>0</v>
      </c>
      <c r="AS86" s="410">
        <f>CHOOSE($B$3,ENWL!AS86,NPgN!AS86,NPgY!AS86,WMID!AS86,EMID!AS86,SWALES!AS86,SWEST!AS86,LPN!AS86,SPN!AS86,EPN!AS86,SPD!AS86,SPMW!AS86,SSEH!AS86,SSES!AS86)</f>
        <v>0</v>
      </c>
      <c r="AT86" s="410">
        <f>CHOOSE($B$3,ENWL!AT86,NPgN!AT86,NPgY!AT86,WMID!AT86,EMID!AT86,SWALES!AT86,SWEST!AT86,LPN!AT86,SPN!AT86,EPN!AT86,SPD!AT86,SPMW!AT86,SSEH!AT86,SSES!AT86)</f>
        <v>0</v>
      </c>
      <c r="AU86" s="410">
        <f>CHOOSE($B$3,ENWL!AU86,NPgN!AU86,NPgY!AU86,WMID!AU86,EMID!AU86,SWALES!AU86,SWEST!AU86,LPN!AU86,SPN!AU86,EPN!AU86,SPD!AU86,SPMW!AU86,SSEH!AU86,SSES!AU86)</f>
        <v>0</v>
      </c>
      <c r="AV86" s="263"/>
      <c r="AW86" s="184"/>
    </row>
    <row r="87" spans="1:49" ht="15">
      <c r="A87" s="82"/>
      <c r="B87" s="82"/>
      <c r="C87" s="82"/>
      <c r="D87" s="82"/>
      <c r="E87" s="82" t="str">
        <f t="shared" si="0"/>
        <v>Digitalisation Re-opener</v>
      </c>
      <c r="F87" s="82"/>
      <c r="G87" s="82" t="s">
        <v>126</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CHOOSE($B$3,ENWL!AJ87,NPgN!AJ87,NPgY!AJ87,WMID!AJ87,EMID!AJ87,SWALES!AJ87,SWEST!AJ87,LPN!AJ87,SPN!AJ87,EPN!AJ87,SPD!AJ87,SPMW!AJ87,SSEH!AJ87,SSES!AJ87)</f>
        <v>Re-opener</v>
      </c>
      <c r="AK87" s="321"/>
      <c r="AL87" s="417" t="str">
        <f>CHOOSE($B$3,ENWL!AL87,NPgN!AL87,NPgY!AL87,WMID!AL87,EMID!AL87,SWALES!AL87,SWEST!AL87,LPN!AL87,SPN!AL87,EPN!AL87,SPD!AL87,SPMW!AL87,SSEH!AL87,SSES!AL87)</f>
        <v>RPEs Don't Apply</v>
      </c>
      <c r="AM87" s="528">
        <f>CHOOSE($B$3,ENWL!AM87,NPgN!AM87,NPgY!AM87,WMID!AM87,EMID!AM87,SWALES!AM87,SWEST!AM87,LPN!AM87,SPN!AM87,EPN!AM87,SPD!AM87,SPMW!AM87,SSEH!AM87,SSES!AM87)</f>
        <v>2</v>
      </c>
      <c r="AN87" s="321"/>
      <c r="AO87" s="410">
        <f>CHOOSE($B$3,ENWL!AO87,NPgN!AO87,NPgY!AO87,WMID!AO87,EMID!AO87,SWALES!AO87,SWEST!AO87,LPN!AO87,SPN!AO87,EPN!AO87,SPD!AO87,SPMW!AO87,SSEH!AO87,SSES!AO87)</f>
        <v>0</v>
      </c>
      <c r="AP87" s="410">
        <f>CHOOSE($B$3,ENWL!AP87,NPgN!AP87,NPgY!AP87,WMID!AP87,EMID!AP87,SWALES!AP87,SWEST!AP87,LPN!AP87,SPN!AP87,EPN!AP87,SPD!AP87,SPMW!AP87,SSEH!AP87,SSES!AP87)</f>
        <v>0</v>
      </c>
      <c r="AQ87" s="456">
        <f>CHOOSE($B$3,ENWL!AQ87,NPgN!AQ87,NPgY!AQ87,WMID!AQ87,EMID!AQ87,SWALES!AQ87,SWEST!AQ87,LPN!AQ87,SPN!AQ87,EPN!AQ87,SPD!AQ87,SPMW!AQ87,SSEH!AQ87,SSES!AQ87)</f>
        <v>0.5</v>
      </c>
      <c r="AR87" s="410">
        <f>CHOOSE($B$3,ENWL!AR87,NPgN!AR87,NPgY!AR87,WMID!AR87,EMID!AR87,SWALES!AR87,SWEST!AR87,LPN!AR87,SPN!AR87,EPN!AR87,SPD!AR87,SPMW!AR87,SSEH!AR87,SSES!AR87)</f>
        <v>0</v>
      </c>
      <c r="AS87" s="410">
        <f>CHOOSE($B$3,ENWL!AS87,NPgN!AS87,NPgY!AS87,WMID!AS87,EMID!AS87,SWALES!AS87,SWEST!AS87,LPN!AS87,SPN!AS87,EPN!AS87,SPD!AS87,SPMW!AS87,SSEH!AS87,SSES!AS87)</f>
        <v>0</v>
      </c>
      <c r="AT87" s="410">
        <f>CHOOSE($B$3,ENWL!AT87,NPgN!AT87,NPgY!AT87,WMID!AT87,EMID!AT87,SWALES!AT87,SWEST!AT87,LPN!AT87,SPN!AT87,EPN!AT87,SPD!AT87,SPMW!AT87,SSEH!AT87,SSES!AT87)</f>
        <v>0</v>
      </c>
      <c r="AU87" s="410">
        <f>CHOOSE($B$3,ENWL!AU87,NPgN!AU87,NPgY!AU87,WMID!AU87,EMID!AU87,SWALES!AU87,SWEST!AU87,LPN!AU87,SPN!AU87,EPN!AU87,SPD!AU87,SPMW!AU87,SSEH!AU87,SSES!AU87)</f>
        <v>0.5</v>
      </c>
      <c r="AV87" s="263"/>
      <c r="AW87" s="184"/>
    </row>
    <row r="88" spans="1:49" ht="15">
      <c r="A88" s="82"/>
      <c r="B88" s="82"/>
      <c r="C88" s="82"/>
      <c r="D88" s="82"/>
      <c r="E88" s="82" t="str">
        <f t="shared" si="0"/>
        <v>PCB Interventions</v>
      </c>
      <c r="F88" s="82"/>
      <c r="G88" s="82" t="s">
        <v>126</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CHOOSE($B$3,ENWL!AJ88,NPgN!AJ88,NPgY!AJ88,WMID!AJ88,EMID!AJ88,SWALES!AJ88,SWEST!AJ88,LPN!AJ88,SPN!AJ88,EPN!AJ88,SPD!AJ88,SPMW!AJ88,SSEH!AJ88,SSES!AJ88)</f>
        <v>Volume driver</v>
      </c>
      <c r="AK88" s="321"/>
      <c r="AL88" s="417" t="str">
        <f>CHOOSE($B$3,ENWL!AL88,NPgN!AL88,NPgY!AL88,WMID!AL88,EMID!AL88,SWALES!AL88,SWEST!AL88,LPN!AL88,SPN!AL88,EPN!AL88,SPD!AL88,SPMW!AL88,SSEH!AL88,SSES!AL88)</f>
        <v>RPEs Apply</v>
      </c>
      <c r="AM88" s="528">
        <f>CHOOSE($B$3,ENWL!AM88,NPgN!AM88,NPgY!AM88,WMID!AM88,EMID!AM88,SWALES!AM88,SWEST!AM88,LPN!AM88,SPN!AM88,EPN!AM88,SPD!AM88,SPMW!AM88,SSEH!AM88,SSES!AM88)</f>
        <v>2</v>
      </c>
      <c r="AN88" s="321"/>
      <c r="AO88" s="410">
        <f>CHOOSE($B$3,ENWL!AO88,NPgN!AO88,NPgY!AO88,WMID!AO88,EMID!AO88,SWALES!AO88,SWEST!AO88,LPN!AO88,SPN!AO88,EPN!AO88,SPD!AO88,SPMW!AO88,SSEH!AO88,SSES!AO88)</f>
        <v>0</v>
      </c>
      <c r="AP88" s="410">
        <f>CHOOSE($B$3,ENWL!AP88,NPgN!AP88,NPgY!AP88,WMID!AP88,EMID!AP88,SWALES!AP88,SWEST!AP88,LPN!AP88,SPN!AP88,EPN!AP88,SPD!AP88,SPMW!AP88,SSEH!AP88,SSES!AP88)</f>
        <v>1</v>
      </c>
      <c r="AQ88" s="456">
        <f>CHOOSE($B$3,ENWL!AQ88,NPgN!AQ88,NPgY!AQ88,WMID!AQ88,EMID!AQ88,SWALES!AQ88,SWEST!AQ88,LPN!AQ88,SPN!AQ88,EPN!AQ88,SPD!AQ88,SPMW!AQ88,SSEH!AQ88,SSES!AQ88)</f>
        <v>0</v>
      </c>
      <c r="AR88" s="410">
        <f>CHOOSE($B$3,ENWL!AR88,NPgN!AR88,NPgY!AR88,WMID!AR88,EMID!AR88,SWALES!AR88,SWEST!AR88,LPN!AR88,SPN!AR88,EPN!AR88,SPD!AR88,SPMW!AR88,SSEH!AR88,SSES!AR88)</f>
        <v>0</v>
      </c>
      <c r="AS88" s="410">
        <f>CHOOSE($B$3,ENWL!AS88,NPgN!AS88,NPgY!AS88,WMID!AS88,EMID!AS88,SWALES!AS88,SWEST!AS88,LPN!AS88,SPN!AS88,EPN!AS88,SPD!AS88,SPMW!AS88,SSEH!AS88,SSES!AS88)</f>
        <v>0</v>
      </c>
      <c r="AT88" s="410">
        <f>CHOOSE($B$3,ENWL!AT88,NPgN!AT88,NPgY!AT88,WMID!AT88,EMID!AT88,SWALES!AT88,SWEST!AT88,LPN!AT88,SPN!AT88,EPN!AT88,SPD!AT88,SPMW!AT88,SSEH!AT88,SSES!AT88)</f>
        <v>0</v>
      </c>
      <c r="AU88" s="410">
        <f>CHOOSE($B$3,ENWL!AU88,NPgN!AU88,NPgY!AU88,WMID!AU88,EMID!AU88,SWALES!AU88,SWEST!AU88,LPN!AU88,SPN!AU88,EPN!AU88,SPD!AU88,SPMW!AU88,SSEH!AU88,SSES!AU88)</f>
        <v>0</v>
      </c>
      <c r="AV88" s="263"/>
      <c r="AW88" s="184"/>
    </row>
    <row r="89" spans="1:49" ht="15">
      <c r="A89" s="82"/>
      <c r="B89" s="82"/>
      <c r="C89" s="82"/>
      <c r="D89" s="82"/>
      <c r="E89" s="82" t="str">
        <f t="shared" si="0"/>
        <v>Visual Amenity Projects</v>
      </c>
      <c r="F89" s="82"/>
      <c r="G89" s="82" t="s">
        <v>126</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CHOOSE($B$3,ENWL!AJ89,NPgN!AJ89,NPgY!AJ89,WMID!AJ89,EMID!AJ89,SWALES!AJ89,SWEST!AJ89,LPN!AJ89,SPN!AJ89,EPN!AJ89,SPD!AJ89,SPMW!AJ89,SSEH!AJ89,SSES!AJ89)</f>
        <v>UIOLI</v>
      </c>
      <c r="AK89" s="321"/>
      <c r="AL89" s="417" t="str">
        <f>CHOOSE($B$3,ENWL!AL89,NPgN!AL89,NPgY!AL89,WMID!AL89,EMID!AL89,SWALES!AL89,SWEST!AL89,LPN!AL89,SPN!AL89,EPN!AL89,SPD!AL89,SPMW!AL89,SSEH!AL89,SSES!AL89)</f>
        <v>RPEs Don't Apply</v>
      </c>
      <c r="AM89" s="528">
        <f>CHOOSE($B$3,ENWL!AM89,NPgN!AM89,NPgY!AM89,WMID!AM89,EMID!AM89,SWALES!AM89,SWEST!AM89,LPN!AM89,SPN!AM89,EPN!AM89,SPD!AM89,SPMW!AM89,SSEH!AM89,SSES!AM89)</f>
        <v>1</v>
      </c>
      <c r="AN89" s="321"/>
      <c r="AO89" s="410">
        <f>CHOOSE($B$3,ENWL!AO89,NPgN!AO89,NPgY!AO89,WMID!AO89,EMID!AO89,SWALES!AO89,SWEST!AO89,LPN!AO89,SPN!AO89,EPN!AO89,SPD!AO89,SPMW!AO89,SSEH!AO89,SSES!AO89)</f>
        <v>0</v>
      </c>
      <c r="AP89" s="410">
        <f>CHOOSE($B$3,ENWL!AP89,NPgN!AP89,NPgY!AP89,WMID!AP89,EMID!AP89,SWALES!AP89,SWEST!AP89,LPN!AP89,SPN!AP89,EPN!AP89,SPD!AP89,SPMW!AP89,SSEH!AP89,SSES!AP89)</f>
        <v>0</v>
      </c>
      <c r="AQ89" s="456">
        <f>CHOOSE($B$3,ENWL!AQ89,NPgN!AQ89,NPgY!AQ89,WMID!AQ89,EMID!AQ89,SWALES!AQ89,SWEST!AQ89,LPN!AQ89,SPN!AQ89,EPN!AQ89,SPD!AQ89,SPMW!AQ89,SSEH!AQ89,SSES!AQ89)</f>
        <v>1</v>
      </c>
      <c r="AR89" s="410">
        <f>CHOOSE($B$3,ENWL!AR89,NPgN!AR89,NPgY!AR89,WMID!AR89,EMID!AR89,SWALES!AR89,SWEST!AR89,LPN!AR89,SPN!AR89,EPN!AR89,SPD!AR89,SPMW!AR89,SSEH!AR89,SSES!AR89)</f>
        <v>0</v>
      </c>
      <c r="AS89" s="410">
        <f>CHOOSE($B$3,ENWL!AS89,NPgN!AS89,NPgY!AS89,WMID!AS89,EMID!AS89,SWALES!AS89,SWEST!AS89,LPN!AS89,SPN!AS89,EPN!AS89,SPD!AS89,SPMW!AS89,SSEH!AS89,SSES!AS89)</f>
        <v>0</v>
      </c>
      <c r="AT89" s="410">
        <f>CHOOSE($B$3,ENWL!AT89,NPgN!AT89,NPgY!AT89,WMID!AT89,EMID!AT89,SWALES!AT89,SWEST!AT89,LPN!AT89,SPN!AT89,EPN!AT89,SPD!AT89,SPMW!AT89,SSEH!AT89,SSES!AT89)</f>
        <v>0</v>
      </c>
      <c r="AU89" s="410">
        <f>CHOOSE($B$3,ENWL!AU89,NPgN!AU89,NPgY!AU89,WMID!AU89,EMID!AU89,SWALES!AU89,SWEST!AU89,LPN!AU89,SPN!AU89,EPN!AU89,SPD!AU89,SPMW!AU89,SSEH!AU89,SSES!AU89)</f>
        <v>0</v>
      </c>
      <c r="AV89" s="263"/>
      <c r="AW89" s="184"/>
    </row>
    <row r="90" spans="1:49" ht="15">
      <c r="A90" s="82"/>
      <c r="B90" s="82"/>
      <c r="C90" s="82"/>
      <c r="D90" s="82"/>
      <c r="E90" s="82" t="str">
        <f t="shared" si="0"/>
        <v>Cyber Resilience OT baseline</v>
      </c>
      <c r="F90" s="82"/>
      <c r="G90" s="82" t="s">
        <v>126</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CHOOSE($B$3,ENWL!AJ90,NPgN!AJ90,NPgY!AJ90,WMID!AJ90,EMID!AJ90,SWALES!AJ90,SWEST!AJ90,LPN!AJ90,SPN!AJ90,EPN!AJ90,SPD!AJ90,SPMW!AJ90,SSEH!AJ90,SSES!AJ90)</f>
        <v>PCD</v>
      </c>
      <c r="AK90" s="321"/>
      <c r="AL90" s="417" t="str">
        <f>CHOOSE($B$3,ENWL!AL90,NPgN!AL90,NPgY!AL90,WMID!AL90,EMID!AL90,SWALES!AL90,SWEST!AL90,LPN!AL90,SPN!AL90,EPN!AL90,SPD!AL90,SPMW!AL90,SSEH!AL90,SSES!AL90)</f>
        <v>RPEs Apply</v>
      </c>
      <c r="AM90" s="528">
        <f>CHOOSE($B$3,ENWL!AM90,NPgN!AM90,NPgY!AM90,WMID!AM90,EMID!AM90,SWALES!AM90,SWEST!AM90,LPN!AM90,SPN!AM90,EPN!AM90,SPD!AM90,SPMW!AM90,SSEH!AM90,SSES!AM90)</f>
        <v>1</v>
      </c>
      <c r="AN90" s="321"/>
      <c r="AO90" s="410">
        <f>CHOOSE($B$3,ENWL!AO90,NPgN!AO90,NPgY!AO90,WMID!AO90,EMID!AO90,SWALES!AO90,SWEST!AO90,LPN!AO90,SPN!AO90,EPN!AO90,SPD!AO90,SPMW!AO90,SSEH!AO90,SSES!AO90)</f>
        <v>0</v>
      </c>
      <c r="AP90" s="410">
        <f>CHOOSE($B$3,ENWL!AP90,NPgN!AP90,NPgY!AP90,WMID!AP90,EMID!AP90,SWALES!AP90,SWEST!AP90,LPN!AP90,SPN!AP90,EPN!AP90,SPD!AP90,SPMW!AP90,SSEH!AP90,SSES!AP90)</f>
        <v>0</v>
      </c>
      <c r="AQ90" s="456">
        <f>CHOOSE($B$3,ENWL!AQ90,NPgN!AQ90,NPgY!AQ90,WMID!AQ90,EMID!AQ90,SWALES!AQ90,SWEST!AQ90,LPN!AQ90,SPN!AQ90,EPN!AQ90,SPD!AQ90,SPMW!AQ90,SSEH!AQ90,SSES!AQ90)</f>
        <v>1</v>
      </c>
      <c r="AR90" s="410">
        <f>CHOOSE($B$3,ENWL!AR90,NPgN!AR90,NPgY!AR90,WMID!AR90,EMID!AR90,SWALES!AR90,SWEST!AR90,LPN!AR90,SPN!AR90,EPN!AR90,SPD!AR90,SPMW!AR90,SSEH!AR90,SSES!AR90)</f>
        <v>0</v>
      </c>
      <c r="AS90" s="410">
        <f>CHOOSE($B$3,ENWL!AS90,NPgN!AS90,NPgY!AS90,WMID!AS90,EMID!AS90,SWALES!AS90,SWEST!AS90,LPN!AS90,SPN!AS90,EPN!AS90,SPD!AS90,SPMW!AS90,SSEH!AS90,SSES!AS90)</f>
        <v>0</v>
      </c>
      <c r="AT90" s="410">
        <f>CHOOSE($B$3,ENWL!AT90,NPgN!AT90,NPgY!AT90,WMID!AT90,EMID!AT90,SWALES!AT90,SWEST!AT90,LPN!AT90,SPN!AT90,EPN!AT90,SPD!AT90,SPMW!AT90,SSEH!AT90,SSES!AT90)</f>
        <v>0</v>
      </c>
      <c r="AU90" s="410">
        <f>CHOOSE($B$3,ENWL!AU90,NPgN!AU90,NPgY!AU90,WMID!AU90,EMID!AU90,SWALES!AU90,SWEST!AU90,LPN!AU90,SPN!AU90,EPN!AU90,SPD!AU90,SPMW!AU90,SSEH!AU90,SSES!AU90)</f>
        <v>0</v>
      </c>
      <c r="AV90" s="263"/>
      <c r="AW90" s="184"/>
    </row>
    <row r="91" spans="1:49" ht="15">
      <c r="A91" s="82"/>
      <c r="B91" s="82"/>
      <c r="C91" s="82"/>
      <c r="D91" s="82"/>
      <c r="E91" s="82" t="str">
        <f t="shared" si="0"/>
        <v>Cyber Resilience OT Re-opener</v>
      </c>
      <c r="F91" s="82"/>
      <c r="G91" s="82" t="s">
        <v>126</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CHOOSE($B$3,ENWL!AJ91,NPgN!AJ91,NPgY!AJ91,WMID!AJ91,EMID!AJ91,SWALES!AJ91,SWEST!AJ91,LPN!AJ91,SPN!AJ91,EPN!AJ91,SPD!AJ91,SPMW!AJ91,SSEH!AJ91,SSES!AJ91)</f>
        <v>Re-opener</v>
      </c>
      <c r="AK91" s="321"/>
      <c r="AL91" s="417" t="str">
        <f>CHOOSE($B$3,ENWL!AL91,NPgN!AL91,NPgY!AL91,WMID!AL91,EMID!AL91,SWALES!AL91,SWEST!AL91,LPN!AL91,SPN!AL91,EPN!AL91,SPD!AL91,SPMW!AL91,SSEH!AL91,SSES!AL91)</f>
        <v>RPEs Don't Apply</v>
      </c>
      <c r="AM91" s="528">
        <f>CHOOSE($B$3,ENWL!AM91,NPgN!AM91,NPgY!AM91,WMID!AM91,EMID!AM91,SWALES!AM91,SWEST!AM91,LPN!AM91,SPN!AM91,EPN!AM91,SPD!AM91,SPMW!AM91,SSEH!AM91,SSES!AM91)</f>
        <v>2</v>
      </c>
      <c r="AN91" s="321"/>
      <c r="AO91" s="410">
        <f>CHOOSE($B$3,ENWL!AO91,NPgN!AO91,NPgY!AO91,WMID!AO91,EMID!AO91,SWALES!AO91,SWEST!AO91,LPN!AO91,SPN!AO91,EPN!AO91,SPD!AO91,SPMW!AO91,SSEH!AO91,SSES!AO91)</f>
        <v>0</v>
      </c>
      <c r="AP91" s="410">
        <f>CHOOSE($B$3,ENWL!AP91,NPgN!AP91,NPgY!AP91,WMID!AP91,EMID!AP91,SWALES!AP91,SWEST!AP91,LPN!AP91,SPN!AP91,EPN!AP91,SPD!AP91,SPMW!AP91,SSEH!AP91,SSES!AP91)</f>
        <v>0</v>
      </c>
      <c r="AQ91" s="456">
        <f>CHOOSE($B$3,ENWL!AQ91,NPgN!AQ91,NPgY!AQ91,WMID!AQ91,EMID!AQ91,SWALES!AQ91,SWEST!AQ91,LPN!AQ91,SPN!AQ91,EPN!AQ91,SPD!AQ91,SPMW!AQ91,SSEH!AQ91,SSES!AQ91)</f>
        <v>1</v>
      </c>
      <c r="AR91" s="410">
        <f>CHOOSE($B$3,ENWL!AR91,NPgN!AR91,NPgY!AR91,WMID!AR91,EMID!AR91,SWALES!AR91,SWEST!AR91,LPN!AR91,SPN!AR91,EPN!AR91,SPD!AR91,SPMW!AR91,SSEH!AR91,SSES!AR91)</f>
        <v>0</v>
      </c>
      <c r="AS91" s="410">
        <f>CHOOSE($B$3,ENWL!AS91,NPgN!AS91,NPgY!AS91,WMID!AS91,EMID!AS91,SWALES!AS91,SWEST!AS91,LPN!AS91,SPN!AS91,EPN!AS91,SPD!AS91,SPMW!AS91,SSEH!AS91,SSES!AS91)</f>
        <v>0</v>
      </c>
      <c r="AT91" s="410">
        <f>CHOOSE($B$3,ENWL!AT91,NPgN!AT91,NPgY!AT91,WMID!AT91,EMID!AT91,SWALES!AT91,SWEST!AT91,LPN!AT91,SPN!AT91,EPN!AT91,SPD!AT91,SPMW!AT91,SSEH!AT91,SSES!AT91)</f>
        <v>0</v>
      </c>
      <c r="AU91" s="410">
        <f>CHOOSE($B$3,ENWL!AU91,NPgN!AU91,NPgY!AU91,WMID!AU91,EMID!AU91,SWALES!AU91,SWEST!AU91,LPN!AU91,SPN!AU91,EPN!AU91,SPD!AU91,SPMW!AU91,SSEH!AU91,SSES!AU91)</f>
        <v>0</v>
      </c>
      <c r="AV91" s="263"/>
      <c r="AW91" s="184"/>
    </row>
    <row r="92" spans="1:49" ht="15">
      <c r="A92" s="82"/>
      <c r="B92" s="82"/>
      <c r="C92" s="82"/>
      <c r="D92" s="82"/>
      <c r="E92" s="82" t="str">
        <f t="shared" si="0"/>
        <v>Cyber Resilience IT Re-opener</v>
      </c>
      <c r="F92" s="82"/>
      <c r="G92" s="82" t="s">
        <v>126</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CHOOSE($B$3,ENWL!AJ92,NPgN!AJ92,NPgY!AJ92,WMID!AJ92,EMID!AJ92,SWALES!AJ92,SWEST!AJ92,LPN!AJ92,SPN!AJ92,EPN!AJ92,SPD!AJ92,SPMW!AJ92,SSEH!AJ92,SSES!AJ92)</f>
        <v>Re-opener</v>
      </c>
      <c r="AK92" s="321"/>
      <c r="AL92" s="417" t="str">
        <f>CHOOSE($B$3,ENWL!AL92,NPgN!AL92,NPgY!AL92,WMID!AL92,EMID!AL92,SWALES!AL92,SWEST!AL92,LPN!AL92,SPN!AL92,EPN!AL92,SPD!AL92,SPMW!AL92,SSEH!AL92,SSES!AL92)</f>
        <v>RPEs Don't Apply</v>
      </c>
      <c r="AM92" s="528">
        <f>CHOOSE($B$3,ENWL!AM92,NPgN!AM92,NPgY!AM92,WMID!AM92,EMID!AM92,SWALES!AM92,SWEST!AM92,LPN!AM92,SPN!AM92,EPN!AM92,SPD!AM92,SPMW!AM92,SSEH!AM92,SSES!AM92)</f>
        <v>2</v>
      </c>
      <c r="AN92" s="321"/>
      <c r="AO92" s="410">
        <f>CHOOSE($B$3,ENWL!AO92,NPgN!AO92,NPgY!AO92,WMID!AO92,EMID!AO92,SWALES!AO92,SWEST!AO92,LPN!AO92,SPN!AO92,EPN!AO92,SPD!AO92,SPMW!AO92,SSEH!AO92,SSES!AO92)</f>
        <v>0</v>
      </c>
      <c r="AP92" s="410">
        <f>CHOOSE($B$3,ENWL!AP92,NPgN!AP92,NPgY!AP92,WMID!AP92,EMID!AP92,SWALES!AP92,SWEST!AP92,LPN!AP92,SPN!AP92,EPN!AP92,SPD!AP92,SPMW!AP92,SSEH!AP92,SSES!AP92)</f>
        <v>0</v>
      </c>
      <c r="AQ92" s="456">
        <f>CHOOSE($B$3,ENWL!AQ92,NPgN!AQ92,NPgY!AQ92,WMID!AQ92,EMID!AQ92,SWALES!AQ92,SWEST!AQ92,LPN!AQ92,SPN!AQ92,EPN!AQ92,SPD!AQ92,SPMW!AQ92,SSEH!AQ92,SSES!AQ92)</f>
        <v>0</v>
      </c>
      <c r="AR92" s="410">
        <f>CHOOSE($B$3,ENWL!AR92,NPgN!AR92,NPgY!AR92,WMID!AR92,EMID!AR92,SWALES!AR92,SWEST!AR92,LPN!AR92,SPN!AR92,EPN!AR92,SPD!AR92,SPMW!AR92,SSEH!AR92,SSES!AR92)</f>
        <v>0</v>
      </c>
      <c r="AS92" s="410">
        <f>CHOOSE($B$3,ENWL!AS92,NPgN!AS92,NPgY!AS92,WMID!AS92,EMID!AS92,SWALES!AS92,SWEST!AS92,LPN!AS92,SPN!AS92,EPN!AS92,SPD!AS92,SPMW!AS92,SSEH!AS92,SSES!AS92)</f>
        <v>0</v>
      </c>
      <c r="AT92" s="410">
        <f>CHOOSE($B$3,ENWL!AT92,NPgN!AT92,NPgY!AT92,WMID!AT92,EMID!AT92,SWALES!AT92,SWEST!AT92,LPN!AT92,SPN!AT92,EPN!AT92,SPD!AT92,SPMW!AT92,SSEH!AT92,SSES!AT92)</f>
        <v>0</v>
      </c>
      <c r="AU92" s="410">
        <f>CHOOSE($B$3,ENWL!AU92,NPgN!AU92,NPgY!AU92,WMID!AU92,EMID!AU92,SWALES!AU92,SWEST!AU92,LPN!AU92,SPN!AU92,EPN!AU92,SPD!AU92,SPMW!AU92,SSEH!AU92,SSES!AU92)</f>
        <v>1</v>
      </c>
      <c r="AV92" s="263"/>
      <c r="AW92" s="184"/>
    </row>
    <row r="93" spans="1:49" ht="15">
      <c r="A93" s="82"/>
      <c r="B93" s="82"/>
      <c r="C93" s="82"/>
      <c r="D93" s="82"/>
      <c r="E93" s="82" t="str">
        <f t="shared" si="0"/>
        <v>Off-gas Grid Mechanistic Price Control Deliverable</v>
      </c>
      <c r="F93" s="82"/>
      <c r="G93" s="82" t="s">
        <v>126</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CHOOSE($B$3,ENWL!AJ93,NPgN!AJ93,NPgY!AJ93,WMID!AJ93,EMID!AJ93,SWALES!AJ93,SWEST!AJ93,LPN!AJ93,SPN!AJ93,EPN!AJ93,SPD!AJ93,SPMW!AJ93,SSEH!AJ93,SSES!AJ93)</f>
        <v>PCD</v>
      </c>
      <c r="AK93" s="321"/>
      <c r="AL93" s="417" t="str">
        <f>CHOOSE($B$3,ENWL!AL93,NPgN!AL93,NPgY!AL93,WMID!AL93,EMID!AL93,SWALES!AL93,SWEST!AL93,LPN!AL93,SPN!AL93,EPN!AL93,SPD!AL93,SPMW!AL93,SSEH!AL93,SSES!AL93)</f>
        <v>RPEs Apply</v>
      </c>
      <c r="AM93" s="528">
        <f>CHOOSE($B$3,ENWL!AM93,NPgN!AM93,NPgY!AM93,WMID!AM93,EMID!AM93,SWALES!AM93,SWEST!AM93,LPN!AM93,SPN!AM93,EPN!AM93,SPD!AM93,SPMW!AM93,SSEH!AM93,SSES!AM93)</f>
        <v>1</v>
      </c>
      <c r="AN93" s="321"/>
      <c r="AO93" s="410">
        <f>CHOOSE($B$3,ENWL!AO93,NPgN!AO93,NPgY!AO93,WMID!AO93,EMID!AO93,SWALES!AO93,SWEST!AO93,LPN!AO93,SPN!AO93,EPN!AO93,SPD!AO93,SPMW!AO93,SSEH!AO93,SSES!AO93)</f>
        <v>1</v>
      </c>
      <c r="AP93" s="410">
        <f>CHOOSE($B$3,ENWL!AP93,NPgN!AP93,NPgY!AP93,WMID!AP93,EMID!AP93,SWALES!AP93,SWEST!AP93,LPN!AP93,SPN!AP93,EPN!AP93,SPD!AP93,SPMW!AP93,SSEH!AP93,SSES!AP93)</f>
        <v>0</v>
      </c>
      <c r="AQ93" s="456">
        <f>CHOOSE($B$3,ENWL!AQ93,NPgN!AQ93,NPgY!AQ93,WMID!AQ93,EMID!AQ93,SWALES!AQ93,SWEST!AQ93,LPN!AQ93,SPN!AQ93,EPN!AQ93,SPD!AQ93,SPMW!AQ93,SSEH!AQ93,SSES!AQ93)</f>
        <v>0</v>
      </c>
      <c r="AR93" s="410">
        <f>CHOOSE($B$3,ENWL!AR93,NPgN!AR93,NPgY!AR93,WMID!AR93,EMID!AR93,SWALES!AR93,SWEST!AR93,LPN!AR93,SPN!AR93,EPN!AR93,SPD!AR93,SPMW!AR93,SSEH!AR93,SSES!AR93)</f>
        <v>0</v>
      </c>
      <c r="AS93" s="410">
        <f>CHOOSE($B$3,ENWL!AS93,NPgN!AS93,NPgY!AS93,WMID!AS93,EMID!AS93,SWALES!AS93,SWEST!AS93,LPN!AS93,SPN!AS93,EPN!AS93,SPD!AS93,SPMW!AS93,SSEH!AS93,SSES!AS93)</f>
        <v>0</v>
      </c>
      <c r="AT93" s="410">
        <f>CHOOSE($B$3,ENWL!AT93,NPgN!AT93,NPgY!AT93,WMID!AT93,EMID!AT93,SWALES!AT93,SWEST!AT93,LPN!AT93,SPN!AT93,EPN!AT93,SPD!AT93,SPMW!AT93,SSEH!AT93,SSES!AT93)</f>
        <v>0</v>
      </c>
      <c r="AU93" s="410">
        <f>CHOOSE($B$3,ENWL!AU93,NPgN!AU93,NPgY!AU93,WMID!AU93,EMID!AU93,SWALES!AU93,SWEST!AU93,LPN!AU93,SPN!AU93,EPN!AU93,SPD!AU93,SPMW!AU93,SSEH!AU93,SSES!AU93)</f>
        <v>0</v>
      </c>
      <c r="AV93" s="263"/>
      <c r="AW93" s="184"/>
    </row>
    <row r="94" spans="1:49" ht="15">
      <c r="A94" s="82"/>
      <c r="B94" s="82"/>
      <c r="C94" s="82"/>
      <c r="D94" s="82"/>
      <c r="E94" s="82" t="str">
        <f t="shared" si="0"/>
        <v>Shetland Link Contribution (SSEH only)</v>
      </c>
      <c r="F94" s="82"/>
      <c r="G94" s="82" t="s">
        <v>126</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CHOOSE($B$3,ENWL!AJ94,NPgN!AJ94,NPgY!AJ94,WMID!AJ94,EMID!AJ94,SWALES!AJ94,SWEST!AJ94,LPN!AJ94,SPN!AJ94,EPN!AJ94,SPD!AJ94,SPMW!AJ94,SSEH!AJ94,SSES!AJ94)</f>
        <v>Other</v>
      </c>
      <c r="AK94" s="321"/>
      <c r="AL94" s="417" t="str">
        <f>CHOOSE($B$3,ENWL!AL94,NPgN!AL94,NPgY!AL94,WMID!AL94,EMID!AL94,SWALES!AL94,SWEST!AL94,LPN!AL94,SPN!AL94,EPN!AL94,SPD!AL94,SPMW!AL94,SSEH!AL94,SSES!AL94)</f>
        <v>RPEs Don't Apply</v>
      </c>
      <c r="AM94" s="528">
        <f>CHOOSE($B$3,ENWL!AM94,NPgN!AM94,NPgY!AM94,WMID!AM94,EMID!AM94,SWALES!AM94,SWEST!AM94,LPN!AM94,SPN!AM94,EPN!AM94,SPD!AM94,SPMW!AM94,SSEH!AM94,SSES!AM94)</f>
        <v>2</v>
      </c>
      <c r="AN94" s="321"/>
      <c r="AO94" s="410">
        <f>CHOOSE($B$3,ENWL!AO94,NPgN!AO94,NPgY!AO94,WMID!AO94,EMID!AO94,SWALES!AO94,SWEST!AO94,LPN!AO94,SPN!AO94,EPN!AO94,SPD!AO94,SPMW!AO94,SSEH!AO94,SSES!AO94)</f>
        <v>0</v>
      </c>
      <c r="AP94" s="410">
        <f>CHOOSE($B$3,ENWL!AP94,NPgN!AP94,NPgY!AP94,WMID!AP94,EMID!AP94,SWALES!AP94,SWEST!AP94,LPN!AP94,SPN!AP94,EPN!AP94,SPD!AP94,SPMW!AP94,SSEH!AP94,SSES!AP94)</f>
        <v>0</v>
      </c>
      <c r="AQ94" s="456">
        <f>CHOOSE($B$3,ENWL!AQ94,NPgN!AQ94,NPgY!AQ94,WMID!AQ94,EMID!AQ94,SWALES!AQ94,SWEST!AQ94,LPN!AQ94,SPN!AQ94,EPN!AQ94,SPD!AQ94,SPMW!AQ94,SSEH!AQ94,SSES!AQ94)</f>
        <v>0.9</v>
      </c>
      <c r="AR94" s="410">
        <f>CHOOSE($B$3,ENWL!AR94,NPgN!AR94,NPgY!AR94,WMID!AR94,EMID!AR94,SWALES!AR94,SWEST!AR94,LPN!AR94,SPN!AR94,EPN!AR94,SPD!AR94,SPMW!AR94,SSEH!AR94,SSES!AR94)</f>
        <v>0</v>
      </c>
      <c r="AS94" s="410">
        <f>CHOOSE($B$3,ENWL!AS94,NPgN!AS94,NPgY!AS94,WMID!AS94,EMID!AS94,SWALES!AS94,SWEST!AS94,LPN!AS94,SPN!AS94,EPN!AS94,SPD!AS94,SPMW!AS94,SSEH!AS94,SSES!AS94)</f>
        <v>0</v>
      </c>
      <c r="AT94" s="410">
        <f>CHOOSE($B$3,ENWL!AT94,NPgN!AT94,NPgY!AT94,WMID!AT94,EMID!AT94,SWALES!AT94,SWEST!AT94,LPN!AT94,SPN!AT94,EPN!AT94,SPD!AT94,SPMW!AT94,SSEH!AT94,SSES!AT94)</f>
        <v>0</v>
      </c>
      <c r="AU94" s="410">
        <f>CHOOSE($B$3,ENWL!AU94,NPgN!AU94,NPgY!AU94,WMID!AU94,EMID!AU94,SWALES!AU94,SWEST!AU94,LPN!AU94,SPN!AU94,EPN!AU94,SPD!AU94,SPMW!AU94,SSEH!AU94,SSES!AU94)</f>
        <v>0.1</v>
      </c>
      <c r="AV94" s="263"/>
      <c r="AW94" s="184"/>
    </row>
    <row r="95" spans="1:49" ht="15">
      <c r="A95" s="82"/>
      <c r="B95" s="82"/>
      <c r="C95" s="82"/>
      <c r="D95" s="82"/>
      <c r="E95" s="82" t="str">
        <f t="shared" si="0"/>
        <v>West Coast of Cumbria Re-opener (ENWL only)</v>
      </c>
      <c r="F95" s="82"/>
      <c r="G95" s="82" t="s">
        <v>126</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CHOOSE($B$3,ENWL!AJ95,NPgN!AJ95,NPgY!AJ95,WMID!AJ95,EMID!AJ95,SWALES!AJ95,SWEST!AJ95,LPN!AJ95,SPN!AJ95,EPN!AJ95,SPD!AJ95,SPMW!AJ95,SSEH!AJ95,SSES!AJ95)</f>
        <v>Re-opener</v>
      </c>
      <c r="AK95" s="321"/>
      <c r="AL95" s="417" t="str">
        <f>CHOOSE($B$3,ENWL!AL95,NPgN!AL95,NPgY!AL95,WMID!AL95,EMID!AL95,SWALES!AL95,SWEST!AL95,LPN!AL95,SPN!AL95,EPN!AL95,SPD!AL95,SPMW!AL95,SSEH!AL95,SSES!AL95)</f>
        <v>RPEs Don't Apply</v>
      </c>
      <c r="AM95" s="528">
        <f>CHOOSE($B$3,ENWL!AM95,NPgN!AM95,NPgY!AM95,WMID!AM95,EMID!AM95,SWALES!AM95,SWEST!AM95,LPN!AM95,SPN!AM95,EPN!AM95,SPD!AM95,SPMW!AM95,SSEH!AM95,SSES!AM95)</f>
        <v>2</v>
      </c>
      <c r="AN95" s="321"/>
      <c r="AO95" s="410">
        <f>CHOOSE($B$3,ENWL!AO95,NPgN!AO95,NPgY!AO95,WMID!AO95,EMID!AO95,SWALES!AO95,SWEST!AO95,LPN!AO95,SPN!AO95,EPN!AO95,SPD!AO95,SPMW!AO95,SSEH!AO95,SSES!AO95)</f>
        <v>0</v>
      </c>
      <c r="AP95" s="410">
        <f>CHOOSE($B$3,ENWL!AP95,NPgN!AP95,NPgY!AP95,WMID!AP95,EMID!AP95,SWALES!AP95,SWEST!AP95,LPN!AP95,SPN!AP95,EPN!AP95,SPD!AP95,SPMW!AP95,SSEH!AP95,SSES!AP95)</f>
        <v>0</v>
      </c>
      <c r="AQ95" s="456">
        <f>CHOOSE($B$3,ENWL!AQ95,NPgN!AQ95,NPgY!AQ95,WMID!AQ95,EMID!AQ95,SWALES!AQ95,SWEST!AQ95,LPN!AQ95,SPN!AQ95,EPN!AQ95,SPD!AQ95,SPMW!AQ95,SSEH!AQ95,SSES!AQ95)</f>
        <v>1</v>
      </c>
      <c r="AR95" s="410">
        <f>CHOOSE($B$3,ENWL!AR95,NPgN!AR95,NPgY!AR95,WMID!AR95,EMID!AR95,SWALES!AR95,SWEST!AR95,LPN!AR95,SPN!AR95,EPN!AR95,SPD!AR95,SPMW!AR95,SSEH!AR95,SSES!AR95)</f>
        <v>0</v>
      </c>
      <c r="AS95" s="410">
        <f>CHOOSE($B$3,ENWL!AS95,NPgN!AS95,NPgY!AS95,WMID!AS95,EMID!AS95,SWALES!AS95,SWEST!AS95,LPN!AS95,SPN!AS95,EPN!AS95,SPD!AS95,SPMW!AS95,SSEH!AS95,SSES!AS95)</f>
        <v>0</v>
      </c>
      <c r="AT95" s="410">
        <f>CHOOSE($B$3,ENWL!AT95,NPgN!AT95,NPgY!AT95,WMID!AT95,EMID!AT95,SWALES!AT95,SWEST!AT95,LPN!AT95,SPN!AT95,EPN!AT95,SPD!AT95,SPMW!AT95,SSEH!AT95,SSES!AT95)</f>
        <v>0</v>
      </c>
      <c r="AU95" s="410">
        <f>CHOOSE($B$3,ENWL!AU95,NPgN!AU95,NPgY!AU95,WMID!AU95,EMID!AU95,SWALES!AU95,SWEST!AU95,LPN!AU95,SPN!AU95,EPN!AU95,SPD!AU95,SPMW!AU95,SSEH!AU95,SSES!AU95)</f>
        <v>0</v>
      </c>
      <c r="AV95" s="263"/>
      <c r="AW95" s="184"/>
    </row>
    <row r="96" spans="1:49" ht="15">
      <c r="A96" s="82"/>
      <c r="B96" s="82"/>
      <c r="C96" s="82"/>
      <c r="D96" s="82"/>
      <c r="E96" s="82" t="str">
        <f t="shared" si="0"/>
        <v>Shetland Enduring Solution Re-opener (SSEH only)</v>
      </c>
      <c r="F96" s="82"/>
      <c r="G96" s="82" t="s">
        <v>126</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CHOOSE($B$3,ENWL!AJ96,NPgN!AJ96,NPgY!AJ96,WMID!AJ96,EMID!AJ96,SWALES!AJ96,SWEST!AJ96,LPN!AJ96,SPN!AJ96,EPN!AJ96,SPD!AJ96,SPMW!AJ96,SSEH!AJ96,SSES!AJ96)</f>
        <v>Re-opener</v>
      </c>
      <c r="AK96" s="321"/>
      <c r="AL96" s="417" t="str">
        <f>CHOOSE($B$3,ENWL!AL96,NPgN!AL96,NPgY!AL96,WMID!AL96,EMID!AL96,SWALES!AL96,SWEST!AL96,LPN!AL96,SPN!AL96,EPN!AL96,SPD!AL96,SPMW!AL96,SSEH!AL96,SSES!AL96)</f>
        <v>RPEs Don't Apply</v>
      </c>
      <c r="AM96" s="528">
        <f>CHOOSE($B$3,ENWL!AM96,NPgN!AM96,NPgY!AM96,WMID!AM96,EMID!AM96,SWALES!AM96,SWEST!AM96,LPN!AM96,SPN!AM96,EPN!AM96,SPD!AM96,SPMW!AM96,SSEH!AM96,SSES!AM96)</f>
        <v>2</v>
      </c>
      <c r="AN96" s="321"/>
      <c r="AO96" s="410">
        <f>CHOOSE($B$3,ENWL!AO96,NPgN!AO96,NPgY!AO96,WMID!AO96,EMID!AO96,SWALES!AO96,SWEST!AO96,LPN!AO96,SPN!AO96,EPN!AO96,SPD!AO96,SPMW!AO96,SSEH!AO96,SSES!AO96)</f>
        <v>0</v>
      </c>
      <c r="AP96" s="410">
        <f>CHOOSE($B$3,ENWL!AP96,NPgN!AP96,NPgY!AP96,WMID!AP96,EMID!AP96,SWALES!AP96,SWEST!AP96,LPN!AP96,SPN!AP96,EPN!AP96,SPD!AP96,SPMW!AP96,SSEH!AP96,SSES!AP96)</f>
        <v>0</v>
      </c>
      <c r="AQ96" s="456">
        <f>CHOOSE($B$3,ENWL!AQ96,NPgN!AQ96,NPgY!AQ96,WMID!AQ96,EMID!AQ96,SWALES!AQ96,SWEST!AQ96,LPN!AQ96,SPN!AQ96,EPN!AQ96,SPD!AQ96,SPMW!AQ96,SSEH!AQ96,SSES!AQ96)</f>
        <v>0</v>
      </c>
      <c r="AR96" s="410">
        <f>CHOOSE($B$3,ENWL!AR96,NPgN!AR96,NPgY!AR96,WMID!AR96,EMID!AR96,SWALES!AR96,SWEST!AR96,LPN!AR96,SPN!AR96,EPN!AR96,SPD!AR96,SPMW!AR96,SSEH!AR96,SSES!AR96)</f>
        <v>0</v>
      </c>
      <c r="AS96" s="410">
        <f>CHOOSE($B$3,ENWL!AS96,NPgN!AS96,NPgY!AS96,WMID!AS96,EMID!AS96,SWALES!AS96,SWEST!AS96,LPN!AS96,SPN!AS96,EPN!AS96,SPD!AS96,SPMW!AS96,SSEH!AS96,SSES!AS96)</f>
        <v>0</v>
      </c>
      <c r="AT96" s="410">
        <f>CHOOSE($B$3,ENWL!AT96,NPgN!AT96,NPgY!AT96,WMID!AT96,EMID!AT96,SWALES!AT96,SWEST!AT96,LPN!AT96,SPN!AT96,EPN!AT96,SPD!AT96,SPMW!AT96,SSEH!AT96,SSES!AT96)</f>
        <v>0</v>
      </c>
      <c r="AU96" s="410">
        <f>CHOOSE($B$3,ENWL!AU96,NPgN!AU96,NPgY!AU96,WMID!AU96,EMID!AU96,SWALES!AU96,SWEST!AU96,LPN!AU96,SPN!AU96,EPN!AU96,SPD!AU96,SPMW!AU96,SSEH!AU96,SSES!AU96)</f>
        <v>1</v>
      </c>
      <c r="AV96" s="263"/>
      <c r="AW96" s="184"/>
    </row>
    <row r="97" spans="1:49" ht="15">
      <c r="A97" s="82"/>
      <c r="B97" s="82"/>
      <c r="C97" s="82"/>
      <c r="D97" s="82"/>
      <c r="E97" s="82" t="str">
        <f t="shared" si="0"/>
        <v>Shetland Extension Fixed Energy Costs Re-opener (SSEH only)</v>
      </c>
      <c r="F97" s="82"/>
      <c r="G97" s="82" t="s">
        <v>126</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CHOOSE($B$3,ENWL!AJ97,NPgN!AJ97,NPgY!AJ97,WMID!AJ97,EMID!AJ97,SWALES!AJ97,SWEST!AJ97,LPN!AJ97,SPN!AJ97,EPN!AJ97,SPD!AJ97,SPMW!AJ97,SSEH!AJ97,SSES!AJ97)</f>
        <v>Re-opener</v>
      </c>
      <c r="AK97" s="321"/>
      <c r="AL97" s="417" t="str">
        <f>CHOOSE($B$3,ENWL!AL97,NPgN!AL97,NPgY!AL97,WMID!AL97,EMID!AL97,SWALES!AL97,SWEST!AL97,LPN!AL97,SPN!AL97,EPN!AL97,SPD!AL97,SPMW!AL97,SSEH!AL97,SSES!AL97)</f>
        <v>RPEs Don't Apply</v>
      </c>
      <c r="AM97" s="528">
        <f>CHOOSE($B$3,ENWL!AM97,NPgN!AM97,NPgY!AM97,WMID!AM97,EMID!AM97,SWALES!AM97,SWEST!AM97,LPN!AM97,SPN!AM97,EPN!AM97,SPD!AM97,SPMW!AM97,SSEH!AM97,SSES!AM97)</f>
        <v>2</v>
      </c>
      <c r="AN97" s="321"/>
      <c r="AO97" s="410">
        <f>CHOOSE($B$3,ENWL!AO97,NPgN!AO97,NPgY!AO97,WMID!AO97,EMID!AO97,SWALES!AO97,SWEST!AO97,LPN!AO97,SPN!AO97,EPN!AO97,SPD!AO97,SPMW!AO97,SSEH!AO97,SSES!AO97)</f>
        <v>0</v>
      </c>
      <c r="AP97" s="410">
        <f>CHOOSE($B$3,ENWL!AP97,NPgN!AP97,NPgY!AP97,WMID!AP97,EMID!AP97,SWALES!AP97,SWEST!AP97,LPN!AP97,SPN!AP97,EPN!AP97,SPD!AP97,SPMW!AP97,SSEH!AP97,SSES!AP97)</f>
        <v>1</v>
      </c>
      <c r="AQ97" s="456">
        <f>CHOOSE($B$3,ENWL!AQ97,NPgN!AQ97,NPgY!AQ97,WMID!AQ97,EMID!AQ97,SWALES!AQ97,SWEST!AQ97,LPN!AQ97,SPN!AQ97,EPN!AQ97,SPD!AQ97,SPMW!AQ97,SSEH!AQ97,SSES!AQ97)</f>
        <v>0</v>
      </c>
      <c r="AR97" s="410">
        <f>CHOOSE($B$3,ENWL!AR97,NPgN!AR97,NPgY!AR97,WMID!AR97,EMID!AR97,SWALES!AR97,SWEST!AR97,LPN!AR97,SPN!AR97,EPN!AR97,SPD!AR97,SPMW!AR97,SSEH!AR97,SSES!AR97)</f>
        <v>0</v>
      </c>
      <c r="AS97" s="410">
        <f>CHOOSE($B$3,ENWL!AS97,NPgN!AS97,NPgY!AS97,WMID!AS97,EMID!AS97,SWALES!AS97,SWEST!AS97,LPN!AS97,SPN!AS97,EPN!AS97,SPD!AS97,SPMW!AS97,SSEH!AS97,SSES!AS97)</f>
        <v>0</v>
      </c>
      <c r="AT97" s="410">
        <f>CHOOSE($B$3,ENWL!AT97,NPgN!AT97,NPgY!AT97,WMID!AT97,EMID!AT97,SWALES!AT97,SWEST!AT97,LPN!AT97,SPN!AT97,EPN!AT97,SPD!AT97,SPMW!AT97,SSEH!AT97,SSES!AT97)</f>
        <v>0</v>
      </c>
      <c r="AU97" s="410">
        <f>CHOOSE($B$3,ENWL!AU97,NPgN!AU97,NPgY!AU97,WMID!AU97,EMID!AU97,SWALES!AU97,SWEST!AU97,LPN!AU97,SPN!AU97,EPN!AU97,SPD!AU97,SPMW!AU97,SSEH!AU97,SSES!AU97)</f>
        <v>0</v>
      </c>
      <c r="AV97" s="263"/>
      <c r="AW97" s="184"/>
    </row>
    <row r="98" spans="1:49" ht="15">
      <c r="A98" s="82"/>
      <c r="B98" s="82"/>
      <c r="C98" s="82"/>
      <c r="D98" s="82"/>
      <c r="E98" s="82" t="str">
        <f t="shared" si="0"/>
        <v>Hebrides and Orkney Re-opener (SSEH only)</v>
      </c>
      <c r="F98" s="82"/>
      <c r="G98" s="82" t="s">
        <v>126</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CHOOSE($B$3,ENWL!AJ98,NPgN!AJ98,NPgY!AJ98,WMID!AJ98,EMID!AJ98,SWALES!AJ98,SWEST!AJ98,LPN!AJ98,SPN!AJ98,EPN!AJ98,SPD!AJ98,SPMW!AJ98,SSEH!AJ98,SSES!AJ98)</f>
        <v>Re-opener</v>
      </c>
      <c r="AK98" s="321"/>
      <c r="AL98" s="417" t="str">
        <f>CHOOSE($B$3,ENWL!AL98,NPgN!AL98,NPgY!AL98,WMID!AL98,EMID!AL98,SWALES!AL98,SWEST!AL98,LPN!AL98,SPN!AL98,EPN!AL98,SPD!AL98,SPMW!AL98,SSEH!AL98,SSES!AL98)</f>
        <v>RPEs Don't Apply</v>
      </c>
      <c r="AM98" s="528">
        <f>CHOOSE($B$3,ENWL!AM98,NPgN!AM98,NPgY!AM98,WMID!AM98,EMID!AM98,SWALES!AM98,SWEST!AM98,LPN!AM98,SPN!AM98,EPN!AM98,SPD!AM98,SPMW!AM98,SSEH!AM98,SSES!AM98)</f>
        <v>2</v>
      </c>
      <c r="AN98" s="321"/>
      <c r="AO98" s="410">
        <f>CHOOSE($B$3,ENWL!AO98,NPgN!AO98,NPgY!AO98,WMID!AO98,EMID!AO98,SWALES!AO98,SWEST!AO98,LPN!AO98,SPN!AO98,EPN!AO98,SPD!AO98,SPMW!AO98,SSEH!AO98,SSES!AO98)</f>
        <v>0</v>
      </c>
      <c r="AP98" s="410">
        <f>CHOOSE($B$3,ENWL!AP98,NPgN!AP98,NPgY!AP98,WMID!AP98,EMID!AP98,SWALES!AP98,SWEST!AP98,LPN!AP98,SPN!AP98,EPN!AP98,SPD!AP98,SPMW!AP98,SSEH!AP98,SSES!AP98)</f>
        <v>1</v>
      </c>
      <c r="AQ98" s="456">
        <f>CHOOSE($B$3,ENWL!AQ98,NPgN!AQ98,NPgY!AQ98,WMID!AQ98,EMID!AQ98,SWALES!AQ98,SWEST!AQ98,LPN!AQ98,SPN!AQ98,EPN!AQ98,SPD!AQ98,SPMW!AQ98,SSEH!AQ98,SSES!AQ98)</f>
        <v>0</v>
      </c>
      <c r="AR98" s="410">
        <f>CHOOSE($B$3,ENWL!AR98,NPgN!AR98,NPgY!AR98,WMID!AR98,EMID!AR98,SWALES!AR98,SWEST!AR98,LPN!AR98,SPN!AR98,EPN!AR98,SPD!AR98,SPMW!AR98,SSEH!AR98,SSES!AR98)</f>
        <v>0</v>
      </c>
      <c r="AS98" s="410">
        <f>CHOOSE($B$3,ENWL!AS98,NPgN!AS98,NPgY!AS98,WMID!AS98,EMID!AS98,SWALES!AS98,SWEST!AS98,LPN!AS98,SPN!AS98,EPN!AS98,SPD!AS98,SPMW!AS98,SSEH!AS98,SSES!AS98)</f>
        <v>0</v>
      </c>
      <c r="AT98" s="410">
        <f>CHOOSE($B$3,ENWL!AT98,NPgN!AT98,NPgY!AT98,WMID!AT98,EMID!AT98,SWALES!AT98,SWEST!AT98,LPN!AT98,SPN!AT98,EPN!AT98,SPD!AT98,SPMW!AT98,SSEH!AT98,SSES!AT98)</f>
        <v>0</v>
      </c>
      <c r="AU98" s="410">
        <f>CHOOSE($B$3,ENWL!AU98,NPgN!AU98,NPgY!AU98,WMID!AU98,EMID!AU98,SWALES!AU98,SWEST!AU98,LPN!AU98,SPN!AU98,EPN!AU98,SPD!AU98,SPMW!AU98,SSEH!AU98,SSES!AU98)</f>
        <v>0</v>
      </c>
      <c r="AV98" s="263"/>
      <c r="AW98" s="184"/>
    </row>
    <row r="99" spans="1:49" ht="15">
      <c r="A99" s="82"/>
      <c r="B99" s="82"/>
      <c r="C99" s="82"/>
      <c r="D99" s="82"/>
      <c r="E99" s="82" t="str">
        <f t="shared" si="0"/>
        <v>Smart Street Mechanistic Price Control Deliverable (ENWL only)</v>
      </c>
      <c r="F99" s="82"/>
      <c r="G99" s="82" t="s">
        <v>126</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CHOOSE($B$3,ENWL!AJ99,NPgN!AJ99,NPgY!AJ99,WMID!AJ99,EMID!AJ99,SWALES!AJ99,SWEST!AJ99,LPN!AJ99,SPN!AJ99,EPN!AJ99,SPD!AJ99,SPMW!AJ99,SSEH!AJ99,SSES!AJ99)</f>
        <v>PCD</v>
      </c>
      <c r="AK99" s="321"/>
      <c r="AL99" s="417" t="str">
        <f>CHOOSE($B$3,ENWL!AL99,NPgN!AL99,NPgY!AL99,WMID!AL99,EMID!AL99,SWALES!AL99,SWEST!AL99,LPN!AL99,SPN!AL99,EPN!AL99,SPD!AL99,SPMW!AL99,SSEH!AL99,SSES!AL99)</f>
        <v>RPEs Apply</v>
      </c>
      <c r="AM99" s="528">
        <f>CHOOSE($B$3,ENWL!AM99,NPgN!AM99,NPgY!AM99,WMID!AM99,EMID!AM99,SWALES!AM99,SWEST!AM99,LPN!AM99,SPN!AM99,EPN!AM99,SPD!AM99,SPMW!AM99,SSEH!AM99,SSES!AM99)</f>
        <v>1</v>
      </c>
      <c r="AN99" s="321"/>
      <c r="AO99" s="410">
        <f>CHOOSE($B$3,ENWL!AO99,NPgN!AO99,NPgY!AO99,WMID!AO99,EMID!AO99,SWALES!AO99,SWEST!AO99,LPN!AO99,SPN!AO99,EPN!AO99,SPD!AO99,SPMW!AO99,SSEH!AO99,SSES!AO99)</f>
        <v>1</v>
      </c>
      <c r="AP99" s="410">
        <f>CHOOSE($B$3,ENWL!AP99,NPgN!AP99,NPgY!AP99,WMID!AP99,EMID!AP99,SWALES!AP99,SWEST!AP99,LPN!AP99,SPN!AP99,EPN!AP99,SPD!AP99,SPMW!AP99,SSEH!AP99,SSES!AP99)</f>
        <v>0</v>
      </c>
      <c r="AQ99" s="456">
        <f>CHOOSE($B$3,ENWL!AQ99,NPgN!AQ99,NPgY!AQ99,WMID!AQ99,EMID!AQ99,SWALES!AQ99,SWEST!AQ99,LPN!AQ99,SPN!AQ99,EPN!AQ99,SPD!AQ99,SPMW!AQ99,SSEH!AQ99,SSES!AQ99)</f>
        <v>0</v>
      </c>
      <c r="AR99" s="410">
        <f>CHOOSE($B$3,ENWL!AR99,NPgN!AR99,NPgY!AR99,WMID!AR99,EMID!AR99,SWALES!AR99,SWEST!AR99,LPN!AR99,SPN!AR99,EPN!AR99,SPD!AR99,SPMW!AR99,SSEH!AR99,SSES!AR99)</f>
        <v>0</v>
      </c>
      <c r="AS99" s="410">
        <f>CHOOSE($B$3,ENWL!AS99,NPgN!AS99,NPgY!AS99,WMID!AS99,EMID!AS99,SWALES!AS99,SWEST!AS99,LPN!AS99,SPN!AS99,EPN!AS99,SPD!AS99,SPMW!AS99,SSEH!AS99,SSES!AS99)</f>
        <v>0</v>
      </c>
      <c r="AT99" s="410">
        <f>CHOOSE($B$3,ENWL!AT99,NPgN!AT99,NPgY!AT99,WMID!AT99,EMID!AT99,SWALES!AT99,SWEST!AT99,LPN!AT99,SPN!AT99,EPN!AT99,SPD!AT99,SPMW!AT99,SSEH!AT99,SSES!AT99)</f>
        <v>0</v>
      </c>
      <c r="AU99" s="410">
        <f>CHOOSE($B$3,ENWL!AU99,NPgN!AU99,NPgY!AU99,WMID!AU99,EMID!AU99,SWALES!AU99,SWEST!AU99,LPN!AU99,SPN!AU99,EPN!AU99,SPD!AU99,SPMW!AU99,SSEH!AU99,SSES!AU99)</f>
        <v>0</v>
      </c>
      <c r="AV99" s="263"/>
      <c r="AW99" s="184"/>
    </row>
    <row r="100" spans="1:49" ht="15">
      <c r="A100" s="82"/>
      <c r="B100" s="82"/>
      <c r="C100" s="82"/>
      <c r="D100" s="82"/>
      <c r="E100" s="82" t="str">
        <f t="shared" si="0"/>
        <v>Worst Served Customers</v>
      </c>
      <c r="F100" s="82"/>
      <c r="G100" s="82" t="s">
        <v>126</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CHOOSE($B$3,ENWL!AJ100,NPgN!AJ100,NPgY!AJ100,WMID!AJ100,EMID!AJ100,SWALES!AJ100,SWEST!AJ100,LPN!AJ100,SPN!AJ100,EPN!AJ100,SPD!AJ100,SPMW!AJ100,SSEH!AJ100,SSES!AJ100)</f>
        <v>UIOLI</v>
      </c>
      <c r="AK100" s="321"/>
      <c r="AL100" s="417" t="str">
        <f>CHOOSE($B$3,ENWL!AL100,NPgN!AL100,NPgY!AL100,WMID!AL100,EMID!AL100,SWALES!AL100,SWEST!AL100,LPN!AL100,SPN!AL100,EPN!AL100,SPD!AL100,SPMW!AL100,SSEH!AL100,SSES!AL100)</f>
        <v>RPEs Don't Apply</v>
      </c>
      <c r="AM100" s="528">
        <f>CHOOSE($B$3,ENWL!AM100,NPgN!AM100,NPgY!AM100,WMID!AM100,EMID!AM100,SWALES!AM100,SWEST!AM100,LPN!AM100,SPN!AM100,EPN!AM100,SPD!AM100,SPMW!AM100,SSEH!AM100,SSES!AM100)</f>
        <v>1</v>
      </c>
      <c r="AN100" s="321"/>
      <c r="AO100" s="410">
        <f>CHOOSE($B$3,ENWL!AO100,NPgN!AO100,NPgY!AO100,WMID!AO100,EMID!AO100,SWALES!AO100,SWEST!AO100,LPN!AO100,SPN!AO100,EPN!AO100,SPD!AO100,SPMW!AO100,SSEH!AO100,SSES!AO100)</f>
        <v>0</v>
      </c>
      <c r="AP100" s="410">
        <f>CHOOSE($B$3,ENWL!AP100,NPgN!AP100,NPgY!AP100,WMID!AP100,EMID!AP100,SWALES!AP100,SWEST!AP100,LPN!AP100,SPN!AP100,EPN!AP100,SPD!AP100,SPMW!AP100,SSEH!AP100,SSES!AP100)</f>
        <v>0</v>
      </c>
      <c r="AQ100" s="456">
        <f>CHOOSE($B$3,ENWL!AQ100,NPgN!AQ100,NPgY!AQ100,WMID!AQ100,EMID!AQ100,SWALES!AQ100,SWEST!AQ100,LPN!AQ100,SPN!AQ100,EPN!AQ100,SPD!AQ100,SPMW!AQ100,SSEH!AQ100,SSES!AQ100)</f>
        <v>1</v>
      </c>
      <c r="AR100" s="410">
        <f>CHOOSE($B$3,ENWL!AR100,NPgN!AR100,NPgY!AR100,WMID!AR100,EMID!AR100,SWALES!AR100,SWEST!AR100,LPN!AR100,SPN!AR100,EPN!AR100,SPD!AR100,SPMW!AR100,SSEH!AR100,SSES!AR100)</f>
        <v>0</v>
      </c>
      <c r="AS100" s="410">
        <f>CHOOSE($B$3,ENWL!AS100,NPgN!AS100,NPgY!AS100,WMID!AS100,EMID!AS100,SWALES!AS100,SWEST!AS100,LPN!AS100,SPN!AS100,EPN!AS100,SPD!AS100,SPMW!AS100,SSEH!AS100,SSES!AS100)</f>
        <v>0</v>
      </c>
      <c r="AT100" s="410">
        <f>CHOOSE($B$3,ENWL!AT100,NPgN!AT100,NPgY!AT100,WMID!AT100,EMID!AT100,SWALES!AT100,SWEST!AT100,LPN!AT100,SPN!AT100,EPN!AT100,SPD!AT100,SPMW!AT100,SSEH!AT100,SSES!AT100)</f>
        <v>0</v>
      </c>
      <c r="AU100" s="410">
        <f>CHOOSE($B$3,ENWL!AU100,NPgN!AU100,NPgY!AU100,WMID!AU100,EMID!AU100,SWALES!AU100,SWEST!AU100,LPN!AU100,SPN!AU100,EPN!AU100,SPD!AU100,SPMW!AU100,SSEH!AU100,SSES!AU100)</f>
        <v>0</v>
      </c>
      <c r="AV100" s="263"/>
      <c r="AW100" s="184"/>
    </row>
    <row r="101" spans="1:49" ht="15">
      <c r="A101" s="82"/>
      <c r="B101" s="82"/>
      <c r="C101" s="82"/>
      <c r="D101" s="82"/>
      <c r="E101" s="82" t="str">
        <f t="shared" si="0"/>
        <v>EV Optioneering Projects</v>
      </c>
      <c r="F101" s="82"/>
      <c r="G101" s="82" t="s">
        <v>126</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CHOOSE($B$3,ENWL!AJ101,NPgN!AJ101,NPgY!AJ101,WMID!AJ101,EMID!AJ101,SWALES!AJ101,SWEST!AJ101,LPN!AJ101,SPN!AJ101,EPN!AJ101,SPD!AJ101,SPMW!AJ101,SSEH!AJ101,SSES!AJ101)</f>
        <v>UIOLI</v>
      </c>
      <c r="AK101" s="321"/>
      <c r="AL101" s="417" t="str">
        <f>CHOOSE($B$3,ENWL!AL101,NPgN!AL101,NPgY!AL101,WMID!AL101,EMID!AL101,SWALES!AL101,SWEST!AL101,LPN!AL101,SPN!AL101,EPN!AL101,SPD!AL101,SPMW!AL101,SSEH!AL101,SSES!AL101)</f>
        <v>RPEs Don't Apply</v>
      </c>
      <c r="AM101" s="528">
        <f>CHOOSE($B$3,ENWL!AM101,NPgN!AM101,NPgY!AM101,WMID!AM101,EMID!AM101,SWALES!AM101,SWEST!AM101,LPN!AM101,SPN!AM101,EPN!AM101,SPD!AM101,SPMW!AM101,SSEH!AM101,SSES!AM101)</f>
        <v>1</v>
      </c>
      <c r="AN101" s="321"/>
      <c r="AO101" s="410">
        <f>CHOOSE($B$3,ENWL!AO101,NPgN!AO101,NPgY!AO101,WMID!AO101,EMID!AO101,SWALES!AO101,SWEST!AO101,LPN!AO101,SPN!AO101,EPN!AO101,SPD!AO101,SPMW!AO101,SSEH!AO101,SSES!AO101)</f>
        <v>0</v>
      </c>
      <c r="AP101" s="410">
        <f>CHOOSE($B$3,ENWL!AP101,NPgN!AP101,NPgY!AP101,WMID!AP101,EMID!AP101,SWALES!AP101,SWEST!AP101,LPN!AP101,SPN!AP101,EPN!AP101,SPD!AP101,SPMW!AP101,SSEH!AP101,SSES!AP101)</f>
        <v>0</v>
      </c>
      <c r="AQ101" s="456">
        <f>CHOOSE($B$3,ENWL!AQ101,NPgN!AQ101,NPgY!AQ101,WMID!AQ101,EMID!AQ101,SWALES!AQ101,SWEST!AQ101,LPN!AQ101,SPN!AQ101,EPN!AQ101,SPD!AQ101,SPMW!AQ101,SSEH!AQ101,SSES!AQ101)</f>
        <v>0</v>
      </c>
      <c r="AR101" s="410">
        <f>CHOOSE($B$3,ENWL!AR101,NPgN!AR101,NPgY!AR101,WMID!AR101,EMID!AR101,SWALES!AR101,SWEST!AR101,LPN!AR101,SPN!AR101,EPN!AR101,SPD!AR101,SPMW!AR101,SSEH!AR101,SSES!AR101)</f>
        <v>0</v>
      </c>
      <c r="AS101" s="410">
        <f>CHOOSE($B$3,ENWL!AS101,NPgN!AS101,NPgY!AS101,WMID!AS101,EMID!AS101,SWALES!AS101,SWEST!AS101,LPN!AS101,SPN!AS101,EPN!AS101,SPD!AS101,SPMW!AS101,SSEH!AS101,SSES!AS101)</f>
        <v>0</v>
      </c>
      <c r="AT101" s="410">
        <f>CHOOSE($B$3,ENWL!AT101,NPgN!AT101,NPgY!AT101,WMID!AT101,EMID!AT101,SWALES!AT101,SWEST!AT101,LPN!AT101,SPN!AT101,EPN!AT101,SPD!AT101,SPMW!AT101,SSEH!AT101,SSES!AT101)</f>
        <v>0</v>
      </c>
      <c r="AU101" s="410">
        <f>CHOOSE($B$3,ENWL!AU101,NPgN!AU101,NPgY!AU101,WMID!AU101,EMID!AU101,SWALES!AU101,SWEST!AU101,LPN!AU101,SPN!AU101,EPN!AU101,SPD!AU101,SPMW!AU101,SSEH!AU101,SSES!AU101)</f>
        <v>1</v>
      </c>
      <c r="AV101" s="263"/>
      <c r="AW101" s="184"/>
    </row>
    <row r="102" spans="1:49" ht="15">
      <c r="A102" s="82"/>
      <c r="B102" s="82"/>
      <c r="C102" s="82"/>
      <c r="D102" s="82"/>
      <c r="E102" s="82" t="str">
        <f t="shared" si="0"/>
        <v>Cyber Resilience IT baseline</v>
      </c>
      <c r="F102" s="82"/>
      <c r="G102" s="82" t="s">
        <v>126</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CHOOSE($B$3,ENWL!AJ102,NPgN!AJ102,NPgY!AJ102,WMID!AJ102,EMID!AJ102,SWALES!AJ102,SWEST!AJ102,LPN!AJ102,SPN!AJ102,EPN!AJ102,SPD!AJ102,SPMW!AJ102,SSEH!AJ102,SSES!AJ102)</f>
        <v>PCD</v>
      </c>
      <c r="AK102" s="321"/>
      <c r="AL102" s="417" t="str">
        <f>CHOOSE($B$3,ENWL!AL102,NPgN!AL102,NPgY!AL102,WMID!AL102,EMID!AL102,SWALES!AL102,SWEST!AL102,LPN!AL102,SPN!AL102,EPN!AL102,SPD!AL102,SPMW!AL102,SSEH!AL102,SSES!AL102)</f>
        <v>RPEs Apply</v>
      </c>
      <c r="AM102" s="528">
        <f>CHOOSE($B$3,ENWL!AM102,NPgN!AM102,NPgY!AM102,WMID!AM102,EMID!AM102,SWALES!AM102,SWEST!AM102,LPN!AM102,SPN!AM102,EPN!AM102,SPD!AM102,SPMW!AM102,SSEH!AM102,SSES!AM102)</f>
        <v>1</v>
      </c>
      <c r="AN102" s="321"/>
      <c r="AO102" s="410">
        <f>CHOOSE($B$3,ENWL!AO102,NPgN!AO102,NPgY!AO102,WMID!AO102,EMID!AO102,SWALES!AO102,SWEST!AO102,LPN!AO102,SPN!AO102,EPN!AO102,SPD!AO102,SPMW!AO102,SSEH!AO102,SSES!AO102)</f>
        <v>0</v>
      </c>
      <c r="AP102" s="410">
        <f>CHOOSE($B$3,ENWL!AP102,NPgN!AP102,NPgY!AP102,WMID!AP102,EMID!AP102,SWALES!AP102,SWEST!AP102,LPN!AP102,SPN!AP102,EPN!AP102,SPD!AP102,SPMW!AP102,SSEH!AP102,SSES!AP102)</f>
        <v>0</v>
      </c>
      <c r="AQ102" s="456">
        <f>CHOOSE($B$3,ENWL!AQ102,NPgN!AQ102,NPgY!AQ102,WMID!AQ102,EMID!AQ102,SWALES!AQ102,SWEST!AQ102,LPN!AQ102,SPN!AQ102,EPN!AQ102,SPD!AQ102,SPMW!AQ102,SSEH!AQ102,SSES!AQ102)</f>
        <v>0</v>
      </c>
      <c r="AR102" s="410">
        <f>CHOOSE($B$3,ENWL!AR102,NPgN!AR102,NPgY!AR102,WMID!AR102,EMID!AR102,SWALES!AR102,SWEST!AR102,LPN!AR102,SPN!AR102,EPN!AR102,SPD!AR102,SPMW!AR102,SSEH!AR102,SSES!AR102)</f>
        <v>0</v>
      </c>
      <c r="AS102" s="410">
        <f>CHOOSE($B$3,ENWL!AS102,NPgN!AS102,NPgY!AS102,WMID!AS102,EMID!AS102,SWALES!AS102,SWEST!AS102,LPN!AS102,SPN!AS102,EPN!AS102,SPD!AS102,SPMW!AS102,SSEH!AS102,SSES!AS102)</f>
        <v>0</v>
      </c>
      <c r="AT102" s="410">
        <f>CHOOSE($B$3,ENWL!AT102,NPgN!AT102,NPgY!AT102,WMID!AT102,EMID!AT102,SWALES!AT102,SWEST!AT102,LPN!AT102,SPN!AT102,EPN!AT102,SPD!AT102,SPMW!AT102,SSEH!AT102,SSES!AT102)</f>
        <v>0</v>
      </c>
      <c r="AU102" s="410">
        <f>CHOOSE($B$3,ENWL!AU102,NPgN!AU102,NPgY!AU102,WMID!AU102,EMID!AU102,SWALES!AU102,SWEST!AU102,LPN!AU102,SPN!AU102,EPN!AU102,SPD!AU102,SPMW!AU102,SSEH!AU102,SSES!AU102)</f>
        <v>1</v>
      </c>
      <c r="AV102" s="263"/>
      <c r="AW102" s="184"/>
    </row>
    <row r="103" spans="1:49" ht="15">
      <c r="A103" s="82"/>
      <c r="B103" s="82"/>
      <c r="C103" s="82"/>
      <c r="D103" s="82"/>
      <c r="E103" s="82" t="str">
        <f t="shared" si="0"/>
        <v>Wayleaves and Diversions Re-opener</v>
      </c>
      <c r="F103" s="82"/>
      <c r="G103" s="82" t="s">
        <v>126</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CHOOSE($B$3,ENWL!AJ103,NPgN!AJ103,NPgY!AJ103,WMID!AJ103,EMID!AJ103,SWALES!AJ103,SWEST!AJ103,LPN!AJ103,SPN!AJ103,EPN!AJ103,SPD!AJ103,SPMW!AJ103,SSEH!AJ103,SSES!AJ103)</f>
        <v>Re-opener</v>
      </c>
      <c r="AK103" s="321"/>
      <c r="AL103" s="417" t="str">
        <f>CHOOSE($B$3,ENWL!AL103,NPgN!AL103,NPgY!AL103,WMID!AL103,EMID!AL103,SWALES!AL103,SWEST!AL103,LPN!AL103,SPN!AL103,EPN!AL103,SPD!AL103,SPMW!AL103,SSEH!AL103,SSES!AL103)</f>
        <v>RPEs Don't Apply</v>
      </c>
      <c r="AM103" s="528">
        <f>CHOOSE($B$3,ENWL!AM103,NPgN!AM103,NPgY!AM103,WMID!AM103,EMID!AM103,SWALES!AM103,SWEST!AM103,LPN!AM103,SPN!AM103,EPN!AM103,SPD!AM103,SPMW!AM103,SSEH!AM103,SSES!AM103)</f>
        <v>2</v>
      </c>
      <c r="AN103" s="321"/>
      <c r="AO103" s="410">
        <f>CHOOSE($B$3,ENWL!AO103,NPgN!AO103,NPgY!AO103,WMID!AO103,EMID!AO103,SWALES!AO103,SWEST!AO103,LPN!AO103,SPN!AO103,EPN!AO103,SPD!AO103,SPMW!AO103,SSEH!AO103,SSES!AO103)</f>
        <v>0</v>
      </c>
      <c r="AP103" s="410">
        <f>CHOOSE($B$3,ENWL!AP103,NPgN!AP103,NPgY!AP103,WMID!AP103,EMID!AP103,SWALES!AP103,SWEST!AP103,LPN!AP103,SPN!AP103,EPN!AP103,SPD!AP103,SPMW!AP103,SSEH!AP103,SSES!AP103)</f>
        <v>1</v>
      </c>
      <c r="AQ103" s="456">
        <f>CHOOSE($B$3,ENWL!AQ103,NPgN!AQ103,NPgY!AQ103,WMID!AQ103,EMID!AQ103,SWALES!AQ103,SWEST!AQ103,LPN!AQ103,SPN!AQ103,EPN!AQ103,SPD!AQ103,SPMW!AQ103,SSEH!AQ103,SSES!AQ103)</f>
        <v>0</v>
      </c>
      <c r="AR103" s="410">
        <f>CHOOSE($B$3,ENWL!AR103,NPgN!AR103,NPgY!AR103,WMID!AR103,EMID!AR103,SWALES!AR103,SWEST!AR103,LPN!AR103,SPN!AR103,EPN!AR103,SPD!AR103,SPMW!AR103,SSEH!AR103,SSES!AR103)</f>
        <v>0</v>
      </c>
      <c r="AS103" s="410">
        <f>CHOOSE($B$3,ENWL!AS103,NPgN!AS103,NPgY!AS103,WMID!AS103,EMID!AS103,SWALES!AS103,SWEST!AS103,LPN!AS103,SPN!AS103,EPN!AS103,SPD!AS103,SPMW!AS103,SSEH!AS103,SSES!AS103)</f>
        <v>0</v>
      </c>
      <c r="AT103" s="410">
        <f>CHOOSE($B$3,ENWL!AT103,NPgN!AT103,NPgY!AT103,WMID!AT103,EMID!AT103,SWALES!AT103,SWEST!AT103,LPN!AT103,SPN!AT103,EPN!AT103,SPD!AT103,SPMW!AT103,SSEH!AT103,SSES!AT103)</f>
        <v>0</v>
      </c>
      <c r="AU103" s="410">
        <f>CHOOSE($B$3,ENWL!AU103,NPgN!AU103,NPgY!AU103,WMID!AU103,EMID!AU103,SWALES!AU103,SWEST!AU103,LPN!AU103,SPN!AU103,EPN!AU103,SPD!AU103,SPMW!AU103,SSEH!AU103,SSES!AU103)</f>
        <v>0</v>
      </c>
      <c r="AV103" s="263"/>
      <c r="AW103" s="184"/>
    </row>
    <row r="104" spans="1:49" ht="15">
      <c r="A104" s="82"/>
      <c r="B104" s="82"/>
      <c r="C104" s="82"/>
      <c r="D104" s="82"/>
      <c r="E104" s="82" t="str">
        <f t="shared" si="0"/>
        <v>Indirects Scaler</v>
      </c>
      <c r="F104" s="82"/>
      <c r="G104" s="82" t="s">
        <v>126</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CHOOSE($B$3,ENWL!AJ104,NPgN!AJ104,NPgY!AJ104,WMID!AJ104,EMID!AJ104,SWALES!AJ104,SWEST!AJ104,LPN!AJ104,SPN!AJ104,EPN!AJ104,SPD!AJ104,SPMW!AJ104,SSEH!AJ104,SSES!AJ104)</f>
        <v>Other</v>
      </c>
      <c r="AK104" s="321"/>
      <c r="AL104" s="417" t="str">
        <f>CHOOSE($B$3,ENWL!AL104,NPgN!AL104,NPgY!AL104,WMID!AL104,EMID!AL104,SWALES!AL104,SWEST!AL104,LPN!AL104,SPN!AL104,EPN!AL104,SPD!AL104,SPMW!AL104,SSEH!AL104,SSES!AL104)</f>
        <v>RPEs Don't Apply</v>
      </c>
      <c r="AM104" s="528">
        <f>CHOOSE($B$3,ENWL!AM104,NPgN!AM104,NPgY!AM104,WMID!AM104,EMID!AM104,SWALES!AM104,SWEST!AM104,LPN!AM104,SPN!AM104,EPN!AM104,SPD!AM104,SPMW!AM104,SSEH!AM104,SSES!AM104)</f>
        <v>2</v>
      </c>
      <c r="AN104" s="321"/>
      <c r="AO104" s="410">
        <f>CHOOSE($B$3,ENWL!AO104,NPgN!AO104,NPgY!AO104,WMID!AO104,EMID!AO104,SWALES!AO104,SWEST!AO104,LPN!AO104,SPN!AO104,EPN!AO104,SPD!AO104,SPMW!AO104,SSEH!AO104,SSES!AO104)</f>
        <v>0</v>
      </c>
      <c r="AP104" s="410">
        <f>CHOOSE($B$3,ENWL!AP104,NPgN!AP104,NPgY!AP104,WMID!AP104,EMID!AP104,SWALES!AP104,SWEST!AP104,LPN!AP104,SPN!AP104,EPN!AP104,SPD!AP104,SPMW!AP104,SSEH!AP104,SSES!AP104)</f>
        <v>0</v>
      </c>
      <c r="AQ104" s="456">
        <f>CHOOSE($B$3,ENWL!AQ104,NPgN!AQ104,NPgY!AQ104,WMID!AQ104,EMID!AQ104,SWALES!AQ104,SWEST!AQ104,LPN!AQ104,SPN!AQ104,EPN!AQ104,SPD!AQ104,SPMW!AQ104,SSEH!AQ104,SSES!AQ104)</f>
        <v>0</v>
      </c>
      <c r="AR104" s="410">
        <f>CHOOSE($B$3,ENWL!AR104,NPgN!AR104,NPgY!AR104,WMID!AR104,EMID!AR104,SWALES!AR104,SWEST!AR104,LPN!AR104,SPN!AR104,EPN!AR104,SPD!AR104,SPMW!AR104,SSEH!AR104,SSES!AR104)</f>
        <v>0</v>
      </c>
      <c r="AS104" s="410">
        <f>CHOOSE($B$3,ENWL!AS104,NPgN!AS104,NPgY!AS104,WMID!AS104,EMID!AS104,SWALES!AS104,SWEST!AS104,LPN!AS104,SPN!AS104,EPN!AS104,SPD!AS104,SPMW!AS104,SSEH!AS104,SSES!AS104)</f>
        <v>0</v>
      </c>
      <c r="AT104" s="410">
        <f>CHOOSE($B$3,ENWL!AT104,NPgN!AT104,NPgY!AT104,WMID!AT104,EMID!AT104,SWALES!AT104,SWEST!AT104,LPN!AT104,SPN!AT104,EPN!AT104,SPD!AT104,SPMW!AT104,SSEH!AT104,SSES!AT104)</f>
        <v>0</v>
      </c>
      <c r="AU104" s="410">
        <f>CHOOSE($B$3,ENWL!AU104,NPgN!AU104,NPgY!AU104,WMID!AU104,EMID!AU104,SWALES!AU104,SWEST!AU104,LPN!AU104,SPN!AU104,EPN!AU104,SPD!AU104,SPMW!AU104,SSEH!AU104,SSES!AU104)</f>
        <v>1</v>
      </c>
      <c r="AV104" s="263"/>
      <c r="AW104" s="184"/>
    </row>
    <row r="105" spans="1:49" ht="15">
      <c r="A105" s="82"/>
      <c r="B105" s="82"/>
      <c r="C105" s="82"/>
      <c r="D105" s="82"/>
      <c r="E105" s="182" t="str">
        <f t="shared" si="0"/>
        <v>LineSIGHT Mechanistic Price Control Deliverable (ENWL only)</v>
      </c>
      <c r="F105" s="82"/>
      <c r="G105" s="82" t="s">
        <v>126</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CHOOSE($B$3,ENWL!AJ105,NPgN!AJ105,NPgY!AJ105,WMID!AJ105,EMID!AJ105,SWALES!AJ105,SWEST!AJ105,LPN!AJ105,SPN!AJ105,EPN!AJ105,SPD!AJ105,SPMW!AJ105,SSEH!AJ105,SSES!AJ105)</f>
        <v>PCD</v>
      </c>
      <c r="AK105" s="321"/>
      <c r="AL105" s="417" t="str">
        <f>CHOOSE($B$3,ENWL!AL105,NPgN!AL105,NPgY!AL105,WMID!AL105,EMID!AL105,SWALES!AL105,SWEST!AL105,LPN!AL105,SPN!AL105,EPN!AL105,SPD!AL105,SPMW!AL105,SSEH!AL105,SSES!AL105)</f>
        <v>RPEs Apply</v>
      </c>
      <c r="AM105" s="528">
        <f>CHOOSE($B$3,ENWL!AM105,NPgN!AM105,NPgY!AM105,WMID!AM105,EMID!AM105,SWALES!AM105,SWEST!AM105,LPN!AM105,SPN!AM105,EPN!AM105,SPD!AM105,SPMW!AM105,SSEH!AM105,SSES!AM105)</f>
        <v>1</v>
      </c>
      <c r="AN105" s="321"/>
      <c r="AO105" s="410">
        <f>CHOOSE($B$3,ENWL!AO105,NPgN!AO105,NPgY!AO105,WMID!AO105,EMID!AO105,SWALES!AO105,SWEST!AO105,LPN!AO105,SPN!AO105,EPN!AO105,SPD!AO105,SPMW!AO105,SSEH!AO105,SSES!AO105)</f>
        <v>0</v>
      </c>
      <c r="AP105" s="410">
        <f>CHOOSE($B$3,ENWL!AP105,NPgN!AP105,NPgY!AP105,WMID!AP105,EMID!AP105,SWALES!AP105,SWEST!AP105,LPN!AP105,SPN!AP105,EPN!AP105,SPD!AP105,SPMW!AP105,SSEH!AP105,SSES!AP105)</f>
        <v>1</v>
      </c>
      <c r="AQ105" s="456">
        <f>CHOOSE($B$3,ENWL!AQ105,NPgN!AQ105,NPgY!AQ105,WMID!AQ105,EMID!AQ105,SWALES!AQ105,SWEST!AQ105,LPN!AQ105,SPN!AQ105,EPN!AQ105,SPD!AQ105,SPMW!AQ105,SSEH!AQ105,SSES!AQ105)</f>
        <v>0</v>
      </c>
      <c r="AR105" s="410">
        <f>CHOOSE($B$3,ENWL!AR105,NPgN!AR105,NPgY!AR105,WMID!AR105,EMID!AR105,SWALES!AR105,SWEST!AR105,LPN!AR105,SPN!AR105,EPN!AR105,SPD!AR105,SPMW!AR105,SSEH!AR105,SSES!AR105)</f>
        <v>0</v>
      </c>
      <c r="AS105" s="410">
        <f>CHOOSE($B$3,ENWL!AS105,NPgN!AS105,NPgY!AS105,WMID!AS105,EMID!AS105,SWALES!AS105,SWEST!AS105,LPN!AS105,SPN!AS105,EPN!AS105,SPD!AS105,SPMW!AS105,SSEH!AS105,SSES!AS105)</f>
        <v>0</v>
      </c>
      <c r="AT105" s="410">
        <f>CHOOSE($B$3,ENWL!AT105,NPgN!AT105,NPgY!AT105,WMID!AT105,EMID!AT105,SWALES!AT105,SWEST!AT105,LPN!AT105,SPN!AT105,EPN!AT105,SPD!AT105,SPMW!AT105,SSEH!AT105,SSES!AT105)</f>
        <v>0</v>
      </c>
      <c r="AU105" s="410">
        <f>CHOOSE($B$3,ENWL!AU105,NPgN!AU105,NPgY!AU105,WMID!AU105,EMID!AU105,SWALES!AU105,SWEST!AU105,LPN!AU105,SPN!AU105,EPN!AU105,SPD!AU105,SPMW!AU105,SSEH!AU105,SSES!AU105)</f>
        <v>0</v>
      </c>
      <c r="AV105" s="263"/>
      <c r="AW105" s="184"/>
    </row>
    <row r="106" spans="1:49" ht="15">
      <c r="A106" s="82"/>
      <c r="B106" s="82"/>
      <c r="C106" s="82"/>
      <c r="D106" s="82"/>
      <c r="E106" s="182" t="str">
        <f t="shared" si="0"/>
        <v>New Depot (EMID, SWALES, SWEST and WMID only)</v>
      </c>
      <c r="F106" s="82"/>
      <c r="G106" s="82" t="s">
        <v>126</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CHOOSE($B$3,ENWL!AJ106,NPgN!AJ106,NPgY!AJ106,WMID!AJ106,EMID!AJ106,SWALES!AJ106,SWEST!AJ106,LPN!AJ106,SPN!AJ106,EPN!AJ106,SPD!AJ106,SPMW!AJ106,SSEH!AJ106,SSES!AJ106)</f>
        <v>PCD</v>
      </c>
      <c r="AK106" s="321"/>
      <c r="AL106" s="417" t="str">
        <f>CHOOSE($B$3,ENWL!AL106,NPgN!AL106,NPgY!AL106,WMID!AL106,EMID!AL106,SWALES!AL106,SWEST!AL106,LPN!AL106,SPN!AL106,EPN!AL106,SPD!AL106,SPMW!AL106,SSEH!AL106,SSES!AL106)</f>
        <v>RPEs Apply</v>
      </c>
      <c r="AM106" s="528">
        <f>CHOOSE($B$3,ENWL!AM106,NPgN!AM106,NPgY!AM106,WMID!AM106,EMID!AM106,SWALES!AM106,SWEST!AM106,LPN!AM106,SPN!AM106,EPN!AM106,SPD!AM106,SPMW!AM106,SSEH!AM106,SSES!AM106)</f>
        <v>1</v>
      </c>
      <c r="AN106" s="321"/>
      <c r="AO106" s="410">
        <f>CHOOSE($B$3,ENWL!AO106,NPgN!AO106,NPgY!AO106,WMID!AO106,EMID!AO106,SWALES!AO106,SWEST!AO106,LPN!AO106,SPN!AO106,EPN!AO106,SPD!AO106,SPMW!AO106,SSEH!AO106,SSES!AO106)</f>
        <v>0</v>
      </c>
      <c r="AP106" s="410">
        <f>CHOOSE($B$3,ENWL!AP106,NPgN!AP106,NPgY!AP106,WMID!AP106,EMID!AP106,SWALES!AP106,SWEST!AP106,LPN!AP106,SPN!AP106,EPN!AP106,SPD!AP106,SPMW!AP106,SSEH!AP106,SSES!AP106)</f>
        <v>0</v>
      </c>
      <c r="AQ106" s="456">
        <f>CHOOSE($B$3,ENWL!AQ106,NPgN!AQ106,NPgY!AQ106,WMID!AQ106,EMID!AQ106,SWALES!AQ106,SWEST!AQ106,LPN!AQ106,SPN!AQ106,EPN!AQ106,SPD!AQ106,SPMW!AQ106,SSEH!AQ106,SSES!AQ106)</f>
        <v>1</v>
      </c>
      <c r="AR106" s="410">
        <f>CHOOSE($B$3,ENWL!AR106,NPgN!AR106,NPgY!AR106,WMID!AR106,EMID!AR106,SWALES!AR106,SWEST!AR106,LPN!AR106,SPN!AR106,EPN!AR106,SPD!AR106,SPMW!AR106,SSEH!AR106,SSES!AR106)</f>
        <v>0</v>
      </c>
      <c r="AS106" s="410">
        <f>CHOOSE($B$3,ENWL!AS106,NPgN!AS106,NPgY!AS106,WMID!AS106,EMID!AS106,SWALES!AS106,SWEST!AS106,LPN!AS106,SPN!AS106,EPN!AS106,SPD!AS106,SPMW!AS106,SSEH!AS106,SSES!AS106)</f>
        <v>0</v>
      </c>
      <c r="AT106" s="410">
        <f>CHOOSE($B$3,ENWL!AT106,NPgN!AT106,NPgY!AT106,WMID!AT106,EMID!AT106,SWALES!AT106,SWEST!AT106,LPN!AT106,SPN!AT106,EPN!AT106,SPD!AT106,SPMW!AT106,SSEH!AT106,SSES!AT106)</f>
        <v>0</v>
      </c>
      <c r="AU106" s="410">
        <f>CHOOSE($B$3,ENWL!AU106,NPgN!AU106,NPgY!AU106,WMID!AU106,EMID!AU106,SWALES!AU106,SWEST!AU106,LPN!AU106,SPN!AU106,EPN!AU106,SPD!AU106,SPMW!AU106,SSEH!AU106,SSES!AU106)</f>
        <v>0</v>
      </c>
      <c r="AV106" s="263"/>
      <c r="AW106" s="184"/>
    </row>
    <row r="107" spans="1:49" ht="15">
      <c r="A107" s="82"/>
      <c r="B107" s="82"/>
      <c r="C107" s="82"/>
      <c r="D107" s="82"/>
      <c r="E107" s="182" t="str">
        <f t="shared" si="0"/>
        <v>New Control Room (SSES and SSEH only)</v>
      </c>
      <c r="F107" s="82"/>
      <c r="G107" s="82" t="s">
        <v>126</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CHOOSE($B$3,ENWL!AJ107,NPgN!AJ107,NPgY!AJ107,WMID!AJ107,EMID!AJ107,SWALES!AJ107,SWEST!AJ107,LPN!AJ107,SPN!AJ107,EPN!AJ107,SPD!AJ107,SPMW!AJ107,SSEH!AJ107,SSES!AJ107)</f>
        <v>PCD</v>
      </c>
      <c r="AK107" s="321"/>
      <c r="AL107" s="417" t="str">
        <f>CHOOSE($B$3,ENWL!AL107,NPgN!AL107,NPgY!AL107,WMID!AL107,EMID!AL107,SWALES!AL107,SWEST!AL107,LPN!AL107,SPN!AL107,EPN!AL107,SPD!AL107,SPMW!AL107,SSEH!AL107,SSES!AL107)</f>
        <v>RPEs Apply</v>
      </c>
      <c r="AM107" s="528">
        <f>CHOOSE($B$3,ENWL!AM107,NPgN!AM107,NPgY!AM107,WMID!AM107,EMID!AM107,SWALES!AM107,SWEST!AM107,LPN!AM107,SPN!AM107,EPN!AM107,SPD!AM107,SPMW!AM107,SSEH!AM107,SSES!AM107)</f>
        <v>1</v>
      </c>
      <c r="AN107" s="321"/>
      <c r="AO107" s="410">
        <f>CHOOSE($B$3,ENWL!AO107,NPgN!AO107,NPgY!AO107,WMID!AO107,EMID!AO107,SWALES!AO107,SWEST!AO107,LPN!AO107,SPN!AO107,EPN!AO107,SPD!AO107,SPMW!AO107,SSEH!AO107,SSES!AO107)</f>
        <v>0</v>
      </c>
      <c r="AP107" s="410">
        <f>CHOOSE($B$3,ENWL!AP107,NPgN!AP107,NPgY!AP107,WMID!AP107,EMID!AP107,SWALES!AP107,SWEST!AP107,LPN!AP107,SPN!AP107,EPN!AP107,SPD!AP107,SPMW!AP107,SSEH!AP107,SSES!AP107)</f>
        <v>1</v>
      </c>
      <c r="AQ107" s="456">
        <f>CHOOSE($B$3,ENWL!AQ107,NPgN!AQ107,NPgY!AQ107,WMID!AQ107,EMID!AQ107,SWALES!AQ107,SWEST!AQ107,LPN!AQ107,SPN!AQ107,EPN!AQ107,SPD!AQ107,SPMW!AQ107,SSEH!AQ107,SSES!AQ107)</f>
        <v>0</v>
      </c>
      <c r="AR107" s="410">
        <f>CHOOSE($B$3,ENWL!AR107,NPgN!AR107,NPgY!AR107,WMID!AR107,EMID!AR107,SWALES!AR107,SWEST!AR107,LPN!AR107,SPN!AR107,EPN!AR107,SPD!AR107,SPMW!AR107,SSEH!AR107,SSES!AR107)</f>
        <v>0</v>
      </c>
      <c r="AS107" s="410">
        <f>CHOOSE($B$3,ENWL!AS107,NPgN!AS107,NPgY!AS107,WMID!AS107,EMID!AS107,SWALES!AS107,SWEST!AS107,LPN!AS107,SPN!AS107,EPN!AS107,SPD!AS107,SPMW!AS107,SSEH!AS107,SSES!AS107)</f>
        <v>0</v>
      </c>
      <c r="AT107" s="410">
        <f>CHOOSE($B$3,ENWL!AT107,NPgN!AT107,NPgY!AT107,WMID!AT107,EMID!AT107,SWALES!AT107,SWEST!AT107,LPN!AT107,SPN!AT107,EPN!AT107,SPD!AT107,SPMW!AT107,SSEH!AT107,SSES!AT107)</f>
        <v>0</v>
      </c>
      <c r="AU107" s="410">
        <f>CHOOSE($B$3,ENWL!AU107,NPgN!AU107,NPgY!AU107,WMID!AU107,EMID!AU107,SWALES!AU107,SWEST!AU107,LPN!AU107,SPN!AU107,EPN!AU107,SPD!AU107,SPMW!AU107,SSEH!AU107,SSES!AU107)</f>
        <v>0</v>
      </c>
      <c r="AV107" s="263"/>
      <c r="AW107" s="184"/>
    </row>
    <row r="108" spans="1:49" ht="15">
      <c r="A108" s="82"/>
      <c r="B108" s="82"/>
      <c r="C108" s="82"/>
      <c r="D108" s="82"/>
      <c r="E108" s="182" t="str">
        <f t="shared" si="0"/>
        <v>Storm Arwen Re-opener</v>
      </c>
      <c r="F108" s="82"/>
      <c r="G108" s="82" t="s">
        <v>126</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CHOOSE($B$3,ENWL!AJ108,NPgN!AJ108,NPgY!AJ108,WMID!AJ108,EMID!AJ108,SWALES!AJ108,SWEST!AJ108,LPN!AJ108,SPN!AJ108,EPN!AJ108,SPD!AJ108,SPMW!AJ108,SSEH!AJ108,SSES!AJ108)</f>
        <v>Re-opener</v>
      </c>
      <c r="AK108" s="321"/>
      <c r="AL108" s="417" t="str">
        <f>CHOOSE($B$3,ENWL!AL108,NPgN!AL108,NPgY!AL108,WMID!AL108,EMID!AL108,SWALES!AL108,SWEST!AL108,LPN!AL108,SPN!AL108,EPN!AL108,SPD!AL108,SPMW!AL108,SSEH!AL108,SSES!AL108)</f>
        <v>RPEs Don't Apply</v>
      </c>
      <c r="AM108" s="528">
        <f>CHOOSE($B$3,ENWL!AM108,NPgN!AM108,NPgY!AM108,WMID!AM108,EMID!AM108,SWALES!AM108,SWEST!AM108,LPN!AM108,SPN!AM108,EPN!AM108,SPD!AM108,SPMW!AM108,SSEH!AM108,SSES!AM108)</f>
        <v>2</v>
      </c>
      <c r="AN108" s="321"/>
      <c r="AO108" s="410">
        <f>CHOOSE($B$3,ENWL!AO108,NPgN!AO108,NPgY!AO108,WMID!AO108,EMID!AO108,SWALES!AO108,SWEST!AO108,LPN!AO108,SPN!AO108,EPN!AO108,SPD!AO108,SPMW!AO108,SSEH!AO108,SSES!AO108)</f>
        <v>0</v>
      </c>
      <c r="AP108" s="410">
        <f>CHOOSE($B$3,ENWL!AP108,NPgN!AP108,NPgY!AP108,WMID!AP108,EMID!AP108,SWALES!AP108,SWEST!AP108,LPN!AP108,SPN!AP108,EPN!AP108,SPD!AP108,SPMW!AP108,SSEH!AP108,SSES!AP108)</f>
        <v>0</v>
      </c>
      <c r="AQ108" s="456">
        <f>CHOOSE($B$3,ENWL!AQ108,NPgN!AQ108,NPgY!AQ108,WMID!AQ108,EMID!AQ108,SWALES!AQ108,SWEST!AQ108,LPN!AQ108,SPN!AQ108,EPN!AQ108,SPD!AQ108,SPMW!AQ108,SSEH!AQ108,SSES!AQ108)</f>
        <v>0</v>
      </c>
      <c r="AR108" s="410">
        <f>CHOOSE($B$3,ENWL!AR108,NPgN!AR108,NPgY!AR108,WMID!AR108,EMID!AR108,SWALES!AR108,SWEST!AR108,LPN!AR108,SPN!AR108,EPN!AR108,SPD!AR108,SPMW!AR108,SSEH!AR108,SSES!AR108)</f>
        <v>1</v>
      </c>
      <c r="AS108" s="410">
        <f>CHOOSE($B$3,ENWL!AS108,NPgN!AS108,NPgY!AS108,WMID!AS108,EMID!AS108,SWALES!AS108,SWEST!AS108,LPN!AS108,SPN!AS108,EPN!AS108,SPD!AS108,SPMW!AS108,SSEH!AS108,SSES!AS108)</f>
        <v>0</v>
      </c>
      <c r="AT108" s="410">
        <f>CHOOSE($B$3,ENWL!AT108,NPgN!AT108,NPgY!AT108,WMID!AT108,EMID!AT108,SWALES!AT108,SWEST!AT108,LPN!AT108,SPN!AT108,EPN!AT108,SPD!AT108,SPMW!AT108,SSEH!AT108,SSES!AT108)</f>
        <v>0</v>
      </c>
      <c r="AU108" s="410">
        <f>CHOOSE($B$3,ENWL!AU108,NPgN!AU108,NPgY!AU108,WMID!AU108,EMID!AU108,SWALES!AU108,SWEST!AU108,LPN!AU108,SPN!AU108,EPN!AU108,SPD!AU108,SPMW!AU108,SSEH!AU108,SSES!AU108)</f>
        <v>0</v>
      </c>
      <c r="AV108" s="263"/>
      <c r="AW108" s="184"/>
    </row>
    <row r="109" spans="1:49" ht="15">
      <c r="A109" s="82"/>
      <c r="B109" s="82"/>
      <c r="C109" s="82"/>
      <c r="D109" s="82"/>
      <c r="E109" s="182" t="str">
        <f t="shared" si="0"/>
        <v>High Value Projects Re-opener</v>
      </c>
      <c r="F109" s="82"/>
      <c r="G109" s="82" t="s">
        <v>126</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CHOOSE($B$3,ENWL!AJ109,NPgN!AJ109,NPgY!AJ109,WMID!AJ109,EMID!AJ109,SWALES!AJ109,SWEST!AJ109,LPN!AJ109,SPN!AJ109,EPN!AJ109,SPD!AJ109,SPMW!AJ109,SSEH!AJ109,SSES!AJ109)</f>
        <v>Re-opener</v>
      </c>
      <c r="AK109" s="321"/>
      <c r="AL109" s="417" t="str">
        <f>CHOOSE($B$3,ENWL!AL109,NPgN!AL109,NPgY!AL109,WMID!AL109,EMID!AL109,SWALES!AL109,SWEST!AL109,LPN!AL109,SPN!AL109,EPN!AL109,SPD!AL109,SPMW!AL109,SSEH!AL109,SSES!AL109)</f>
        <v>RPEs Don't Apply</v>
      </c>
      <c r="AM109" s="528">
        <f>CHOOSE($B$3,ENWL!AM109,NPgN!AM109,NPgY!AM109,WMID!AM109,EMID!AM109,SWALES!AM109,SWEST!AM109,LPN!AM109,SPN!AM109,EPN!AM109,SPD!AM109,SPMW!AM109,SSEH!AM109,SSES!AM109)</f>
        <v>2</v>
      </c>
      <c r="AN109" s="321"/>
      <c r="AO109" s="410">
        <f>CHOOSE($B$3,ENWL!AO109,NPgN!AO109,NPgY!AO109,WMID!AO109,EMID!AO109,SWALES!AO109,SWEST!AO109,LPN!AO109,SPN!AO109,EPN!AO109,SPD!AO109,SPMW!AO109,SSEH!AO109,SSES!AO109)</f>
        <v>0</v>
      </c>
      <c r="AP109" s="410">
        <f>CHOOSE($B$3,ENWL!AP109,NPgN!AP109,NPgY!AP109,WMID!AP109,EMID!AP109,SWALES!AP109,SWEST!AP109,LPN!AP109,SPN!AP109,EPN!AP109,SPD!AP109,SPMW!AP109,SSEH!AP109,SSES!AP109)</f>
        <v>1</v>
      </c>
      <c r="AQ109" s="456">
        <f>CHOOSE($B$3,ENWL!AQ109,NPgN!AQ109,NPgY!AQ109,WMID!AQ109,EMID!AQ109,SWALES!AQ109,SWEST!AQ109,LPN!AQ109,SPN!AQ109,EPN!AQ109,SPD!AQ109,SPMW!AQ109,SSEH!AQ109,SSES!AQ109)</f>
        <v>0</v>
      </c>
      <c r="AR109" s="410">
        <f>CHOOSE($B$3,ENWL!AR109,NPgN!AR109,NPgY!AR109,WMID!AR109,EMID!AR109,SWALES!AR109,SWEST!AR109,LPN!AR109,SPN!AR109,EPN!AR109,SPD!AR109,SPMW!AR109,SSEH!AR109,SSES!AR109)</f>
        <v>0</v>
      </c>
      <c r="AS109" s="410">
        <f>CHOOSE($B$3,ENWL!AS109,NPgN!AS109,NPgY!AS109,WMID!AS109,EMID!AS109,SWALES!AS109,SWEST!AS109,LPN!AS109,SPN!AS109,EPN!AS109,SPD!AS109,SPMW!AS109,SSEH!AS109,SSES!AS109)</f>
        <v>0</v>
      </c>
      <c r="AT109" s="410">
        <f>CHOOSE($B$3,ENWL!AT109,NPgN!AT109,NPgY!AT109,WMID!AT109,EMID!AT109,SWALES!AT109,SWEST!AT109,LPN!AT109,SPN!AT109,EPN!AT109,SPD!AT109,SPMW!AT109,SSEH!AT109,SSES!AT109)</f>
        <v>0</v>
      </c>
      <c r="AU109" s="410">
        <f>CHOOSE($B$3,ENWL!AU109,NPgN!AU109,NPgY!AU109,WMID!AU109,EMID!AU109,SWALES!AU109,SWEST!AU109,LPN!AU109,SPN!AU109,EPN!AU109,SPD!AU109,SPMW!AU109,SSEH!AU109,SSES!AU109)</f>
        <v>0</v>
      </c>
      <c r="AV109" s="263"/>
      <c r="AW109" s="184"/>
    </row>
    <row r="110" spans="1:49" ht="15">
      <c r="A110" s="82"/>
      <c r="B110" s="82"/>
      <c r="C110" s="82"/>
      <c r="D110" s="82"/>
      <c r="E110" s="182" t="str">
        <f t="shared" si="0"/>
        <v>Strategic Investment</v>
      </c>
      <c r="F110" s="82"/>
      <c r="G110" s="82" t="s">
        <v>126</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CHOOSE($B$3,ENWL!AJ110,NPgN!AJ110,NPgY!AJ110,WMID!AJ110,EMID!AJ110,SWALES!AJ110,SWEST!AJ110,LPN!AJ110,SPN!AJ110,EPN!AJ110,SPD!AJ110,SPMW!AJ110,SSEH!AJ110,SSES!AJ110)</f>
        <v>Other</v>
      </c>
      <c r="AK110" s="321"/>
      <c r="AL110" s="417" t="str">
        <f>CHOOSE($B$3,ENWL!AL110,NPgN!AL110,NPgY!AL110,WMID!AL110,EMID!AL110,SWALES!AL110,SWEST!AL110,LPN!AL110,SPN!AL110,EPN!AL110,SPD!AL110,SPMW!AL110,SSEH!AL110,SSES!AL110)</f>
        <v>RPEs Don't Apply</v>
      </c>
      <c r="AM110" s="528">
        <f>CHOOSE($B$3,ENWL!AM110,NPgN!AM110,NPgY!AM110,WMID!AM110,EMID!AM110,SWALES!AM110,SWEST!AM110,LPN!AM110,SPN!AM110,EPN!AM110,SPD!AM110,SPMW!AM110,SSEH!AM110,SSES!AM110)</f>
        <v>2</v>
      </c>
      <c r="AN110" s="321"/>
      <c r="AO110" s="410">
        <f>CHOOSE($B$3,ENWL!AO110,NPgN!AO110,NPgY!AO110,WMID!AO110,EMID!AO110,SWALES!AO110,SWEST!AO110,LPN!AO110,SPN!AO110,EPN!AO110,SPD!AO110,SPMW!AO110,SSEH!AO110,SSES!AO110)</f>
        <v>1</v>
      </c>
      <c r="AP110" s="410">
        <f>CHOOSE($B$3,ENWL!AP110,NPgN!AP110,NPgY!AP110,WMID!AP110,EMID!AP110,SWALES!AP110,SWEST!AP110,LPN!AP110,SPN!AP110,EPN!AP110,SPD!AP110,SPMW!AP110,SSEH!AP110,SSES!AP110)</f>
        <v>0</v>
      </c>
      <c r="AQ110" s="456">
        <f>CHOOSE($B$3,ENWL!AQ110,NPgN!AQ110,NPgY!AQ110,WMID!AQ110,EMID!AQ110,SWALES!AQ110,SWEST!AQ110,LPN!AQ110,SPN!AQ110,EPN!AQ110,SPD!AQ110,SPMW!AQ110,SSEH!AQ110,SSES!AQ110)</f>
        <v>0</v>
      </c>
      <c r="AR110" s="410">
        <f>CHOOSE($B$3,ENWL!AR110,NPgN!AR110,NPgY!AR110,WMID!AR110,EMID!AR110,SWALES!AR110,SWEST!AR110,LPN!AR110,SPN!AR110,EPN!AR110,SPD!AR110,SPMW!AR110,SSEH!AR110,SSES!AR110)</f>
        <v>0</v>
      </c>
      <c r="AS110" s="410">
        <f>CHOOSE($B$3,ENWL!AS110,NPgN!AS110,NPgY!AS110,WMID!AS110,EMID!AS110,SWALES!AS110,SWEST!AS110,LPN!AS110,SPN!AS110,EPN!AS110,SPD!AS110,SPMW!AS110,SSEH!AS110,SSES!AS110)</f>
        <v>0</v>
      </c>
      <c r="AT110" s="410">
        <f>CHOOSE($B$3,ENWL!AT110,NPgN!AT110,NPgY!AT110,WMID!AT110,EMID!AT110,SWALES!AT110,SWEST!AT110,LPN!AT110,SPN!AT110,EPN!AT110,SPD!AT110,SPMW!AT110,SSEH!AT110,SSES!AT110)</f>
        <v>0</v>
      </c>
      <c r="AU110" s="410">
        <f>CHOOSE($B$3,ENWL!AU110,NPgN!AU110,NPgY!AU110,WMID!AU110,EMID!AU110,SWALES!AU110,SWEST!AU110,LPN!AU110,SPN!AU110,EPN!AU110,SPD!AU110,SPMW!AU110,SSEH!AU110,SSES!AU110)</f>
        <v>0</v>
      </c>
      <c r="AV110" s="263"/>
      <c r="AW110" s="184"/>
    </row>
    <row r="111" spans="1:49" ht="15">
      <c r="A111" s="82"/>
      <c r="B111" s="82"/>
      <c r="C111" s="82"/>
      <c r="D111" s="82"/>
      <c r="E111" s="182" t="str">
        <f t="shared" si="0"/>
        <v>Carry-over Green Recovery Scheme</v>
      </c>
      <c r="F111" s="82"/>
      <c r="G111" s="82" t="s">
        <v>126</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CHOOSE($B$3,ENWL!AJ111,NPgN!AJ111,NPgY!AJ111,WMID!AJ111,EMID!AJ111,SWALES!AJ111,SWEST!AJ111,LPN!AJ111,SPN!AJ111,EPN!AJ111,SPD!AJ111,SPMW!AJ111,SSEH!AJ111,SSES!AJ111)</f>
        <v>Other</v>
      </c>
      <c r="AK111" s="321"/>
      <c r="AL111" s="417" t="str">
        <f>CHOOSE($B$3,ENWL!AL111,NPgN!AL111,NPgY!AL111,WMID!AL111,EMID!AL111,SWALES!AL111,SWEST!AL111,LPN!AL111,SPN!AL111,EPN!AL111,SPD!AL111,SPMW!AL111,SSEH!AL111,SSES!AL111)</f>
        <v>RPEs Don't Apply</v>
      </c>
      <c r="AM111" s="528">
        <f>CHOOSE($B$3,ENWL!AM111,NPgN!AM111,NPgY!AM111,WMID!AM111,EMID!AM111,SWALES!AM111,SWEST!AM111,LPN!AM111,SPN!AM111,EPN!AM111,SPD!AM111,SPMW!AM111,SSEH!AM111,SSES!AM111)</f>
        <v>2</v>
      </c>
      <c r="AN111" s="321"/>
      <c r="AO111" s="410">
        <f>CHOOSE($B$3,ENWL!AO111,NPgN!AO111,NPgY!AO111,WMID!AO111,EMID!AO111,SWALES!AO111,SWEST!AO111,LPN!AO111,SPN!AO111,EPN!AO111,SPD!AO111,SPMW!AO111,SSEH!AO111,SSES!AO111)</f>
        <v>1</v>
      </c>
      <c r="AP111" s="410">
        <f>CHOOSE($B$3,ENWL!AP111,NPgN!AP111,NPgY!AP111,WMID!AP111,EMID!AP111,SWALES!AP111,SWEST!AP111,LPN!AP111,SPN!AP111,EPN!AP111,SPD!AP111,SPMW!AP111,SSEH!AP111,SSES!AP111)</f>
        <v>0</v>
      </c>
      <c r="AQ111" s="456">
        <f>CHOOSE($B$3,ENWL!AQ111,NPgN!AQ111,NPgY!AQ111,WMID!AQ111,EMID!AQ111,SWALES!AQ111,SWEST!AQ111,LPN!AQ111,SPN!AQ111,EPN!AQ111,SPD!AQ111,SPMW!AQ111,SSEH!AQ111,SSES!AQ111)</f>
        <v>0</v>
      </c>
      <c r="AR111" s="410">
        <f>CHOOSE($B$3,ENWL!AR111,NPgN!AR111,NPgY!AR111,WMID!AR111,EMID!AR111,SWALES!AR111,SWEST!AR111,LPN!AR111,SPN!AR111,EPN!AR111,SPD!AR111,SPMW!AR111,SSEH!AR111,SSES!AR111)</f>
        <v>0</v>
      </c>
      <c r="AS111" s="410">
        <f>CHOOSE($B$3,ENWL!AS111,NPgN!AS111,NPgY!AS111,WMID!AS111,EMID!AS111,SWALES!AS111,SWEST!AS111,LPN!AS111,SPN!AS111,EPN!AS111,SPD!AS111,SPMW!AS111,SSEH!AS111,SSES!AS111)</f>
        <v>0</v>
      </c>
      <c r="AT111" s="410">
        <f>CHOOSE($B$3,ENWL!AT111,NPgN!AT111,NPgY!AT111,WMID!AT111,EMID!AT111,SWALES!AT111,SWEST!AT111,LPN!AT111,SPN!AT111,EPN!AT111,SPD!AT111,SPMW!AT111,SSEH!AT111,SSES!AT111)</f>
        <v>0</v>
      </c>
      <c r="AU111" s="410">
        <f>CHOOSE($B$3,ENWL!AU111,NPgN!AU111,NPgY!AU111,WMID!AU111,EMID!AU111,SWALES!AU111,SWEST!AU111,LPN!AU111,SPN!AU111,EPN!AU111,SPD!AU111,SPMW!AU111,SSEH!AU111,SSES!AU111)</f>
        <v>0</v>
      </c>
      <c r="AV111" s="263"/>
      <c r="AW111" s="184"/>
    </row>
    <row r="112" spans="1:49" ht="15">
      <c r="A112" s="82"/>
      <c r="B112" s="82"/>
      <c r="C112" s="82"/>
      <c r="D112" s="82"/>
      <c r="E112" s="182" t="str">
        <f t="shared" si="0"/>
        <v>1-in-20 Severe Weather Event</v>
      </c>
      <c r="F112" s="82"/>
      <c r="G112" s="82" t="s">
        <v>126</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CHOOSE($B$3,ENWL!AJ112,NPgN!AJ112,NPgY!AJ112,WMID!AJ112,EMID!AJ112,SWALES!AJ112,SWEST!AJ112,LPN!AJ112,SPN!AJ112,EPN!AJ112,SPD!AJ112,SPMW!AJ112,SSEH!AJ112,SSES!AJ112)</f>
        <v>Other</v>
      </c>
      <c r="AK112" s="321"/>
      <c r="AL112" s="417" t="str">
        <f>CHOOSE($B$3,ENWL!AL112,NPgN!AL112,NPgY!AL112,WMID!AL112,EMID!AL112,SWALES!AL112,SWEST!AL112,LPN!AL112,SPN!AL112,EPN!AL112,SPD!AL112,SPMW!AL112,SSEH!AL112,SSES!AL112)</f>
        <v>RPEs Don't Apply</v>
      </c>
      <c r="AM112" s="528">
        <f>CHOOSE($B$3,ENWL!AM112,NPgN!AM112,NPgY!AM112,WMID!AM112,EMID!AM112,SWALES!AM112,SWEST!AM112,LPN!AM112,SPN!AM112,EPN!AM112,SPD!AM112,SPMW!AM112,SSEH!AM112,SSES!AM112)</f>
        <v>2</v>
      </c>
      <c r="AN112" s="321"/>
      <c r="AO112" s="410">
        <f>CHOOSE($B$3,ENWL!AO112,NPgN!AO112,NPgY!AO112,WMID!AO112,EMID!AO112,SWALES!AO112,SWEST!AO112,LPN!AO112,SPN!AO112,EPN!AO112,SPD!AO112,SPMW!AO112,SSEH!AO112,SSES!AO112)</f>
        <v>0</v>
      </c>
      <c r="AP112" s="410">
        <f>CHOOSE($B$3,ENWL!AP112,NPgN!AP112,NPgY!AP112,WMID!AP112,EMID!AP112,SWALES!AP112,SWEST!AP112,LPN!AP112,SPN!AP112,EPN!AP112,SPD!AP112,SPMW!AP112,SSEH!AP112,SSES!AP112)</f>
        <v>0</v>
      </c>
      <c r="AQ112" s="456">
        <f>CHOOSE($B$3,ENWL!AQ112,NPgN!AQ112,NPgY!AQ112,WMID!AQ112,EMID!AQ112,SWALES!AQ112,SWEST!AQ112,LPN!AQ112,SPN!AQ112,EPN!AQ112,SPD!AQ112,SPMW!AQ112,SSEH!AQ112,SSES!AQ112)</f>
        <v>0</v>
      </c>
      <c r="AR112" s="410">
        <f>CHOOSE($B$3,ENWL!AR112,NPgN!AR112,NPgY!AR112,WMID!AR112,EMID!AR112,SWALES!AR112,SWEST!AR112,LPN!AR112,SPN!AR112,EPN!AR112,SPD!AR112,SPMW!AR112,SSEH!AR112,SSES!AR112)</f>
        <v>1</v>
      </c>
      <c r="AS112" s="410">
        <f>CHOOSE($B$3,ENWL!AS112,NPgN!AS112,NPgY!AS112,WMID!AS112,EMID!AS112,SWALES!AS112,SWEST!AS112,LPN!AS112,SPN!AS112,EPN!AS112,SPD!AS112,SPMW!AS112,SSEH!AS112,SSES!AS112)</f>
        <v>0</v>
      </c>
      <c r="AT112" s="410">
        <f>CHOOSE($B$3,ENWL!AT112,NPgN!AT112,NPgY!AT112,WMID!AT112,EMID!AT112,SWALES!AT112,SWEST!AT112,LPN!AT112,SPN!AT112,EPN!AT112,SPD!AT112,SPMW!AT112,SSEH!AT112,SSES!AT112)</f>
        <v>0</v>
      </c>
      <c r="AU112" s="410">
        <f>CHOOSE($B$3,ENWL!AU112,NPgN!AU112,NPgY!AU112,WMID!AU112,EMID!AU112,SWALES!AU112,SWEST!AU112,LPN!AU112,SPN!AU112,EPN!AU112,SPD!AU112,SPMW!AU112,SSEH!AU112,SSES!AU112)</f>
        <v>0</v>
      </c>
      <c r="AV112" s="263"/>
      <c r="AW112" s="184"/>
    </row>
    <row r="113" spans="1:49" ht="15">
      <c r="A113" s="82"/>
      <c r="B113" s="82"/>
      <c r="C113" s="82"/>
      <c r="D113" s="82"/>
      <c r="E113" s="182" t="str">
        <f t="shared" si="0"/>
        <v>Net to Gross Load Related Expenditure</v>
      </c>
      <c r="F113" s="82"/>
      <c r="G113" s="82" t="s">
        <v>126</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CHOOSE($B$3,ENWL!AJ113,NPgN!AJ113,NPgY!AJ113,WMID!AJ113,EMID!AJ113,SWALES!AJ113,SWEST!AJ113,LPN!AJ113,SPN!AJ113,EPN!AJ113,SPD!AJ113,SPMW!AJ113,SSEH!AJ113,SSES!AJ113)</f>
        <v>Other</v>
      </c>
      <c r="AK113" s="321"/>
      <c r="AL113" s="417" t="str">
        <f>CHOOSE($B$3,ENWL!AL113,NPgN!AL113,NPgY!AL113,WMID!AL113,EMID!AL113,SWALES!AL113,SWEST!AL113,LPN!AL113,SPN!AL113,EPN!AL113,SPD!AL113,SPMW!AL113,SSEH!AL113,SSES!AL113)</f>
        <v>RPEs Don't Apply</v>
      </c>
      <c r="AM113" s="528">
        <f>CHOOSE($B$3,ENWL!AM113,NPgN!AM113,NPgY!AM113,WMID!AM113,EMID!AM113,SWALES!AM113,SWEST!AM113,LPN!AM113,SPN!AM113,EPN!AM113,SPD!AM113,SPMW!AM113,SSEH!AM113,SSES!AM113)</f>
        <v>2</v>
      </c>
      <c r="AN113" s="321"/>
      <c r="AO113" s="410">
        <f>CHOOSE($B$3,ENWL!AO113,NPgN!AO113,NPgY!AO113,WMID!AO113,EMID!AO113,SWALES!AO113,SWEST!AO113,LPN!AO113,SPN!AO113,EPN!AO113,SPD!AO113,SPMW!AO113,SSEH!AO113,SSES!AO113)</f>
        <v>1</v>
      </c>
      <c r="AP113" s="410">
        <f>CHOOSE($B$3,ENWL!AP113,NPgN!AP113,NPgY!AP113,WMID!AP113,EMID!AP113,SWALES!AP113,SWEST!AP113,LPN!AP113,SPN!AP113,EPN!AP113,SPD!AP113,SPMW!AP113,SSEH!AP113,SSES!AP113)</f>
        <v>0</v>
      </c>
      <c r="AQ113" s="456">
        <f>CHOOSE($B$3,ENWL!AQ113,NPgN!AQ113,NPgY!AQ113,WMID!AQ113,EMID!AQ113,SWALES!AQ113,SWEST!AQ113,LPN!AQ113,SPN!AQ113,EPN!AQ113,SPD!AQ113,SPMW!AQ113,SSEH!AQ113,SSES!AQ113)</f>
        <v>0</v>
      </c>
      <c r="AR113" s="410">
        <f>CHOOSE($B$3,ENWL!AR113,NPgN!AR113,NPgY!AR113,WMID!AR113,EMID!AR113,SWALES!AR113,SWEST!AR113,LPN!AR113,SPN!AR113,EPN!AR113,SPD!AR113,SPMW!AR113,SSEH!AR113,SSES!AR113)</f>
        <v>0</v>
      </c>
      <c r="AS113" s="410">
        <f>CHOOSE($B$3,ENWL!AS113,NPgN!AS113,NPgY!AS113,WMID!AS113,EMID!AS113,SWALES!AS113,SWEST!AS113,LPN!AS113,SPN!AS113,EPN!AS113,SPD!AS113,SPMW!AS113,SSEH!AS113,SSES!AS113)</f>
        <v>0</v>
      </c>
      <c r="AT113" s="410">
        <f>CHOOSE($B$3,ENWL!AT113,NPgN!AT113,NPgY!AT113,WMID!AT113,EMID!AT113,SWALES!AT113,SWEST!AT113,LPN!AT113,SPN!AT113,EPN!AT113,SPD!AT113,SPMW!AT113,SSEH!AT113,SSES!AT113)</f>
        <v>0</v>
      </c>
      <c r="AU113" s="410">
        <f>CHOOSE($B$3,ENWL!AU113,NPgN!AU113,NPgY!AU113,WMID!AU113,EMID!AU113,SWALES!AU113,SWEST!AU113,LPN!AU113,SPN!AU113,EPN!AU113,SPD!AU113,SPMW!AU113,SSEH!AU113,SSES!AU113)</f>
        <v>0</v>
      </c>
      <c r="AV113" s="263"/>
      <c r="AW113" s="184"/>
    </row>
    <row r="114" spans="1:49" ht="15">
      <c r="A114" s="82"/>
      <c r="B114" s="82"/>
      <c r="C114" s="82"/>
      <c r="D114" s="82"/>
      <c r="E114" s="182">
        <f t="shared" si="0"/>
        <v>0</v>
      </c>
      <c r="F114" s="82"/>
      <c r="G114" s="82" t="s">
        <v>126</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f>CHOOSE($B$3,ENWL!AJ114,NPgN!AJ114,NPgY!AJ114,WMID!AJ114,EMID!AJ114,SWALES!AJ114,SWEST!AJ114,LPN!AJ114,SPN!AJ114,EPN!AJ114,SPD!AJ114,SPMW!AJ114,SSEH!AJ114,SSES!AJ114)</f>
        <v>0</v>
      </c>
      <c r="AK114" s="321"/>
      <c r="AL114" s="528">
        <f>CHOOSE($B$3,ENWL!AL114,NPgN!AL114,NPgY!AL114,WMID!AL114,EMID!AL114,SWALES!AL114,SWEST!AL114,LPN!AL114,SPN!AL114,EPN!AL114,SPD!AL114,SPMW!AL114,SSEH!AL114,SSES!AL114)</f>
        <v>0</v>
      </c>
      <c r="AM114" s="528">
        <f>CHOOSE($B$3,ENWL!AM114,NPgN!AM114,NPgY!AM114,WMID!AM114,EMID!AM114,SWALES!AM114,SWEST!AM114,LPN!AM114,SPN!AM114,EPN!AM114,SPD!AM114,SPMW!AM114,SSEH!AM114,SSES!AM114)</f>
        <v>0</v>
      </c>
      <c r="AN114" s="321"/>
      <c r="AO114" s="410">
        <f>CHOOSE($B$3,ENWL!AO114,NPgN!AO114,NPgY!AO114,WMID!AO114,EMID!AO114,SWALES!AO114,SWEST!AO114,LPN!AO114,SPN!AO114,EPN!AO114,SPD!AO114,SPMW!AO114,SSEH!AO114,SSES!AO114)</f>
        <v>0</v>
      </c>
      <c r="AP114" s="410">
        <f>CHOOSE($B$3,ENWL!AP114,NPgN!AP114,NPgY!AP114,WMID!AP114,EMID!AP114,SWALES!AP114,SWEST!AP114,LPN!AP114,SPN!AP114,EPN!AP114,SPD!AP114,SPMW!AP114,SSEH!AP114,SSES!AP114)</f>
        <v>0</v>
      </c>
      <c r="AQ114" s="456">
        <f>CHOOSE($B$3,ENWL!AQ114,NPgN!AQ114,NPgY!AQ114,WMID!AQ114,EMID!AQ114,SWALES!AQ114,SWEST!AQ114,LPN!AQ114,SPN!AQ114,EPN!AQ114,SPD!AQ114,SPMW!AQ114,SSEH!AQ114,SSES!AQ114)</f>
        <v>0</v>
      </c>
      <c r="AR114" s="410">
        <f>CHOOSE($B$3,ENWL!AR114,NPgN!AR114,NPgY!AR114,WMID!AR114,EMID!AR114,SWALES!AR114,SWEST!AR114,LPN!AR114,SPN!AR114,EPN!AR114,SPD!AR114,SPMW!AR114,SSEH!AR114,SSES!AR114)</f>
        <v>0</v>
      </c>
      <c r="AS114" s="410">
        <f>CHOOSE($B$3,ENWL!AS114,NPgN!AS114,NPgY!AS114,WMID!AS114,EMID!AS114,SWALES!AS114,SWEST!AS114,LPN!AS114,SPN!AS114,EPN!AS114,SPD!AS114,SPMW!AS114,SSEH!AS114,SSES!AS114)</f>
        <v>0</v>
      </c>
      <c r="AT114" s="410">
        <f>CHOOSE($B$3,ENWL!AT114,NPgN!AT114,NPgY!AT114,WMID!AT114,EMID!AT114,SWALES!AT114,SWEST!AT114,LPN!AT114,SPN!AT114,EPN!AT114,SPD!AT114,SPMW!AT114,SSEH!AT114,SSES!AT114)</f>
        <v>0</v>
      </c>
      <c r="AU114" s="410">
        <f>CHOOSE($B$3,ENWL!AU114,NPgN!AU114,NPgY!AU114,WMID!AU114,EMID!AU114,SWALES!AU114,SWEST!AU114,LPN!AU114,SPN!AU114,EPN!AU114,SPD!AU114,SPMW!AU114,SSEH!AU114,SSES!AU114)</f>
        <v>0</v>
      </c>
      <c r="AV114" s="263"/>
      <c r="AW114" s="184"/>
    </row>
    <row r="115" spans="1:49" ht="15">
      <c r="A115" s="82"/>
      <c r="B115" s="82"/>
      <c r="C115" s="82"/>
      <c r="D115" s="82"/>
      <c r="E115" s="182">
        <f t="shared" si="0"/>
        <v>0</v>
      </c>
      <c r="F115" s="82"/>
      <c r="G115" s="82" t="s">
        <v>126</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f>CHOOSE($B$3,ENWL!AJ115,NPgN!AJ115,NPgY!AJ115,WMID!AJ115,EMID!AJ115,SWALES!AJ115,SWEST!AJ115,LPN!AJ115,SPN!AJ115,EPN!AJ115,SPD!AJ115,SPMW!AJ115,SSEH!AJ115,SSES!AJ115)</f>
        <v>0</v>
      </c>
      <c r="AK115" s="321"/>
      <c r="AL115" s="528">
        <f>CHOOSE($B$3,ENWL!AL115,NPgN!AL115,NPgY!AL115,WMID!AL115,EMID!AL115,SWALES!AL115,SWEST!AL115,LPN!AL115,SPN!AL115,EPN!AL115,SPD!AL115,SPMW!AL115,SSEH!AL115,SSES!AL115)</f>
        <v>0</v>
      </c>
      <c r="AM115" s="528">
        <f>CHOOSE($B$3,ENWL!AM115,NPgN!AM115,NPgY!AM115,WMID!AM115,EMID!AM115,SWALES!AM115,SWEST!AM115,LPN!AM115,SPN!AM115,EPN!AM115,SPD!AM115,SPMW!AM115,SSEH!AM115,SSES!AM115)</f>
        <v>0</v>
      </c>
      <c r="AN115" s="321"/>
      <c r="AO115" s="410">
        <f>CHOOSE($B$3,ENWL!AO115,NPgN!AO115,NPgY!AO115,WMID!AO115,EMID!AO115,SWALES!AO115,SWEST!AO115,LPN!AO115,SPN!AO115,EPN!AO115,SPD!AO115,SPMW!AO115,SSEH!AO115,SSES!AO115)</f>
        <v>0</v>
      </c>
      <c r="AP115" s="410">
        <f>CHOOSE($B$3,ENWL!AP115,NPgN!AP115,NPgY!AP115,WMID!AP115,EMID!AP115,SWALES!AP115,SWEST!AP115,LPN!AP115,SPN!AP115,EPN!AP115,SPD!AP115,SPMW!AP115,SSEH!AP115,SSES!AP115)</f>
        <v>0</v>
      </c>
      <c r="AQ115" s="456">
        <f>CHOOSE($B$3,ENWL!AQ115,NPgN!AQ115,NPgY!AQ115,WMID!AQ115,EMID!AQ115,SWALES!AQ115,SWEST!AQ115,LPN!AQ115,SPN!AQ115,EPN!AQ115,SPD!AQ115,SPMW!AQ115,SSEH!AQ115,SSES!AQ115)</f>
        <v>0</v>
      </c>
      <c r="AR115" s="410">
        <f>CHOOSE($B$3,ENWL!AR115,NPgN!AR115,NPgY!AR115,WMID!AR115,EMID!AR115,SWALES!AR115,SWEST!AR115,LPN!AR115,SPN!AR115,EPN!AR115,SPD!AR115,SPMW!AR115,SSEH!AR115,SSES!AR115)</f>
        <v>0</v>
      </c>
      <c r="AS115" s="410">
        <f>CHOOSE($B$3,ENWL!AS115,NPgN!AS115,NPgY!AS115,WMID!AS115,EMID!AS115,SWALES!AS115,SWEST!AS115,LPN!AS115,SPN!AS115,EPN!AS115,SPD!AS115,SPMW!AS115,SSEH!AS115,SSES!AS115)</f>
        <v>0</v>
      </c>
      <c r="AT115" s="410">
        <f>CHOOSE($B$3,ENWL!AT115,NPgN!AT115,NPgY!AT115,WMID!AT115,EMID!AT115,SWALES!AT115,SWEST!AT115,LPN!AT115,SPN!AT115,EPN!AT115,SPD!AT115,SPMW!AT115,SSEH!AT115,SSES!AT115)</f>
        <v>0</v>
      </c>
      <c r="AU115" s="410">
        <f>CHOOSE($B$3,ENWL!AU115,NPgN!AU115,NPgY!AU115,WMID!AU115,EMID!AU115,SWALES!AU115,SWEST!AU115,LPN!AU115,SPN!AU115,EPN!AU115,SPD!AU115,SPMW!AU115,SSEH!AU115,SSES!AU115)</f>
        <v>0</v>
      </c>
      <c r="AV115" s="263"/>
      <c r="AW115" s="184"/>
    </row>
    <row r="116" spans="1:49" ht="15">
      <c r="A116" s="82"/>
      <c r="B116" s="82"/>
      <c r="C116" s="82"/>
      <c r="D116" s="82"/>
      <c r="E116" s="182">
        <f t="shared" si="0"/>
        <v>0</v>
      </c>
      <c r="F116" s="82"/>
      <c r="G116" s="82" t="s">
        <v>126</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f>CHOOSE($B$3,ENWL!AJ116,NPgN!AJ116,NPgY!AJ116,WMID!AJ116,EMID!AJ116,SWALES!AJ116,SWEST!AJ116,LPN!AJ116,SPN!AJ116,EPN!AJ116,SPD!AJ116,SPMW!AJ116,SSEH!AJ116,SSES!AJ116)</f>
        <v>0</v>
      </c>
      <c r="AK116" s="321"/>
      <c r="AL116" s="528">
        <f>CHOOSE($B$3,ENWL!AL116,NPgN!AL116,NPgY!AL116,WMID!AL116,EMID!AL116,SWALES!AL116,SWEST!AL116,LPN!AL116,SPN!AL116,EPN!AL116,SPD!AL116,SPMW!AL116,SSEH!AL116,SSES!AL116)</f>
        <v>0</v>
      </c>
      <c r="AM116" s="528">
        <f>CHOOSE($B$3,ENWL!AM116,NPgN!AM116,NPgY!AM116,WMID!AM116,EMID!AM116,SWALES!AM116,SWEST!AM116,LPN!AM116,SPN!AM116,EPN!AM116,SPD!AM116,SPMW!AM116,SSEH!AM116,SSES!AM116)</f>
        <v>0</v>
      </c>
      <c r="AN116" s="321"/>
      <c r="AO116" s="410">
        <f>CHOOSE($B$3,ENWL!AO116,NPgN!AO116,NPgY!AO116,WMID!AO116,EMID!AO116,SWALES!AO116,SWEST!AO116,LPN!AO116,SPN!AO116,EPN!AO116,SPD!AO116,SPMW!AO116,SSEH!AO116,SSES!AO116)</f>
        <v>0</v>
      </c>
      <c r="AP116" s="410">
        <f>CHOOSE($B$3,ENWL!AP116,NPgN!AP116,NPgY!AP116,WMID!AP116,EMID!AP116,SWALES!AP116,SWEST!AP116,LPN!AP116,SPN!AP116,EPN!AP116,SPD!AP116,SPMW!AP116,SSEH!AP116,SSES!AP116)</f>
        <v>0</v>
      </c>
      <c r="AQ116" s="456">
        <f>CHOOSE($B$3,ENWL!AQ116,NPgN!AQ116,NPgY!AQ116,WMID!AQ116,EMID!AQ116,SWALES!AQ116,SWEST!AQ116,LPN!AQ116,SPN!AQ116,EPN!AQ116,SPD!AQ116,SPMW!AQ116,SSEH!AQ116,SSES!AQ116)</f>
        <v>0</v>
      </c>
      <c r="AR116" s="410">
        <f>CHOOSE($B$3,ENWL!AR116,NPgN!AR116,NPgY!AR116,WMID!AR116,EMID!AR116,SWALES!AR116,SWEST!AR116,LPN!AR116,SPN!AR116,EPN!AR116,SPD!AR116,SPMW!AR116,SSEH!AR116,SSES!AR116)</f>
        <v>0</v>
      </c>
      <c r="AS116" s="410">
        <f>CHOOSE($B$3,ENWL!AS116,NPgN!AS116,NPgY!AS116,WMID!AS116,EMID!AS116,SWALES!AS116,SWEST!AS116,LPN!AS116,SPN!AS116,EPN!AS116,SPD!AS116,SPMW!AS116,SSEH!AS116,SSES!AS116)</f>
        <v>0</v>
      </c>
      <c r="AT116" s="410">
        <f>CHOOSE($B$3,ENWL!AT116,NPgN!AT116,NPgY!AT116,WMID!AT116,EMID!AT116,SWALES!AT116,SWEST!AT116,LPN!AT116,SPN!AT116,EPN!AT116,SPD!AT116,SPMW!AT116,SSEH!AT116,SSES!AT116)</f>
        <v>0</v>
      </c>
      <c r="AU116" s="410">
        <f>CHOOSE($B$3,ENWL!AU116,NPgN!AU116,NPgY!AU116,WMID!AU116,EMID!AU116,SWALES!AU116,SWEST!AU116,LPN!AU116,SPN!AU116,EPN!AU116,SPD!AU116,SPMW!AU116,SSEH!AU116,SSES!AU116)</f>
        <v>0</v>
      </c>
      <c r="AV116" s="263"/>
      <c r="AW116" s="184"/>
    </row>
    <row r="117" spans="1:49" ht="15">
      <c r="A117" s="82"/>
      <c r="B117" s="82"/>
      <c r="C117" s="82"/>
      <c r="D117" s="82"/>
      <c r="E117" s="182">
        <f t="shared" si="0"/>
        <v>0</v>
      </c>
      <c r="F117" s="82"/>
      <c r="G117" s="82" t="s">
        <v>126</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f>CHOOSE($B$3,ENWL!AJ117,NPgN!AJ117,NPgY!AJ117,WMID!AJ117,EMID!AJ117,SWALES!AJ117,SWEST!AJ117,LPN!AJ117,SPN!AJ117,EPN!AJ117,SPD!AJ117,SPMW!AJ117,SSEH!AJ117,SSES!AJ117)</f>
        <v>0</v>
      </c>
      <c r="AK117" s="321"/>
      <c r="AL117" s="528">
        <f>CHOOSE($B$3,ENWL!AL117,NPgN!AL117,NPgY!AL117,WMID!AL117,EMID!AL117,SWALES!AL117,SWEST!AL117,LPN!AL117,SPN!AL117,EPN!AL117,SPD!AL117,SPMW!AL117,SSEH!AL117,SSES!AL117)</f>
        <v>0</v>
      </c>
      <c r="AM117" s="528">
        <f>CHOOSE($B$3,ENWL!AM117,NPgN!AM117,NPgY!AM117,WMID!AM117,EMID!AM117,SWALES!AM117,SWEST!AM117,LPN!AM117,SPN!AM117,EPN!AM117,SPD!AM117,SPMW!AM117,SSEH!AM117,SSES!AM117)</f>
        <v>0</v>
      </c>
      <c r="AN117" s="321"/>
      <c r="AO117" s="410">
        <f>CHOOSE($B$3,ENWL!AO117,NPgN!AO117,NPgY!AO117,WMID!AO117,EMID!AO117,SWALES!AO117,SWEST!AO117,LPN!AO117,SPN!AO117,EPN!AO117,SPD!AO117,SPMW!AO117,SSEH!AO117,SSES!AO117)</f>
        <v>0</v>
      </c>
      <c r="AP117" s="410">
        <f>CHOOSE($B$3,ENWL!AP117,NPgN!AP117,NPgY!AP117,WMID!AP117,EMID!AP117,SWALES!AP117,SWEST!AP117,LPN!AP117,SPN!AP117,EPN!AP117,SPD!AP117,SPMW!AP117,SSEH!AP117,SSES!AP117)</f>
        <v>0</v>
      </c>
      <c r="AQ117" s="456">
        <f>CHOOSE($B$3,ENWL!AQ117,NPgN!AQ117,NPgY!AQ117,WMID!AQ117,EMID!AQ117,SWALES!AQ117,SWEST!AQ117,LPN!AQ117,SPN!AQ117,EPN!AQ117,SPD!AQ117,SPMW!AQ117,SSEH!AQ117,SSES!AQ117)</f>
        <v>0</v>
      </c>
      <c r="AR117" s="410">
        <f>CHOOSE($B$3,ENWL!AR117,NPgN!AR117,NPgY!AR117,WMID!AR117,EMID!AR117,SWALES!AR117,SWEST!AR117,LPN!AR117,SPN!AR117,EPN!AR117,SPD!AR117,SPMW!AR117,SSEH!AR117,SSES!AR117)</f>
        <v>0</v>
      </c>
      <c r="AS117" s="410">
        <f>CHOOSE($B$3,ENWL!AS117,NPgN!AS117,NPgY!AS117,WMID!AS117,EMID!AS117,SWALES!AS117,SWEST!AS117,LPN!AS117,SPN!AS117,EPN!AS117,SPD!AS117,SPMW!AS117,SSEH!AS117,SSES!AS117)</f>
        <v>0</v>
      </c>
      <c r="AT117" s="410">
        <f>CHOOSE($B$3,ENWL!AT117,NPgN!AT117,NPgY!AT117,WMID!AT117,EMID!AT117,SWALES!AT117,SWEST!AT117,LPN!AT117,SPN!AT117,EPN!AT117,SPD!AT117,SPMW!AT117,SSEH!AT117,SSES!AT117)</f>
        <v>0</v>
      </c>
      <c r="AU117" s="410">
        <f>CHOOSE($B$3,ENWL!AU117,NPgN!AU117,NPgY!AU117,WMID!AU117,EMID!AU117,SWALES!AU117,SWEST!AU117,LPN!AU117,SPN!AU117,EPN!AU117,SPD!AU117,SPMW!AU117,SSEH!AU117,SSES!AU117)</f>
        <v>0</v>
      </c>
      <c r="AV117" s="263"/>
      <c r="AW117" s="184"/>
    </row>
    <row r="118" spans="1:49" ht="15">
      <c r="A118" s="82"/>
      <c r="B118" s="82"/>
      <c r="C118" s="82"/>
      <c r="D118" s="82"/>
      <c r="E118" s="182">
        <f t="shared" si="0"/>
        <v>0</v>
      </c>
      <c r="F118" s="82"/>
      <c r="G118" s="82" t="s">
        <v>126</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f>CHOOSE($B$3,ENWL!AJ118,NPgN!AJ118,NPgY!AJ118,WMID!AJ118,EMID!AJ118,SWALES!AJ118,SWEST!AJ118,LPN!AJ118,SPN!AJ118,EPN!AJ118,SPD!AJ118,SPMW!AJ118,SSEH!AJ118,SSES!AJ118)</f>
        <v>0</v>
      </c>
      <c r="AK118" s="321"/>
      <c r="AL118" s="528">
        <f>CHOOSE($B$3,ENWL!AL118,NPgN!AL118,NPgY!AL118,WMID!AL118,EMID!AL118,SWALES!AL118,SWEST!AL118,LPN!AL118,SPN!AL118,EPN!AL118,SPD!AL118,SPMW!AL118,SSEH!AL118,SSES!AL118)</f>
        <v>0</v>
      </c>
      <c r="AM118" s="528">
        <f>CHOOSE($B$3,ENWL!AM118,NPgN!AM118,NPgY!AM118,WMID!AM118,EMID!AM118,SWALES!AM118,SWEST!AM118,LPN!AM118,SPN!AM118,EPN!AM118,SPD!AM118,SPMW!AM118,SSEH!AM118,SSES!AM118)</f>
        <v>0</v>
      </c>
      <c r="AN118" s="321"/>
      <c r="AO118" s="410">
        <f>CHOOSE($B$3,ENWL!AO118,NPgN!AO118,NPgY!AO118,WMID!AO118,EMID!AO118,SWALES!AO118,SWEST!AO118,LPN!AO118,SPN!AO118,EPN!AO118,SPD!AO118,SPMW!AO118,SSEH!AO118,SSES!AO118)</f>
        <v>0</v>
      </c>
      <c r="AP118" s="410">
        <f>CHOOSE($B$3,ENWL!AP118,NPgN!AP118,NPgY!AP118,WMID!AP118,EMID!AP118,SWALES!AP118,SWEST!AP118,LPN!AP118,SPN!AP118,EPN!AP118,SPD!AP118,SPMW!AP118,SSEH!AP118,SSES!AP118)</f>
        <v>0</v>
      </c>
      <c r="AQ118" s="456">
        <f>CHOOSE($B$3,ENWL!AQ118,NPgN!AQ118,NPgY!AQ118,WMID!AQ118,EMID!AQ118,SWALES!AQ118,SWEST!AQ118,LPN!AQ118,SPN!AQ118,EPN!AQ118,SPD!AQ118,SPMW!AQ118,SSEH!AQ118,SSES!AQ118)</f>
        <v>0</v>
      </c>
      <c r="AR118" s="410">
        <f>CHOOSE($B$3,ENWL!AR118,NPgN!AR118,NPgY!AR118,WMID!AR118,EMID!AR118,SWALES!AR118,SWEST!AR118,LPN!AR118,SPN!AR118,EPN!AR118,SPD!AR118,SPMW!AR118,SSEH!AR118,SSES!AR118)</f>
        <v>0</v>
      </c>
      <c r="AS118" s="410">
        <f>CHOOSE($B$3,ENWL!AS118,NPgN!AS118,NPgY!AS118,WMID!AS118,EMID!AS118,SWALES!AS118,SWEST!AS118,LPN!AS118,SPN!AS118,EPN!AS118,SPD!AS118,SPMW!AS118,SSEH!AS118,SSES!AS118)</f>
        <v>0</v>
      </c>
      <c r="AT118" s="410">
        <f>CHOOSE($B$3,ENWL!AT118,NPgN!AT118,NPgY!AT118,WMID!AT118,EMID!AT118,SWALES!AT118,SWEST!AT118,LPN!AT118,SPN!AT118,EPN!AT118,SPD!AT118,SPMW!AT118,SSEH!AT118,SSES!AT118)</f>
        <v>0</v>
      </c>
      <c r="AU118" s="410">
        <f>CHOOSE($B$3,ENWL!AU118,NPgN!AU118,NPgY!AU118,WMID!AU118,EMID!AU118,SWALES!AU118,SWEST!AU118,LPN!AU118,SPN!AU118,EPN!AU118,SPD!AU118,SPMW!AU118,SSEH!AU118,SSES!AU118)</f>
        <v>0</v>
      </c>
      <c r="AV118" s="263"/>
      <c r="AW118" s="184"/>
    </row>
    <row r="119" spans="1:49" ht="15">
      <c r="A119" s="82"/>
      <c r="B119" s="82"/>
      <c r="C119" s="82"/>
      <c r="D119" s="82"/>
      <c r="E119" s="182">
        <f t="shared" si="0"/>
        <v>0</v>
      </c>
      <c r="F119" s="82"/>
      <c r="G119" s="82" t="s">
        <v>126</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f>CHOOSE($B$3,ENWL!AJ119,NPgN!AJ119,NPgY!AJ119,WMID!AJ119,EMID!AJ119,SWALES!AJ119,SWEST!AJ119,LPN!AJ119,SPN!AJ119,EPN!AJ119,SPD!AJ119,SPMW!AJ119,SSEH!AJ119,SSES!AJ119)</f>
        <v>0</v>
      </c>
      <c r="AK119" s="321"/>
      <c r="AL119" s="528">
        <f>CHOOSE($B$3,ENWL!AL119,NPgN!AL119,NPgY!AL119,WMID!AL119,EMID!AL119,SWALES!AL119,SWEST!AL119,LPN!AL119,SPN!AL119,EPN!AL119,SPD!AL119,SPMW!AL119,SSEH!AL119,SSES!AL119)</f>
        <v>0</v>
      </c>
      <c r="AM119" s="528">
        <f>CHOOSE($B$3,ENWL!AM119,NPgN!AM119,NPgY!AM119,WMID!AM119,EMID!AM119,SWALES!AM119,SWEST!AM119,LPN!AM119,SPN!AM119,EPN!AM119,SPD!AM119,SPMW!AM119,SSEH!AM119,SSES!AM119)</f>
        <v>0</v>
      </c>
      <c r="AN119" s="321"/>
      <c r="AO119" s="410">
        <f>CHOOSE($B$3,ENWL!AO119,NPgN!AO119,NPgY!AO119,WMID!AO119,EMID!AO119,SWALES!AO119,SWEST!AO119,LPN!AO119,SPN!AO119,EPN!AO119,SPD!AO119,SPMW!AO119,SSEH!AO119,SSES!AO119)</f>
        <v>0</v>
      </c>
      <c r="AP119" s="410">
        <f>CHOOSE($B$3,ENWL!AP119,NPgN!AP119,NPgY!AP119,WMID!AP119,EMID!AP119,SWALES!AP119,SWEST!AP119,LPN!AP119,SPN!AP119,EPN!AP119,SPD!AP119,SPMW!AP119,SSEH!AP119,SSES!AP119)</f>
        <v>0</v>
      </c>
      <c r="AQ119" s="456">
        <f>CHOOSE($B$3,ENWL!AQ119,NPgN!AQ119,NPgY!AQ119,WMID!AQ119,EMID!AQ119,SWALES!AQ119,SWEST!AQ119,LPN!AQ119,SPN!AQ119,EPN!AQ119,SPD!AQ119,SPMW!AQ119,SSEH!AQ119,SSES!AQ119)</f>
        <v>0</v>
      </c>
      <c r="AR119" s="410">
        <f>CHOOSE($B$3,ENWL!AR119,NPgN!AR119,NPgY!AR119,WMID!AR119,EMID!AR119,SWALES!AR119,SWEST!AR119,LPN!AR119,SPN!AR119,EPN!AR119,SPD!AR119,SPMW!AR119,SSEH!AR119,SSES!AR119)</f>
        <v>0</v>
      </c>
      <c r="AS119" s="410">
        <f>CHOOSE($B$3,ENWL!AS119,NPgN!AS119,NPgY!AS119,WMID!AS119,EMID!AS119,SWALES!AS119,SWEST!AS119,LPN!AS119,SPN!AS119,EPN!AS119,SPD!AS119,SPMW!AS119,SSEH!AS119,SSES!AS119)</f>
        <v>0</v>
      </c>
      <c r="AT119" s="410">
        <f>CHOOSE($B$3,ENWL!AT119,NPgN!AT119,NPgY!AT119,WMID!AT119,EMID!AT119,SWALES!AT119,SWEST!AT119,LPN!AT119,SPN!AT119,EPN!AT119,SPD!AT119,SPMW!AT119,SSEH!AT119,SSES!AT119)</f>
        <v>0</v>
      </c>
      <c r="AU119" s="410">
        <f>CHOOSE($B$3,ENWL!AU119,NPgN!AU119,NPgY!AU119,WMID!AU119,EMID!AU119,SWALES!AU119,SWEST!AU119,LPN!AU119,SPN!AU119,EPN!AU119,SPD!AU119,SPMW!AU119,SSEH!AU119,SSES!AU119)</f>
        <v>0</v>
      </c>
      <c r="AV119" s="263"/>
      <c r="AW119" s="184"/>
    </row>
    <row r="120" spans="1:49" ht="15">
      <c r="A120" s="82"/>
      <c r="B120" s="82"/>
      <c r="C120" s="82"/>
      <c r="D120" s="82"/>
      <c r="E120" s="182">
        <f t="shared" si="0"/>
        <v>0</v>
      </c>
      <c r="F120" s="82"/>
      <c r="G120" s="82" t="s">
        <v>126</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f>CHOOSE($B$3,ENWL!AJ120,NPgN!AJ120,NPgY!AJ120,WMID!AJ120,EMID!AJ120,SWALES!AJ120,SWEST!AJ120,LPN!AJ120,SPN!AJ120,EPN!AJ120,SPD!AJ120,SPMW!AJ120,SSEH!AJ120,SSES!AJ120)</f>
        <v>0</v>
      </c>
      <c r="AK120" s="321"/>
      <c r="AL120" s="528">
        <f>CHOOSE($B$3,ENWL!AL120,NPgN!AL120,NPgY!AL120,WMID!AL120,EMID!AL120,SWALES!AL120,SWEST!AL120,LPN!AL120,SPN!AL120,EPN!AL120,SPD!AL120,SPMW!AL120,SSEH!AL120,SSES!AL120)</f>
        <v>0</v>
      </c>
      <c r="AM120" s="528">
        <f>CHOOSE($B$3,ENWL!AM120,NPgN!AM120,NPgY!AM120,WMID!AM120,EMID!AM120,SWALES!AM120,SWEST!AM120,LPN!AM120,SPN!AM120,EPN!AM120,SPD!AM120,SPMW!AM120,SSEH!AM120,SSES!AM120)</f>
        <v>0</v>
      </c>
      <c r="AN120" s="321"/>
      <c r="AO120" s="410">
        <f>CHOOSE($B$3,ENWL!AO120,NPgN!AO120,NPgY!AO120,WMID!AO120,EMID!AO120,SWALES!AO120,SWEST!AO120,LPN!AO120,SPN!AO120,EPN!AO120,SPD!AO120,SPMW!AO120,SSEH!AO120,SSES!AO120)</f>
        <v>0</v>
      </c>
      <c r="AP120" s="410">
        <f>CHOOSE($B$3,ENWL!AP120,NPgN!AP120,NPgY!AP120,WMID!AP120,EMID!AP120,SWALES!AP120,SWEST!AP120,LPN!AP120,SPN!AP120,EPN!AP120,SPD!AP120,SPMW!AP120,SSEH!AP120,SSES!AP120)</f>
        <v>0</v>
      </c>
      <c r="AQ120" s="456">
        <f>CHOOSE($B$3,ENWL!AQ120,NPgN!AQ120,NPgY!AQ120,WMID!AQ120,EMID!AQ120,SWALES!AQ120,SWEST!AQ120,LPN!AQ120,SPN!AQ120,EPN!AQ120,SPD!AQ120,SPMW!AQ120,SSEH!AQ120,SSES!AQ120)</f>
        <v>0</v>
      </c>
      <c r="AR120" s="410">
        <f>CHOOSE($B$3,ENWL!AR120,NPgN!AR120,NPgY!AR120,WMID!AR120,EMID!AR120,SWALES!AR120,SWEST!AR120,LPN!AR120,SPN!AR120,EPN!AR120,SPD!AR120,SPMW!AR120,SSEH!AR120,SSES!AR120)</f>
        <v>0</v>
      </c>
      <c r="AS120" s="410">
        <f>CHOOSE($B$3,ENWL!AS120,NPgN!AS120,NPgY!AS120,WMID!AS120,EMID!AS120,SWALES!AS120,SWEST!AS120,LPN!AS120,SPN!AS120,EPN!AS120,SPD!AS120,SPMW!AS120,SSEH!AS120,SSES!AS120)</f>
        <v>0</v>
      </c>
      <c r="AT120" s="410">
        <f>CHOOSE($B$3,ENWL!AT120,NPgN!AT120,NPgY!AT120,WMID!AT120,EMID!AT120,SWALES!AT120,SWEST!AT120,LPN!AT120,SPN!AT120,EPN!AT120,SPD!AT120,SPMW!AT120,SSEH!AT120,SSES!AT120)</f>
        <v>0</v>
      </c>
      <c r="AU120" s="410">
        <f>CHOOSE($B$3,ENWL!AU120,NPgN!AU120,NPgY!AU120,WMID!AU120,EMID!AU120,SWALES!AU120,SWEST!AU120,LPN!AU120,SPN!AU120,EPN!AU120,SPD!AU120,SPMW!AU120,SSEH!AU120,SSES!AU120)</f>
        <v>0</v>
      </c>
      <c r="AV120" s="263"/>
      <c r="AW120" s="184"/>
    </row>
    <row r="121" spans="1:49" ht="15">
      <c r="A121" s="82"/>
      <c r="B121" s="82"/>
      <c r="C121" s="82"/>
      <c r="D121" s="82"/>
      <c r="E121" s="182">
        <f t="shared" si="0"/>
        <v>0</v>
      </c>
      <c r="F121" s="82"/>
      <c r="G121" s="82" t="s">
        <v>126</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f>CHOOSE($B$3,ENWL!AJ121,NPgN!AJ121,NPgY!AJ121,WMID!AJ121,EMID!AJ121,SWALES!AJ121,SWEST!AJ121,LPN!AJ121,SPN!AJ121,EPN!AJ121,SPD!AJ121,SPMW!AJ121,SSEH!AJ121,SSES!AJ121)</f>
        <v>0</v>
      </c>
      <c r="AK121" s="321"/>
      <c r="AL121" s="528">
        <f>CHOOSE($B$3,ENWL!AL121,NPgN!AL121,NPgY!AL121,WMID!AL121,EMID!AL121,SWALES!AL121,SWEST!AL121,LPN!AL121,SPN!AL121,EPN!AL121,SPD!AL121,SPMW!AL121,SSEH!AL121,SSES!AL121)</f>
        <v>0</v>
      </c>
      <c r="AM121" s="528">
        <f>CHOOSE($B$3,ENWL!AM121,NPgN!AM121,NPgY!AM121,WMID!AM121,EMID!AM121,SWALES!AM121,SWEST!AM121,LPN!AM121,SPN!AM121,EPN!AM121,SPD!AM121,SPMW!AM121,SSEH!AM121,SSES!AM121)</f>
        <v>0</v>
      </c>
      <c r="AN121" s="321"/>
      <c r="AO121" s="410">
        <f>CHOOSE($B$3,ENWL!AO121,NPgN!AO121,NPgY!AO121,WMID!AO121,EMID!AO121,SWALES!AO121,SWEST!AO121,LPN!AO121,SPN!AO121,EPN!AO121,SPD!AO121,SPMW!AO121,SSEH!AO121,SSES!AO121)</f>
        <v>0</v>
      </c>
      <c r="AP121" s="410">
        <f>CHOOSE($B$3,ENWL!AP121,NPgN!AP121,NPgY!AP121,WMID!AP121,EMID!AP121,SWALES!AP121,SWEST!AP121,LPN!AP121,SPN!AP121,EPN!AP121,SPD!AP121,SPMW!AP121,SSEH!AP121,SSES!AP121)</f>
        <v>0</v>
      </c>
      <c r="AQ121" s="456">
        <f>CHOOSE($B$3,ENWL!AQ121,NPgN!AQ121,NPgY!AQ121,WMID!AQ121,EMID!AQ121,SWALES!AQ121,SWEST!AQ121,LPN!AQ121,SPN!AQ121,EPN!AQ121,SPD!AQ121,SPMW!AQ121,SSEH!AQ121,SSES!AQ121)</f>
        <v>0</v>
      </c>
      <c r="AR121" s="410">
        <f>CHOOSE($B$3,ENWL!AR121,NPgN!AR121,NPgY!AR121,WMID!AR121,EMID!AR121,SWALES!AR121,SWEST!AR121,LPN!AR121,SPN!AR121,EPN!AR121,SPD!AR121,SPMW!AR121,SSEH!AR121,SSES!AR121)</f>
        <v>0</v>
      </c>
      <c r="AS121" s="410">
        <f>CHOOSE($B$3,ENWL!AS121,NPgN!AS121,NPgY!AS121,WMID!AS121,EMID!AS121,SWALES!AS121,SWEST!AS121,LPN!AS121,SPN!AS121,EPN!AS121,SPD!AS121,SPMW!AS121,SSEH!AS121,SSES!AS121)</f>
        <v>0</v>
      </c>
      <c r="AT121" s="410">
        <f>CHOOSE($B$3,ENWL!AT121,NPgN!AT121,NPgY!AT121,WMID!AT121,EMID!AT121,SWALES!AT121,SWEST!AT121,LPN!AT121,SPN!AT121,EPN!AT121,SPD!AT121,SPMW!AT121,SSEH!AT121,SSES!AT121)</f>
        <v>0</v>
      </c>
      <c r="AU121" s="410">
        <f>CHOOSE($B$3,ENWL!AU121,NPgN!AU121,NPgY!AU121,WMID!AU121,EMID!AU121,SWALES!AU121,SWEST!AU121,LPN!AU121,SPN!AU121,EPN!AU121,SPD!AU121,SPMW!AU121,SSEH!AU121,SSES!AU121)</f>
        <v>0</v>
      </c>
      <c r="AV121" s="263"/>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127</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128</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129</v>
      </c>
      <c r="F126" s="82"/>
      <c r="G126" s="82" t="s">
        <v>105</v>
      </c>
      <c r="H126" s="82" t="s">
        <v>130</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f>CHOOSE($B$3,ENWL!AR126,NPgN!AR126,NPgY!AR126,WMID!AR126,EMID!AR126,SWALES!AR126,SWEST!AR126,LPN!AR126,SPN!AR126,EPN!AR126,SPD!AR126,SPMW!AR126,SSEH!AR126,SSES!AR126)</f>
        <v>5.6441949704916112</v>
      </c>
      <c r="AS126" s="476">
        <f>CHOOSE($B$3,ENWL!AS126,NPgN!AS126,NPgY!AS126,WMID!AS126,EMID!AS126,SWALES!AS126,SWEST!AS126,LPN!AS126,SPN!AS126,EPN!AS126,SPD!AS126,SPMW!AS126,SSEH!AS126,SSES!AS126)</f>
        <v>10.854847671154825</v>
      </c>
      <c r="AT126" s="476">
        <f>CHOOSE($B$3,ENWL!AT126,NPgN!AT126,NPgY!AT126,WMID!AT126,EMID!AT126,SWALES!AT126,SWEST!AT126,LPN!AT126,SPN!AT126,EPN!AT126,SPD!AT126,SPMW!AT126,SSEH!AT126,SSES!AT126)</f>
        <v>19.740566201116323</v>
      </c>
      <c r="AU126" s="476">
        <f>CHOOSE($B$3,ENWL!AU126,NPgN!AU126,NPgY!AU126,WMID!AU126,EMID!AU126,SWALES!AU126,SWEST!AU126,LPN!AU126,SPN!AU126,EPN!AU126,SPD!AU126,SPMW!AU126,SSEH!AU126,SSES!AU126)</f>
        <v>19.928515586489453</v>
      </c>
      <c r="AV126" s="476">
        <f>CHOOSE($B$3,ENWL!AV126,NPgN!AV126,NPgY!AV126,WMID!AV126,EMID!AV126,SWALES!AV126,SWEST!AV126,LPN!AV126,SPN!AV126,EPN!AV126,SPD!AV126,SPMW!AV126,SSEH!AV126,SSES!AV126)</f>
        <v>10.360167542702149</v>
      </c>
      <c r="AW126" s="184"/>
    </row>
    <row r="127" spans="1:49" ht="15">
      <c r="A127" s="82"/>
      <c r="B127" s="82"/>
      <c r="C127" s="82"/>
      <c r="D127" s="82"/>
      <c r="E127" s="13" t="s">
        <v>131</v>
      </c>
      <c r="F127" s="82"/>
      <c r="G127" s="82" t="s">
        <v>105</v>
      </c>
      <c r="H127" s="82" t="s">
        <v>132</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f>CHOOSE($B$3,ENWL!AR127,NPgN!AR127,NPgY!AR127,WMID!AR127,EMID!AR127,SWALES!AR127,SWEST!AR127,LPN!AR127,SPN!AR127,EPN!AR127,SPD!AR127,SPMW!AR127,SSEH!AR127,SSES!AR127)</f>
        <v>42.875037909642728</v>
      </c>
      <c r="AS127" s="476">
        <f>CHOOSE($B$3,ENWL!AS127,NPgN!AS127,NPgY!AS127,WMID!AS127,EMID!AS127,SWALES!AS127,SWEST!AS127,LPN!AS127,SPN!AS127,EPN!AS127,SPD!AS127,SPMW!AS127,SSEH!AS127,SSES!AS127)</f>
        <v>55.92420108196071</v>
      </c>
      <c r="AT127" s="476">
        <f>CHOOSE($B$3,ENWL!AT127,NPgN!AT127,NPgY!AT127,WMID!AT127,EMID!AT127,SWALES!AT127,SWEST!AT127,LPN!AT127,SPN!AT127,EPN!AT127,SPD!AT127,SPMW!AT127,SSEH!AT127,SSES!AT127)</f>
        <v>69.636729856971769</v>
      </c>
      <c r="AU127" s="476">
        <f>CHOOSE($B$3,ENWL!AU127,NPgN!AU127,NPgY!AU127,WMID!AU127,EMID!AU127,SWALES!AU127,SWEST!AU127,LPN!AU127,SPN!AU127,EPN!AU127,SPD!AU127,SPMW!AU127,SSEH!AU127,SSES!AU127)</f>
        <v>72.843036591530648</v>
      </c>
      <c r="AV127" s="476">
        <f>CHOOSE($B$3,ENWL!AV127,NPgN!AV127,NPgY!AV127,WMID!AV127,EMID!AV127,SWALES!AV127,SWEST!AV127,LPN!AV127,SPN!AV127,EPN!AV127,SPD!AV127,SPMW!AV127,SSEH!AV127,SSES!AV127)</f>
        <v>70.113198889340723</v>
      </c>
      <c r="AW127" s="184"/>
    </row>
    <row r="128" spans="1:49" ht="15">
      <c r="A128" s="82"/>
      <c r="B128" s="82"/>
      <c r="C128" s="82"/>
      <c r="D128" s="82"/>
      <c r="E128" s="13" t="s">
        <v>133</v>
      </c>
      <c r="F128" s="82"/>
      <c r="G128" s="82" t="s">
        <v>105</v>
      </c>
      <c r="H128" s="82" t="s">
        <v>134</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f>CHOOSE($B$3,ENWL!AR128,NPgN!AR128,NPgY!AR128,WMID!AR128,EMID!AR128,SWALES!AR128,SWEST!AR128,LPN!AR128,SPN!AR128,EPN!AR128,SPD!AR128,SPMW!AR128,SSEH!AR128,SSES!AR128)</f>
        <v>21.48967087690496</v>
      </c>
      <c r="AS128" s="476">
        <f>CHOOSE($B$3,ENWL!AS128,NPgN!AS128,NPgY!AS128,WMID!AS128,EMID!AS128,SWALES!AS128,SWEST!AS128,LPN!AS128,SPN!AS128,EPN!AS128,SPD!AS128,SPMW!AS128,SSEH!AS128,SSES!AS128)</f>
        <v>29.605590629781283</v>
      </c>
      <c r="AT128" s="476">
        <f>CHOOSE($B$3,ENWL!AT128,NPgN!AT128,NPgY!AT128,WMID!AT128,EMID!AT128,SWALES!AT128,SWEST!AT128,LPN!AT128,SPN!AT128,EPN!AT128,SPD!AT128,SPMW!AT128,SSEH!AT128,SSES!AT128)</f>
        <v>26.138531424366626</v>
      </c>
      <c r="AU128" s="476">
        <f>CHOOSE($B$3,ENWL!AU128,NPgN!AU128,NPgY!AU128,WMID!AU128,EMID!AU128,SWALES!AU128,SWEST!AU128,LPN!AU128,SPN!AU128,EPN!AU128,SPD!AU128,SPMW!AU128,SSEH!AU128,SSES!AU128)</f>
        <v>22.191257680374214</v>
      </c>
      <c r="AV128" s="476">
        <f>CHOOSE($B$3,ENWL!AV128,NPgN!AV128,NPgY!AV128,WMID!AV128,EMID!AV128,SWALES!AV128,SWEST!AV128,LPN!AV128,SPN!AV128,EPN!AV128,SPD!AV128,SPMW!AV128,SSEH!AV128,SSES!AV128)</f>
        <v>19.437941296371157</v>
      </c>
      <c r="AW128" s="184"/>
    </row>
    <row r="129" spans="1:49" ht="15">
      <c r="A129" s="82"/>
      <c r="B129" s="82"/>
      <c r="C129" s="82"/>
      <c r="D129" s="82"/>
      <c r="E129" s="13" t="s">
        <v>135</v>
      </c>
      <c r="F129" s="82"/>
      <c r="G129" s="82" t="s">
        <v>105</v>
      </c>
      <c r="H129" s="82" t="s">
        <v>136</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f>CHOOSE($B$3,ENWL!AR129,NPgN!AR129,NPgY!AR129,WMID!AR129,EMID!AR129,SWALES!AR129,SWEST!AR129,LPN!AR129,SPN!AR129,EPN!AR129,SPD!AR129,SPMW!AR129,SSEH!AR129,SSES!AR129)</f>
        <v>27.703300516138484</v>
      </c>
      <c r="AS129" s="476">
        <f>CHOOSE($B$3,ENWL!AS129,NPgN!AS129,NPgY!AS129,WMID!AS129,EMID!AS129,SWALES!AS129,SWEST!AS129,LPN!AS129,SPN!AS129,EPN!AS129,SPD!AS129,SPMW!AS129,SSEH!AS129,SSES!AS129)</f>
        <v>29.490477993800184</v>
      </c>
      <c r="AT129" s="476">
        <f>CHOOSE($B$3,ENWL!AT129,NPgN!AT129,NPgY!AT129,WMID!AT129,EMID!AT129,SWALES!AT129,SWEST!AT129,LPN!AT129,SPN!AT129,EPN!AT129,SPD!AT129,SPMW!AT129,SSEH!AT129,SSES!AT129)</f>
        <v>29.528860632521543</v>
      </c>
      <c r="AU129" s="476">
        <f>CHOOSE($B$3,ENWL!AU129,NPgN!AU129,NPgY!AU129,WMID!AU129,EMID!AU129,SWALES!AU129,SWEST!AU129,LPN!AU129,SPN!AU129,EPN!AU129,SPD!AU129,SPMW!AU129,SSEH!AU129,SSES!AU129)</f>
        <v>29.553204470273357</v>
      </c>
      <c r="AV129" s="476">
        <f>CHOOSE($B$3,ENWL!AV129,NPgN!AV129,NPgY!AV129,WMID!AV129,EMID!AV129,SWALES!AV129,SWEST!AV129,LPN!AV129,SPN!AV129,EPN!AV129,SPD!AV129,SPMW!AV129,SSEH!AV129,SSES!AV129)</f>
        <v>29.584603555058059</v>
      </c>
      <c r="AW129" s="184"/>
    </row>
    <row r="130" spans="1:49" ht="15">
      <c r="A130" s="82"/>
      <c r="B130" s="82"/>
      <c r="C130" s="82"/>
      <c r="D130" s="82"/>
      <c r="E130" s="13" t="s">
        <v>137</v>
      </c>
      <c r="F130" s="82"/>
      <c r="G130" s="82" t="s">
        <v>105</v>
      </c>
      <c r="H130" s="82" t="s">
        <v>138</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f>CHOOSE($B$3,ENWL!AR130,NPgN!AR130,NPgY!AR130,WMID!AR130,EMID!AR130,SWALES!AR130,SWEST!AR130,LPN!AR130,SPN!AR130,EPN!AR130,SPD!AR130,SPMW!AR130,SSEH!AR130,SSES!AR130)</f>
        <v>3.497849952457512</v>
      </c>
      <c r="AS130" s="476">
        <f>CHOOSE($B$3,ENWL!AS130,NPgN!AS130,NPgY!AS130,WMID!AS130,EMID!AS130,SWALES!AS130,SWEST!AS130,LPN!AS130,SPN!AS130,EPN!AS130,SPD!AS130,SPMW!AS130,SSEH!AS130,SSES!AS130)</f>
        <v>6.0335689889629887</v>
      </c>
      <c r="AT130" s="476">
        <f>CHOOSE($B$3,ENWL!AT130,NPgN!AT130,NPgY!AT130,WMID!AT130,EMID!AT130,SWALES!AT130,SWEST!AT130,LPN!AT130,SPN!AT130,EPN!AT130,SPD!AT130,SPMW!AT130,SSEH!AT130,SSES!AT130)</f>
        <v>4.1967251720223633</v>
      </c>
      <c r="AU130" s="476">
        <f>CHOOSE($B$3,ENWL!AU130,NPgN!AU130,NPgY!AU130,WMID!AU130,EMID!AU130,SWALES!AU130,SWEST!AU130,LPN!AU130,SPN!AU130,EPN!AU130,SPD!AU130,SPMW!AU130,SSEH!AU130,SSES!AU130)</f>
        <v>4.1790438753201657</v>
      </c>
      <c r="AV130" s="476">
        <f>CHOOSE($B$3,ENWL!AV130,NPgN!AV130,NPgY!AV130,WMID!AV130,EMID!AV130,SWALES!AV130,SWEST!AV130,LPN!AV130,SPN!AV130,EPN!AV130,SPD!AV130,SPMW!AV130,SSEH!AV130,SSES!AV130)</f>
        <v>4.3620959591330903</v>
      </c>
      <c r="AW130" s="184"/>
    </row>
    <row r="131" spans="1:49" ht="15">
      <c r="A131" s="82"/>
      <c r="B131" s="82"/>
      <c r="C131" s="82"/>
      <c r="D131" s="82"/>
      <c r="E131" s="13" t="s">
        <v>139</v>
      </c>
      <c r="F131" s="82"/>
      <c r="G131" s="82" t="s">
        <v>105</v>
      </c>
      <c r="H131" s="82" t="s">
        <v>140</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f>CHOOSE($B$3,ENWL!AR131,NPgN!AR131,NPgY!AR131,WMID!AR131,EMID!AR131,SWALES!AR131,SWEST!AR131,LPN!AR131,SPN!AR131,EPN!AR131,SPD!AR131,SPMW!AR131,SSEH!AR131,SSES!AR131)</f>
        <v>6.3093940938820356</v>
      </c>
      <c r="AS131" s="476">
        <f>CHOOSE($B$3,ENWL!AS131,NPgN!AS131,NPgY!AS131,WMID!AS131,EMID!AS131,SWALES!AS131,SWEST!AS131,LPN!AS131,SPN!AS131,EPN!AS131,SPD!AS131,SPMW!AS131,SSEH!AS131,SSES!AS131)</f>
        <v>6.3712449237630864</v>
      </c>
      <c r="AT131" s="476">
        <f>CHOOSE($B$3,ENWL!AT131,NPgN!AT131,NPgY!AT131,WMID!AT131,EMID!AT131,SWALES!AT131,SWEST!AT131,LPN!AT131,SPN!AT131,EPN!AT131,SPD!AT131,SPMW!AT131,SSEH!AT131,SSES!AT131)</f>
        <v>6.3718517862666531</v>
      </c>
      <c r="AU131" s="476">
        <f>CHOOSE($B$3,ENWL!AU131,NPgN!AU131,NPgY!AU131,WMID!AU131,EMID!AU131,SWALES!AU131,SWEST!AU131,LPN!AU131,SPN!AU131,EPN!AU131,SPD!AU131,SPMW!AU131,SSEH!AU131,SSES!AU131)</f>
        <v>6.4381156839255151</v>
      </c>
      <c r="AV131" s="476">
        <f>CHOOSE($B$3,ENWL!AV131,NPgN!AV131,NPgY!AV131,WMID!AV131,EMID!AV131,SWALES!AV131,SWEST!AV131,LPN!AV131,SPN!AV131,EPN!AV131,SPD!AV131,SPMW!AV131,SSEH!AV131,SSES!AV131)</f>
        <v>6.3775426168462737</v>
      </c>
      <c r="AW131" s="184"/>
    </row>
    <row r="132" spans="1:49" ht="15">
      <c r="A132" s="82"/>
      <c r="B132" s="82"/>
      <c r="C132" s="82"/>
      <c r="D132" s="82"/>
      <c r="E132" s="13" t="s">
        <v>141</v>
      </c>
      <c r="F132" s="82"/>
      <c r="G132" s="82" t="s">
        <v>105</v>
      </c>
      <c r="H132" s="82" t="s">
        <v>142</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f>CHOOSE($B$3,ENWL!AR132,NPgN!AR132,NPgY!AR132,WMID!AR132,EMID!AR132,SWALES!AR132,SWEST!AR132,LPN!AR132,SPN!AR132,EPN!AR132,SPD!AR132,SPMW!AR132,SSEH!AR132,SSES!AR132)</f>
        <v>64.054982120607036</v>
      </c>
      <c r="AS132" s="476">
        <f>CHOOSE($B$3,ENWL!AS132,NPgN!AS132,NPgY!AS132,WMID!AS132,EMID!AS132,SWALES!AS132,SWEST!AS132,LPN!AS132,SPN!AS132,EPN!AS132,SPD!AS132,SPMW!AS132,SSEH!AS132,SSES!AS132)</f>
        <v>72.147617177621967</v>
      </c>
      <c r="AT132" s="476">
        <f>CHOOSE($B$3,ENWL!AT132,NPgN!AT132,NPgY!AT132,WMID!AT132,EMID!AT132,SWALES!AT132,SWEST!AT132,LPN!AT132,SPN!AT132,EPN!AT132,SPD!AT132,SPMW!AT132,SSEH!AT132,SSES!AT132)</f>
        <v>71.044673183229065</v>
      </c>
      <c r="AU132" s="476">
        <f>CHOOSE($B$3,ENWL!AU132,NPgN!AU132,NPgY!AU132,WMID!AU132,EMID!AU132,SWALES!AU132,SWEST!AU132,LPN!AU132,SPN!AU132,EPN!AU132,SPD!AU132,SPMW!AU132,SSEH!AU132,SSES!AU132)</f>
        <v>71.603711316021545</v>
      </c>
      <c r="AV132" s="476">
        <f>CHOOSE($B$3,ENWL!AV132,NPgN!AV132,NPgY!AV132,WMID!AV132,EMID!AV132,SWALES!AV132,SWEST!AV132,LPN!AV132,SPN!AV132,EPN!AV132,SPD!AV132,SPMW!AV132,SSEH!AV132,SSES!AV132)</f>
        <v>71.70597954765303</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143</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129</v>
      </c>
      <c r="F135" s="82"/>
      <c r="G135" s="82" t="s">
        <v>105</v>
      </c>
      <c r="H135" s="82" t="s">
        <v>144</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f>CHOOSE($B$3,ENWL!AR135,NPgN!AR135,NPgY!AR135,WMID!AR135,EMID!AR135,SWALES!AR135,SWEST!AR135,LPN!AR135,SPN!AR135,EPN!AR135,SPD!AR135,SPMW!AR135,SSEH!AR135,SSES!AR135)</f>
        <v>11.187605089223041</v>
      </c>
      <c r="AS135" s="476">
        <f>CHOOSE($B$3,ENWL!AS135,NPgN!AS135,NPgY!AS135,WMID!AS135,EMID!AS135,SWALES!AS135,SWEST!AS135,LPN!AS135,SPN!AS135,EPN!AS135,SPD!AS135,SPMW!AS135,SSEH!AS135,SSES!AS135)</f>
        <v>17.91210779872511</v>
      </c>
      <c r="AT135" s="476">
        <f>CHOOSE($B$3,ENWL!AT135,NPgN!AT135,NPgY!AT135,WMID!AT135,EMID!AT135,SWALES!AT135,SWEST!AT135,LPN!AT135,SPN!AT135,EPN!AT135,SPD!AT135,SPMW!AT135,SSEH!AT135,SSES!AT135)</f>
        <v>10.751280830606349</v>
      </c>
      <c r="AU135" s="476">
        <f>CHOOSE($B$3,ENWL!AU135,NPgN!AU135,NPgY!AU135,WMID!AU135,EMID!AU135,SWALES!AU135,SWEST!AU135,LPN!AU135,SPN!AU135,EPN!AU135,SPD!AU135,SPMW!AU135,SSEH!AU135,SSES!AU135)</f>
        <v>13.401490779635807</v>
      </c>
      <c r="AV135" s="476">
        <f>CHOOSE($B$3,ENWL!AV135,NPgN!AV135,NPgY!AV135,WMID!AV135,EMID!AV135,SWALES!AV135,SWEST!AV135,LPN!AV135,SPN!AV135,EPN!AV135,SPD!AV135,SPMW!AV135,SSEH!AV135,SSES!AV135)</f>
        <v>13.79807290905743</v>
      </c>
      <c r="AW135" s="184"/>
    </row>
    <row r="136" spans="1:49" ht="15">
      <c r="A136" s="82"/>
      <c r="B136" s="82"/>
      <c r="C136" s="82"/>
      <c r="D136" s="82"/>
      <c r="E136" s="13" t="s">
        <v>131</v>
      </c>
      <c r="F136" s="82"/>
      <c r="G136" s="82" t="s">
        <v>105</v>
      </c>
      <c r="H136" s="82" t="s">
        <v>145</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f>CHOOSE($B$3,ENWL!AR136,NPgN!AR136,NPgY!AR136,WMID!AR136,EMID!AR136,SWALES!AR136,SWEST!AR136,LPN!AR136,SPN!AR136,EPN!AR136,SPD!AR136,SPMW!AR136,SSEH!AR136,SSES!AR136)</f>
        <v>2.7062262368035324</v>
      </c>
      <c r="AS136" s="476">
        <f>CHOOSE($B$3,ENWL!AS136,NPgN!AS136,NPgY!AS136,WMID!AS136,EMID!AS136,SWALES!AS136,SWEST!AS136,LPN!AS136,SPN!AS136,EPN!AS136,SPD!AS136,SPMW!AS136,SSEH!AS136,SSES!AS136)</f>
        <v>6.9940535978616722</v>
      </c>
      <c r="AT136" s="476">
        <f>CHOOSE($B$3,ENWL!AT136,NPgN!AT136,NPgY!AT136,WMID!AT136,EMID!AT136,SWALES!AT136,SWEST!AT136,LPN!AT136,SPN!AT136,EPN!AT136,SPD!AT136,SPMW!AT136,SSEH!AT136,SSES!AT136)</f>
        <v>5.2259429124744754</v>
      </c>
      <c r="AU136" s="476">
        <f>CHOOSE($B$3,ENWL!AU136,NPgN!AU136,NPgY!AU136,WMID!AU136,EMID!AU136,SWALES!AU136,SWEST!AU136,LPN!AU136,SPN!AU136,EPN!AU136,SPD!AU136,SPMW!AU136,SSEH!AU136,SSES!AU136)</f>
        <v>0</v>
      </c>
      <c r="AV136" s="476">
        <f>CHOOSE($B$3,ENWL!AV136,NPgN!AV136,NPgY!AV136,WMID!AV136,EMID!AV136,SWALES!AV136,SWEST!AV136,LPN!AV136,SPN!AV136,EPN!AV136,SPD!AV136,SPMW!AV136,SSEH!AV136,SSES!AV136)</f>
        <v>0</v>
      </c>
      <c r="AW136" s="184"/>
    </row>
    <row r="137" spans="1:49" ht="15">
      <c r="A137" s="82"/>
      <c r="B137" s="82"/>
      <c r="C137" s="82"/>
      <c r="D137" s="82"/>
      <c r="E137" s="13" t="s">
        <v>133</v>
      </c>
      <c r="F137" s="82"/>
      <c r="G137" s="82" t="s">
        <v>105</v>
      </c>
      <c r="H137" s="82" t="s">
        <v>146</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f>CHOOSE($B$3,ENWL!AR137,NPgN!AR137,NPgY!AR137,WMID!AR137,EMID!AR137,SWALES!AR137,SWEST!AR137,LPN!AR137,SPN!AR137,EPN!AR137,SPD!AR137,SPMW!AR137,SSEH!AR137,SSES!AR137)</f>
        <v>1.5877466719699669</v>
      </c>
      <c r="AS137" s="476">
        <f>CHOOSE($B$3,ENWL!AS137,NPgN!AS137,NPgY!AS137,WMID!AS137,EMID!AS137,SWALES!AS137,SWEST!AS137,LPN!AS137,SPN!AS137,EPN!AS137,SPD!AS137,SPMW!AS137,SSEH!AS137,SSES!AS137)</f>
        <v>6.7147175286724359</v>
      </c>
      <c r="AT137" s="476">
        <f>CHOOSE($B$3,ENWL!AT137,NPgN!AT137,NPgY!AT137,WMID!AT137,EMID!AT137,SWALES!AT137,SWEST!AT137,LPN!AT137,SPN!AT137,EPN!AT137,SPD!AT137,SPMW!AT137,SSEH!AT137,SSES!AT137)</f>
        <v>14.916843891614612</v>
      </c>
      <c r="AU137" s="476">
        <f>CHOOSE($B$3,ENWL!AU137,NPgN!AU137,NPgY!AU137,WMID!AU137,EMID!AU137,SWALES!AU137,SWEST!AU137,LPN!AU137,SPN!AU137,EPN!AU137,SPD!AU137,SPMW!AU137,SSEH!AU137,SSES!AU137)</f>
        <v>13.784043800349032</v>
      </c>
      <c r="AV137" s="476">
        <f>CHOOSE($B$3,ENWL!AV137,NPgN!AV137,NPgY!AV137,WMID!AV137,EMID!AV137,SWALES!AV137,SWEST!AV137,LPN!AV137,SPN!AV137,EPN!AV137,SPD!AV137,SPMW!AV137,SSEH!AV137,SSES!AV137)</f>
        <v>3.1165862457718783</v>
      </c>
      <c r="AW137" s="184"/>
    </row>
    <row r="138" spans="1:49" ht="15">
      <c r="A138" s="82"/>
      <c r="B138" s="82"/>
      <c r="C138" s="82"/>
      <c r="D138" s="82"/>
      <c r="E138" s="13" t="s">
        <v>135</v>
      </c>
      <c r="F138" s="82"/>
      <c r="G138" s="82" t="s">
        <v>105</v>
      </c>
      <c r="H138" s="82" t="s">
        <v>147</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f>CHOOSE($B$3,ENWL!AR138,NPgN!AR138,NPgY!AR138,WMID!AR138,EMID!AR138,SWALES!AR138,SWEST!AR138,LPN!AR138,SPN!AR138,EPN!AR138,SPD!AR138,SPMW!AR138,SSEH!AR138,SSES!AR138)</f>
        <v>0</v>
      </c>
      <c r="AS138" s="476">
        <f>CHOOSE($B$3,ENWL!AS138,NPgN!AS138,NPgY!AS138,WMID!AS138,EMID!AS138,SWALES!AS138,SWEST!AS138,LPN!AS138,SPN!AS138,EPN!AS138,SPD!AS138,SPMW!AS138,SSEH!AS138,SSES!AS138)</f>
        <v>0</v>
      </c>
      <c r="AT138" s="476">
        <f>CHOOSE($B$3,ENWL!AT138,NPgN!AT138,NPgY!AT138,WMID!AT138,EMID!AT138,SWALES!AT138,SWEST!AT138,LPN!AT138,SPN!AT138,EPN!AT138,SPD!AT138,SPMW!AT138,SSEH!AT138,SSES!AT138)</f>
        <v>0</v>
      </c>
      <c r="AU138" s="476">
        <f>CHOOSE($B$3,ENWL!AU138,NPgN!AU138,NPgY!AU138,WMID!AU138,EMID!AU138,SWALES!AU138,SWEST!AU138,LPN!AU138,SPN!AU138,EPN!AU138,SPD!AU138,SPMW!AU138,SSEH!AU138,SSES!AU138)</f>
        <v>0</v>
      </c>
      <c r="AV138" s="476">
        <f>CHOOSE($B$3,ENWL!AV138,NPgN!AV138,NPgY!AV138,WMID!AV138,EMID!AV138,SWALES!AV138,SWEST!AV138,LPN!AV138,SPN!AV138,EPN!AV138,SPD!AV138,SPMW!AV138,SSEH!AV138,SSES!AV138)</f>
        <v>0</v>
      </c>
      <c r="AW138" s="184"/>
    </row>
    <row r="139" spans="1:49" ht="15">
      <c r="A139" s="82"/>
      <c r="B139" s="82"/>
      <c r="C139" s="82"/>
      <c r="D139" s="82"/>
      <c r="E139" s="13" t="s">
        <v>137</v>
      </c>
      <c r="F139" s="82"/>
      <c r="G139" s="82" t="s">
        <v>105</v>
      </c>
      <c r="H139" s="82" t="s">
        <v>148</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f>CHOOSE($B$3,ENWL!AR139,NPgN!AR139,NPgY!AR139,WMID!AR139,EMID!AR139,SWALES!AR139,SWEST!AR139,LPN!AR139,SPN!AR139,EPN!AR139,SPD!AR139,SPMW!AR139,SSEH!AR139,SSES!AR139)</f>
        <v>0</v>
      </c>
      <c r="AS139" s="476">
        <f>CHOOSE($B$3,ENWL!AS139,NPgN!AS139,NPgY!AS139,WMID!AS139,EMID!AS139,SWALES!AS139,SWEST!AS139,LPN!AS139,SPN!AS139,EPN!AS139,SPD!AS139,SPMW!AS139,SSEH!AS139,SSES!AS139)</f>
        <v>0</v>
      </c>
      <c r="AT139" s="476">
        <f>CHOOSE($B$3,ENWL!AT139,NPgN!AT139,NPgY!AT139,WMID!AT139,EMID!AT139,SWALES!AT139,SWEST!AT139,LPN!AT139,SPN!AT139,EPN!AT139,SPD!AT139,SPMW!AT139,SSEH!AT139,SSES!AT139)</f>
        <v>0</v>
      </c>
      <c r="AU139" s="476">
        <f>CHOOSE($B$3,ENWL!AU139,NPgN!AU139,NPgY!AU139,WMID!AU139,EMID!AU139,SWALES!AU139,SWEST!AU139,LPN!AU139,SPN!AU139,EPN!AU139,SPD!AU139,SPMW!AU139,SSEH!AU139,SSES!AU139)</f>
        <v>0</v>
      </c>
      <c r="AV139" s="476">
        <f>CHOOSE($B$3,ENWL!AV139,NPgN!AV139,NPgY!AV139,WMID!AV139,EMID!AV139,SWALES!AV139,SWEST!AV139,LPN!AV139,SPN!AV139,EPN!AV139,SPD!AV139,SPMW!AV139,SSEH!AV139,SSES!AV139)</f>
        <v>0</v>
      </c>
      <c r="AW139" s="184"/>
    </row>
    <row r="140" spans="1:49" ht="15">
      <c r="A140" s="82"/>
      <c r="B140" s="82"/>
      <c r="C140" s="82"/>
      <c r="D140" s="82"/>
      <c r="E140" s="13" t="s">
        <v>139</v>
      </c>
      <c r="F140" s="82"/>
      <c r="G140" s="82" t="s">
        <v>105</v>
      </c>
      <c r="H140" s="82" t="s">
        <v>149</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f>CHOOSE($B$3,ENWL!AR140,NPgN!AR140,NPgY!AR140,WMID!AR140,EMID!AR140,SWALES!AR140,SWEST!AR140,LPN!AR140,SPN!AR140,EPN!AR140,SPD!AR140,SPMW!AR140,SSEH!AR140,SSES!AR140)</f>
        <v>0</v>
      </c>
      <c r="AS140" s="476">
        <f>CHOOSE($B$3,ENWL!AS140,NPgN!AS140,NPgY!AS140,WMID!AS140,EMID!AS140,SWALES!AS140,SWEST!AS140,LPN!AS140,SPN!AS140,EPN!AS140,SPD!AS140,SPMW!AS140,SSEH!AS140,SSES!AS140)</f>
        <v>0</v>
      </c>
      <c r="AT140" s="476">
        <f>CHOOSE($B$3,ENWL!AT140,NPgN!AT140,NPgY!AT140,WMID!AT140,EMID!AT140,SWALES!AT140,SWEST!AT140,LPN!AT140,SPN!AT140,EPN!AT140,SPD!AT140,SPMW!AT140,SSEH!AT140,SSES!AT140)</f>
        <v>0</v>
      </c>
      <c r="AU140" s="476">
        <f>CHOOSE($B$3,ENWL!AU140,NPgN!AU140,NPgY!AU140,WMID!AU140,EMID!AU140,SWALES!AU140,SWEST!AU140,LPN!AU140,SPN!AU140,EPN!AU140,SPD!AU140,SPMW!AU140,SSEH!AU140,SSES!AU140)</f>
        <v>0</v>
      </c>
      <c r="AV140" s="476">
        <f>CHOOSE($B$3,ENWL!AV140,NPgN!AV140,NPgY!AV140,WMID!AV140,EMID!AV140,SWALES!AV140,SWEST!AV140,LPN!AV140,SPN!AV140,EPN!AV140,SPD!AV140,SPMW!AV140,SSEH!AV140,SSES!AV140)</f>
        <v>0</v>
      </c>
      <c r="AW140" s="184"/>
    </row>
    <row r="141" spans="1:49" ht="15">
      <c r="A141" s="82"/>
      <c r="B141" s="82"/>
      <c r="C141" s="82"/>
      <c r="D141" s="82"/>
      <c r="E141" s="13" t="s">
        <v>141</v>
      </c>
      <c r="F141" s="82"/>
      <c r="G141" s="82" t="s">
        <v>105</v>
      </c>
      <c r="H141" s="82" t="s">
        <v>150</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f>CHOOSE($B$3,ENWL!AR141,NPgN!AR141,NPgY!AR141,WMID!AR141,EMID!AR141,SWALES!AR141,SWEST!AR141,LPN!AR141,SPN!AR141,EPN!AR141,SPD!AR141,SPMW!AR141,SSEH!AR141,SSES!AR141)</f>
        <v>0.81267582388761972</v>
      </c>
      <c r="AS141" s="476">
        <f>CHOOSE($B$3,ENWL!AS141,NPgN!AS141,NPgY!AS141,WMID!AS141,EMID!AS141,SWALES!AS141,SWEST!AS141,LPN!AS141,SPN!AS141,EPN!AS141,SPD!AS141,SPMW!AS141,SSEH!AS141,SSES!AS141)</f>
        <v>1.5461345750730646</v>
      </c>
      <c r="AT141" s="476">
        <f>CHOOSE($B$3,ENWL!AT141,NPgN!AT141,NPgY!AT141,WMID!AT141,EMID!AT141,SWALES!AT141,SWEST!AT141,LPN!AT141,SPN!AT141,EPN!AT141,SPD!AT141,SPMW!AT141,SSEH!AT141,SSES!AT141)</f>
        <v>3.3156284457099203</v>
      </c>
      <c r="AU141" s="476">
        <f>CHOOSE($B$3,ENWL!AU141,NPgN!AU141,NPgY!AU141,WMID!AU141,EMID!AU141,SWALES!AU141,SWEST!AU141,LPN!AU141,SPN!AU141,EPN!AU141,SPD!AU141,SPMW!AU141,SSEH!AU141,SSES!AU141)</f>
        <v>3.1234222211676519</v>
      </c>
      <c r="AV141" s="476">
        <f>CHOOSE($B$3,ENWL!AV141,NPgN!AV141,NPgY!AV141,WMID!AV141,EMID!AV141,SWALES!AV141,SWEST!AV141,LPN!AV141,SPN!AV141,EPN!AV141,SPD!AV141,SPMW!AV141,SSEH!AV141,SSES!AV141)</f>
        <v>2.0638801868478822</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151</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152</v>
      </c>
      <c r="F145" s="82"/>
      <c r="G145" s="82" t="s">
        <v>105</v>
      </c>
      <c r="H145" s="82" t="s">
        <v>153</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f>CHOOSE($B$3,ENWL!AR145,NPgN!AR145,NPgY!AR145,WMID!AR145,EMID!AR145,SWALES!AR145,SWEST!AR145,LPN!AR145,SPN!AR145,EPN!AR145,SPD!AR145,SPMW!AR145,SSEH!AR145,SSES!AR145)</f>
        <v>1.4595106105592219</v>
      </c>
      <c r="AS145" s="476">
        <f>CHOOSE($B$3,ENWL!AS145,NPgN!AS145,NPgY!AS145,WMID!AS145,EMID!AS145,SWALES!AS145,SWEST!AS145,LPN!AS145,SPN!AS145,EPN!AS145,SPD!AS145,SPMW!AS145,SSEH!AS145,SSES!AS145)</f>
        <v>1.4595106105592219</v>
      </c>
      <c r="AT145" s="476">
        <f>CHOOSE($B$3,ENWL!AT145,NPgN!AT145,NPgY!AT145,WMID!AT145,EMID!AT145,SWALES!AT145,SWEST!AT145,LPN!AT145,SPN!AT145,EPN!AT145,SPD!AT145,SPMW!AT145,SSEH!AT145,SSES!AT145)</f>
        <v>1.4595106105592219</v>
      </c>
      <c r="AU145" s="476">
        <f>CHOOSE($B$3,ENWL!AU145,NPgN!AU145,NPgY!AU145,WMID!AU145,EMID!AU145,SWALES!AU145,SWEST!AU145,LPN!AU145,SPN!AU145,EPN!AU145,SPD!AU145,SPMW!AU145,SSEH!AU145,SSES!AU145)</f>
        <v>1.4595106105592219</v>
      </c>
      <c r="AV145" s="476">
        <f>CHOOSE($B$3,ENWL!AV145,NPgN!AV145,NPgY!AV145,WMID!AV145,EMID!AV145,SWALES!AV145,SWEST!AV145,LPN!AV145,SPN!AV145,EPN!AV145,SPD!AV145,SPMW!AV145,SSEH!AV145,SSES!AV145)</f>
        <v>1.4595106105592219</v>
      </c>
      <c r="AW145" s="184"/>
    </row>
    <row r="146" spans="1:49" ht="15">
      <c r="A146" s="82"/>
      <c r="B146" s="82"/>
      <c r="C146" s="82"/>
      <c r="D146" s="82"/>
      <c r="E146" s="82" t="s">
        <v>154</v>
      </c>
      <c r="F146" s="82"/>
      <c r="G146" s="82" t="s">
        <v>105</v>
      </c>
      <c r="H146" s="82" t="s">
        <v>155</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f>CHOOSE($B$3,ENWL!AR146,NPgN!AR146,NPgY!AR146,WMID!AR146,EMID!AR146,SWALES!AR146,SWEST!AR146,LPN!AR146,SPN!AR146,EPN!AR146,SPD!AR146,SPMW!AR146,SSEH!AR146,SSES!AR146)</f>
        <v>17.633146778986198</v>
      </c>
      <c r="AS146" s="476">
        <f>CHOOSE($B$3,ENWL!AS146,NPgN!AS146,NPgY!AS146,WMID!AS146,EMID!AS146,SWALES!AS146,SWEST!AS146,LPN!AS146,SPN!AS146,EPN!AS146,SPD!AS146,SPMW!AS146,SSEH!AS146,SSES!AS146)</f>
        <v>18.731910757989276</v>
      </c>
      <c r="AT146" s="476">
        <f>CHOOSE($B$3,ENWL!AT146,NPgN!AT146,NPgY!AT146,WMID!AT146,EMID!AT146,SWALES!AT146,SWEST!AT146,LPN!AT146,SPN!AT146,EPN!AT146,SPD!AT146,SPMW!AT146,SSEH!AT146,SSES!AT146)</f>
        <v>18.996992491398359</v>
      </c>
      <c r="AU146" s="476">
        <f>CHOOSE($B$3,ENWL!AU146,NPgN!AU146,NPgY!AU146,WMID!AU146,EMID!AU146,SWALES!AU146,SWEST!AU146,LPN!AU146,SPN!AU146,EPN!AU146,SPD!AU146,SPMW!AU146,SSEH!AU146,SSES!AU146)</f>
        <v>19.025331085621112</v>
      </c>
      <c r="AV146" s="476">
        <f>CHOOSE($B$3,ENWL!AV146,NPgN!AV146,NPgY!AV146,WMID!AV146,EMID!AV146,SWALES!AV146,SWEST!AV146,LPN!AV146,SPN!AV146,EPN!AV146,SPD!AV146,SPMW!AV146,SSEH!AV146,SSES!AV146)</f>
        <v>18.9732162166456</v>
      </c>
      <c r="AW146" s="184"/>
    </row>
    <row r="147" spans="1:49" ht="15">
      <c r="A147" s="82"/>
      <c r="B147" s="82"/>
      <c r="C147" s="82"/>
      <c r="D147" s="82"/>
      <c r="E147" s="82" t="s">
        <v>156</v>
      </c>
      <c r="F147" s="82"/>
      <c r="G147" s="82" t="s">
        <v>105</v>
      </c>
      <c r="H147" s="82" t="s">
        <v>157</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f>CHOOSE($B$3,ENWL!AR147,NPgN!AR147,NPgY!AR147,WMID!AR147,EMID!AR147,SWALES!AR147,SWEST!AR147,LPN!AR147,SPN!AR147,EPN!AR147,SPD!AR147,SPMW!AR147,SSEH!AR147,SSES!AR147)</f>
        <v>9.8619519740510775</v>
      </c>
      <c r="AS147" s="476">
        <f>CHOOSE($B$3,ENWL!AS147,NPgN!AS147,NPgY!AS147,WMID!AS147,EMID!AS147,SWALES!AS147,SWEST!AS147,LPN!AS147,SPN!AS147,EPN!AS147,SPD!AS147,SPMW!AS147,SSEH!AS147,SSES!AS147)</f>
        <v>9.333543372489256</v>
      </c>
      <c r="AT147" s="476">
        <f>CHOOSE($B$3,ENWL!AT147,NPgN!AT147,NPgY!AT147,WMID!AT147,EMID!AT147,SWALES!AT147,SWEST!AT147,LPN!AT147,SPN!AT147,EPN!AT147,SPD!AT147,SPMW!AT147,SSEH!AT147,SSES!AT147)</f>
        <v>9.6064885139086424</v>
      </c>
      <c r="AU147" s="476">
        <f>CHOOSE($B$3,ENWL!AU147,NPgN!AU147,NPgY!AU147,WMID!AU147,EMID!AU147,SWALES!AU147,SWEST!AU147,LPN!AU147,SPN!AU147,EPN!AU147,SPD!AU147,SPMW!AU147,SSEH!AU147,SSES!AU147)</f>
        <v>9.9165578226378717</v>
      </c>
      <c r="AV147" s="476">
        <f>CHOOSE($B$3,ENWL!AV147,NPgN!AV147,NPgY!AV147,WMID!AV147,EMID!AV147,SWALES!AV147,SWEST!AV147,LPN!AV147,SPN!AV147,EPN!AV147,SPD!AV147,SPMW!AV147,SSEH!AV147,SSES!AV147)</f>
        <v>10.183240575384069</v>
      </c>
      <c r="AW147" s="184"/>
    </row>
    <row r="148" spans="1:49" ht="15">
      <c r="A148" s="82"/>
      <c r="B148" s="82"/>
      <c r="C148" s="82"/>
      <c r="D148" s="82"/>
      <c r="E148" s="82" t="s">
        <v>158</v>
      </c>
      <c r="F148" s="82"/>
      <c r="G148" s="82" t="s">
        <v>105</v>
      </c>
      <c r="H148" s="82" t="s">
        <v>159</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f>CHOOSE($B$3,ENWL!AR148,NPgN!AR148,NPgY!AR148,WMID!AR148,EMID!AR148,SWALES!AR148,SWEST!AR148,LPN!AR148,SPN!AR148,EPN!AR148,SPD!AR148,SPMW!AR148,SSEH!AR148,SSES!AR148)</f>
        <v>1.5425606931445355</v>
      </c>
      <c r="AS148" s="476">
        <f>CHOOSE($B$3,ENWL!AS148,NPgN!AS148,NPgY!AS148,WMID!AS148,EMID!AS148,SWALES!AS148,SWEST!AS148,LPN!AS148,SPN!AS148,EPN!AS148,SPD!AS148,SPMW!AS148,SSEH!AS148,SSES!AS148)</f>
        <v>1.5425606931445355</v>
      </c>
      <c r="AT148" s="476">
        <f>CHOOSE($B$3,ENWL!AT148,NPgN!AT148,NPgY!AT148,WMID!AT148,EMID!AT148,SWALES!AT148,SWEST!AT148,LPN!AT148,SPN!AT148,EPN!AT148,SPD!AT148,SPMW!AT148,SSEH!AT148,SSES!AT148)</f>
        <v>1.5425606931445355</v>
      </c>
      <c r="AU148" s="476">
        <f>CHOOSE($B$3,ENWL!AU148,NPgN!AU148,NPgY!AU148,WMID!AU148,EMID!AU148,SWALES!AU148,SWEST!AU148,LPN!AU148,SPN!AU148,EPN!AU148,SPD!AU148,SPMW!AU148,SSEH!AU148,SSES!AU148)</f>
        <v>1.5468991450940044</v>
      </c>
      <c r="AV148" s="476">
        <f>CHOOSE($B$3,ENWL!AV148,NPgN!AV148,NPgY!AV148,WMID!AV148,EMID!AV148,SWALES!AV148,SWEST!AV148,LPN!AV148,SPN!AV148,EPN!AV148,SPD!AV148,SPMW!AV148,SSEH!AV148,SSES!AV148)</f>
        <v>1.5426248081979754</v>
      </c>
      <c r="AW148" s="184"/>
    </row>
    <row r="149" spans="1:49" ht="15">
      <c r="A149" s="82"/>
      <c r="B149" s="82"/>
      <c r="C149" s="82"/>
      <c r="D149" s="82"/>
      <c r="E149" s="82" t="s">
        <v>160</v>
      </c>
      <c r="F149" s="82"/>
      <c r="G149" s="82" t="s">
        <v>105</v>
      </c>
      <c r="H149" s="82" t="s">
        <v>161</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f>CHOOSE($B$3,ENWL!AR149,NPgN!AR149,NPgY!AR149,WMID!AR149,EMID!AR149,SWALES!AR149,SWEST!AR149,LPN!AR149,SPN!AR149,EPN!AR149,SPD!AR149,SPMW!AR149,SSEH!AR149,SSES!AR149)</f>
        <v>0.26886303637049769</v>
      </c>
      <c r="AS149" s="476">
        <f>CHOOSE($B$3,ENWL!AS149,NPgN!AS149,NPgY!AS149,WMID!AS149,EMID!AS149,SWALES!AS149,SWEST!AS149,LPN!AS149,SPN!AS149,EPN!AS149,SPD!AS149,SPMW!AS149,SSEH!AS149,SSES!AS149)</f>
        <v>0.45317844893538078</v>
      </c>
      <c r="AT149" s="476">
        <f>CHOOSE($B$3,ENWL!AT149,NPgN!AT149,NPgY!AT149,WMID!AT149,EMID!AT149,SWALES!AT149,SWEST!AT149,LPN!AT149,SPN!AT149,EPN!AT149,SPD!AT149,SPMW!AT149,SSEH!AT149,SSES!AT149)</f>
        <v>0.45317844893538073</v>
      </c>
      <c r="AU149" s="476">
        <f>CHOOSE($B$3,ENWL!AU149,NPgN!AU149,NPgY!AU149,WMID!AU149,EMID!AU149,SWALES!AU149,SWEST!AU149,LPN!AU149,SPN!AU149,EPN!AU149,SPD!AU149,SPMW!AU149,SSEH!AU149,SSES!AU149)</f>
        <v>0.45317844893538078</v>
      </c>
      <c r="AV149" s="476">
        <f>CHOOSE($B$3,ENWL!AV149,NPgN!AV149,NPgY!AV149,WMID!AV149,EMID!AV149,SWALES!AV149,SWEST!AV149,LPN!AV149,SPN!AV149,EPN!AV149,SPD!AV149,SPMW!AV149,SSEH!AV149,SSES!AV149)</f>
        <v>0.45317844893538078</v>
      </c>
      <c r="AW149" s="184"/>
    </row>
    <row r="150" spans="1:49" ht="15">
      <c r="A150" s="82"/>
      <c r="B150" s="82"/>
      <c r="C150" s="82"/>
      <c r="D150" s="82"/>
      <c r="E150" s="82" t="s">
        <v>162</v>
      </c>
      <c r="F150" s="82"/>
      <c r="G150" s="82" t="s">
        <v>105</v>
      </c>
      <c r="H150" s="82" t="s">
        <v>163</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f>CHOOSE($B$3,ENWL!AR150,NPgN!AR150,NPgY!AR150,WMID!AR150,EMID!AR150,SWALES!AR150,SWEST!AR150,LPN!AR150,SPN!AR150,EPN!AR150,SPD!AR150,SPMW!AR150,SSEH!AR150,SSES!AR150)</f>
        <v>2.8989749688509259E-2</v>
      </c>
      <c r="AS150" s="476">
        <f>CHOOSE($B$3,ENWL!AS150,NPgN!AS150,NPgY!AS150,WMID!AS150,EMID!AS150,SWALES!AS150,SWEST!AS150,LPN!AS150,SPN!AS150,EPN!AS150,SPD!AS150,SPMW!AS150,SSEH!AS150,SSES!AS150)</f>
        <v>2.9275362985932998E-2</v>
      </c>
      <c r="AT150" s="476">
        <f>CHOOSE($B$3,ENWL!AT150,NPgN!AT150,NPgY!AT150,WMID!AT150,EMID!AT150,SWALES!AT150,SWEST!AT150,LPN!AT150,SPN!AT150,EPN!AT150,SPD!AT150,SPMW!AT150,SSEH!AT150,SSES!AT150)</f>
        <v>2.9563790207469284E-2</v>
      </c>
      <c r="AU150" s="476">
        <f>CHOOSE($B$3,ENWL!AU150,NPgN!AU150,NPgY!AU150,WMID!AU150,EMID!AU150,SWALES!AU150,SWEST!AU150,LPN!AU150,SPN!AU150,EPN!AU150,SPD!AU150,SPMW!AU150,SSEH!AU150,SSES!AU150)</f>
        <v>2.985505907650839E-2</v>
      </c>
      <c r="AV150" s="476">
        <f>CHOOSE($B$3,ENWL!AV150,NPgN!AV150,NPgY!AV150,WMID!AV150,EMID!AV150,SWALES!AV150,SWEST!AV150,LPN!AV150,SPN!AV150,EPN!AV150,SPD!AV150,SPMW!AV150,SSEH!AV150,SSES!AV150)</f>
        <v>3.0149197589577438E-2</v>
      </c>
      <c r="AW150" s="184"/>
    </row>
    <row r="151" spans="1:49" ht="15">
      <c r="A151" s="82"/>
      <c r="B151" s="82"/>
      <c r="C151" s="82"/>
      <c r="D151" s="82"/>
      <c r="E151" s="82" t="s">
        <v>164</v>
      </c>
      <c r="F151" s="82"/>
      <c r="G151" s="82" t="s">
        <v>105</v>
      </c>
      <c r="H151" s="82" t="s">
        <v>165</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f>CHOOSE($B$3,ENWL!AR151,NPgN!AR151,NPgY!AR151,WMID!AR151,EMID!AR151,SWALES!AR151,SWEST!AR151,LPN!AR151,SPN!AR151,EPN!AR151,SPD!AR151,SPMW!AR151,SSEH!AR151,SSES!AR151)</f>
        <v>11.24847481786259</v>
      </c>
      <c r="AS151" s="476">
        <f>CHOOSE($B$3,ENWL!AS151,NPgN!AS151,NPgY!AS151,WMID!AS151,EMID!AS151,SWALES!AS151,SWEST!AS151,LPN!AS151,SPN!AS151,EPN!AS151,SPD!AS151,SPMW!AS151,SSEH!AS151,SSES!AS151)</f>
        <v>0.35355742461087197</v>
      </c>
      <c r="AT151" s="476">
        <f>CHOOSE($B$3,ENWL!AT151,NPgN!AT151,NPgY!AT151,WMID!AT151,EMID!AT151,SWALES!AT151,SWEST!AT151,LPN!AT151,SPN!AT151,EPN!AT151,SPD!AT151,SPMW!AT151,SSEH!AT151,SSES!AT151)</f>
        <v>0</v>
      </c>
      <c r="AU151" s="476">
        <f>CHOOSE($B$3,ENWL!AU151,NPgN!AU151,NPgY!AU151,WMID!AU151,EMID!AU151,SWALES!AU151,SWEST!AU151,LPN!AU151,SPN!AU151,EPN!AU151,SPD!AU151,SPMW!AU151,SSEH!AU151,SSES!AU151)</f>
        <v>0</v>
      </c>
      <c r="AV151" s="476">
        <f>CHOOSE($B$3,ENWL!AV151,NPgN!AV151,NPgY!AV151,WMID!AV151,EMID!AV151,SWALES!AV151,SWEST!AV151,LPN!AV151,SPN!AV151,EPN!AV151,SPD!AV151,SPMW!AV151,SSEH!AV151,SSES!AV151)</f>
        <v>0</v>
      </c>
      <c r="AW151" s="184"/>
    </row>
    <row r="152" spans="1:49" ht="15">
      <c r="A152" s="82"/>
      <c r="B152" s="82"/>
      <c r="C152" s="82"/>
      <c r="D152" s="82"/>
      <c r="E152" s="82" t="s">
        <v>166</v>
      </c>
      <c r="F152" s="82"/>
      <c r="G152" s="82" t="s">
        <v>105</v>
      </c>
      <c r="H152" s="82" t="s">
        <v>167</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f>CHOOSE($B$3,ENWL!AR152,NPgN!AR152,NPgY!AR152,WMID!AR152,EMID!AR152,SWALES!AR152,SWEST!AR152,LPN!AR152,SPN!AR152,EPN!AR152,SPD!AR152,SPMW!AR152,SSEH!AR152,SSES!AR152)</f>
        <v>0</v>
      </c>
      <c r="AS152" s="476">
        <f>CHOOSE($B$3,ENWL!AS152,NPgN!AS152,NPgY!AS152,WMID!AS152,EMID!AS152,SWALES!AS152,SWEST!AS152,LPN!AS152,SPN!AS152,EPN!AS152,SPD!AS152,SPMW!AS152,SSEH!AS152,SSES!AS152)</f>
        <v>0</v>
      </c>
      <c r="AT152" s="476">
        <f>CHOOSE($B$3,ENWL!AT152,NPgN!AT152,NPgY!AT152,WMID!AT152,EMID!AT152,SWALES!AT152,SWEST!AT152,LPN!AT152,SPN!AT152,EPN!AT152,SPD!AT152,SPMW!AT152,SSEH!AT152,SSES!AT152)</f>
        <v>0</v>
      </c>
      <c r="AU152" s="476">
        <f>CHOOSE($B$3,ENWL!AU152,NPgN!AU152,NPgY!AU152,WMID!AU152,EMID!AU152,SWALES!AU152,SWEST!AU152,LPN!AU152,SPN!AU152,EPN!AU152,SPD!AU152,SPMW!AU152,SSEH!AU152,SSES!AU152)</f>
        <v>0</v>
      </c>
      <c r="AV152" s="476">
        <f>CHOOSE($B$3,ENWL!AV152,NPgN!AV152,NPgY!AV152,WMID!AV152,EMID!AV152,SWALES!AV152,SWEST!AV152,LPN!AV152,SPN!AV152,EPN!AV152,SPD!AV152,SPMW!AV152,SSEH!AV152,SSES!AV152)</f>
        <v>0</v>
      </c>
      <c r="AW152" s="184"/>
    </row>
    <row r="153" spans="1:49" ht="15">
      <c r="A153" s="82"/>
      <c r="B153" s="82"/>
      <c r="C153" s="82"/>
      <c r="D153" s="82"/>
      <c r="E153" s="82" t="s">
        <v>168</v>
      </c>
      <c r="F153" s="82"/>
      <c r="G153" s="82" t="s">
        <v>105</v>
      </c>
      <c r="H153" s="82" t="s">
        <v>169</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f>CHOOSE($B$3,ENWL!AR153,NPgN!AR153,NPgY!AR153,WMID!AR153,EMID!AR153,SWALES!AR153,SWEST!AR153,LPN!AR153,SPN!AR153,EPN!AR153,SPD!AR153,SPMW!AR153,SSEH!AR153,SSES!AR153)</f>
        <v>5.2299114725253526</v>
      </c>
      <c r="AS153" s="476">
        <f>CHOOSE($B$3,ENWL!AS153,NPgN!AS153,NPgY!AS153,WMID!AS153,EMID!AS153,SWALES!AS153,SWEST!AS153,LPN!AS153,SPN!AS153,EPN!AS153,SPD!AS153,SPMW!AS153,SSEH!AS153,SSES!AS153)</f>
        <v>-31.882685707301704</v>
      </c>
      <c r="AT153" s="476">
        <f>CHOOSE($B$3,ENWL!AT153,NPgN!AT153,NPgY!AT153,WMID!AT153,EMID!AT153,SWALES!AT153,SWEST!AT153,LPN!AT153,SPN!AT153,EPN!AT153,SPD!AT153,SPMW!AT153,SSEH!AT153,SSES!AT153)</f>
        <v>0</v>
      </c>
      <c r="AU153" s="476">
        <f>CHOOSE($B$3,ENWL!AU153,NPgN!AU153,NPgY!AU153,WMID!AU153,EMID!AU153,SWALES!AU153,SWEST!AU153,LPN!AU153,SPN!AU153,EPN!AU153,SPD!AU153,SPMW!AU153,SSEH!AU153,SSES!AU153)</f>
        <v>0</v>
      </c>
      <c r="AV153" s="476">
        <f>CHOOSE($B$3,ENWL!AV153,NPgN!AV153,NPgY!AV153,WMID!AV153,EMID!AV153,SWALES!AV153,SWEST!AV153,LPN!AV153,SPN!AV153,EPN!AV153,SPD!AV153,SPMW!AV153,SSEH!AV153,SSES!AV153)</f>
        <v>0</v>
      </c>
      <c r="AW153" s="184"/>
    </row>
    <row r="154" spans="1:49" ht="15">
      <c r="A154" s="82"/>
      <c r="B154" s="82"/>
      <c r="C154" s="82"/>
      <c r="D154" s="82"/>
      <c r="E154" s="82" t="s">
        <v>170</v>
      </c>
      <c r="F154" s="82"/>
      <c r="G154" s="82" t="s">
        <v>105</v>
      </c>
      <c r="H154" s="82" t="s">
        <v>171</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f>CHOOSE($B$3,ENWL!AR154,NPgN!AR154,NPgY!AR154,WMID!AR154,EMID!AR154,SWALES!AR154,SWEST!AR154,LPN!AR154,SPN!AR154,EPN!AR154,SPD!AR154,SPMW!AR154,SSEH!AR154,SSES!AR154)</f>
        <v>0</v>
      </c>
      <c r="AS154" s="476">
        <f>CHOOSE($B$3,ENWL!AS154,NPgN!AS154,NPgY!AS154,WMID!AS154,EMID!AS154,SWALES!AS154,SWEST!AS154,LPN!AS154,SPN!AS154,EPN!AS154,SPD!AS154,SPMW!AS154,SSEH!AS154,SSES!AS154)</f>
        <v>0</v>
      </c>
      <c r="AT154" s="476">
        <f>CHOOSE($B$3,ENWL!AT154,NPgN!AT154,NPgY!AT154,WMID!AT154,EMID!AT154,SWALES!AT154,SWEST!AT154,LPN!AT154,SPN!AT154,EPN!AT154,SPD!AT154,SPMW!AT154,SSEH!AT154,SSES!AT154)</f>
        <v>0</v>
      </c>
      <c r="AU154" s="476">
        <f>CHOOSE($B$3,ENWL!AU154,NPgN!AU154,NPgY!AU154,WMID!AU154,EMID!AU154,SWALES!AU154,SWEST!AU154,LPN!AU154,SPN!AU154,EPN!AU154,SPD!AU154,SPMW!AU154,SSEH!AU154,SSES!AU154)</f>
        <v>0</v>
      </c>
      <c r="AV154" s="476">
        <f>CHOOSE($B$3,ENWL!AV154,NPgN!AV154,NPgY!AV154,WMID!AV154,EMID!AV154,SWALES!AV154,SWEST!AV154,LPN!AV154,SPN!AV154,EPN!AV154,SPD!AV154,SPMW!AV154,SSEH!AV154,SSES!AV154)</f>
        <v>0</v>
      </c>
      <c r="AW154" s="184"/>
    </row>
    <row r="155" spans="1:49" ht="15">
      <c r="A155" s="82"/>
      <c r="B155" s="82"/>
      <c r="C155" s="82"/>
      <c r="D155" s="82"/>
      <c r="E155" s="82" t="s">
        <v>172</v>
      </c>
      <c r="F155" s="82"/>
      <c r="G155" s="82" t="s">
        <v>105</v>
      </c>
      <c r="H155" s="82" t="s">
        <v>173</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f>CHOOSE($B$3,ENWL!AR155,NPgN!AR155,NPgY!AR155,WMID!AR155,EMID!AR155,SWALES!AR155,SWEST!AR155,LPN!AR155,SPN!AR155,EPN!AR155,SPD!AR155,SPMW!AR155,SSEH!AR155,SSES!AR155)</f>
        <v>0</v>
      </c>
      <c r="AS155" s="476">
        <f>CHOOSE($B$3,ENWL!AS155,NPgN!AS155,NPgY!AS155,WMID!AS155,EMID!AS155,SWALES!AS155,SWEST!AS155,LPN!AS155,SPN!AS155,EPN!AS155,SPD!AS155,SPMW!AS155,SSEH!AS155,SSES!AS155)</f>
        <v>0</v>
      </c>
      <c r="AT155" s="476">
        <f>CHOOSE($B$3,ENWL!AT155,NPgN!AT155,NPgY!AT155,WMID!AT155,EMID!AT155,SWALES!AT155,SWEST!AT155,LPN!AT155,SPN!AT155,EPN!AT155,SPD!AT155,SPMW!AT155,SSEH!AT155,SSES!AT155)</f>
        <v>0</v>
      </c>
      <c r="AU155" s="476">
        <f>CHOOSE($B$3,ENWL!AU155,NPgN!AU155,NPgY!AU155,WMID!AU155,EMID!AU155,SWALES!AU155,SWEST!AU155,LPN!AU155,SPN!AU155,EPN!AU155,SPD!AU155,SPMW!AU155,SSEH!AU155,SSES!AU155)</f>
        <v>0</v>
      </c>
      <c r="AV155" s="476">
        <f>CHOOSE($B$3,ENWL!AV155,NPgN!AV155,NPgY!AV155,WMID!AV155,EMID!AV155,SWALES!AV155,SWEST!AV155,LPN!AV155,SPN!AV155,EPN!AV155,SPD!AV155,SPMW!AV155,SSEH!AV155,SSES!AV155)</f>
        <v>0</v>
      </c>
      <c r="AW155" s="184"/>
    </row>
    <row r="156" spans="1:49" ht="15">
      <c r="A156" s="82"/>
      <c r="B156" s="82"/>
      <c r="C156" s="82"/>
      <c r="D156" s="82"/>
      <c r="E156" s="82" t="s">
        <v>174</v>
      </c>
      <c r="F156" s="82"/>
      <c r="G156" s="82" t="s">
        <v>105</v>
      </c>
      <c r="H156" s="82" t="s">
        <v>175</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f>CHOOSE($B$3,ENWL!AR156,NPgN!AR156,NPgY!AR156,WMID!AR156,EMID!AR156,SWALES!AR156,SWEST!AR156,LPN!AR156,SPN!AR156,EPN!AR156,SPD!AR156,SPMW!AR156,SSEH!AR156,SSES!AR156)</f>
        <v>0</v>
      </c>
      <c r="AS156" s="476">
        <f>CHOOSE($B$3,ENWL!AS156,NPgN!AS156,NPgY!AS156,WMID!AS156,EMID!AS156,SWALES!AS156,SWEST!AS156,LPN!AS156,SPN!AS156,EPN!AS156,SPD!AS156,SPMW!AS156,SSEH!AS156,SSES!AS156)</f>
        <v>0</v>
      </c>
      <c r="AT156" s="476">
        <f>CHOOSE($B$3,ENWL!AT156,NPgN!AT156,NPgY!AT156,WMID!AT156,EMID!AT156,SWALES!AT156,SWEST!AT156,LPN!AT156,SPN!AT156,EPN!AT156,SPD!AT156,SPMW!AT156,SSEH!AT156,SSES!AT156)</f>
        <v>0</v>
      </c>
      <c r="AU156" s="476">
        <f>CHOOSE($B$3,ENWL!AU156,NPgN!AU156,NPgY!AU156,WMID!AU156,EMID!AU156,SWALES!AU156,SWEST!AU156,LPN!AU156,SPN!AU156,EPN!AU156,SPD!AU156,SPMW!AU156,SSEH!AU156,SSES!AU156)</f>
        <v>0</v>
      </c>
      <c r="AV156" s="476">
        <f>CHOOSE($B$3,ENWL!AV156,NPgN!AV156,NPgY!AV156,WMID!AV156,EMID!AV156,SWALES!AV156,SWEST!AV156,LPN!AV156,SPN!AV156,EPN!AV156,SPD!AV156,SPMW!AV156,SSEH!AV156,SSES!AV156)</f>
        <v>0</v>
      </c>
      <c r="AW156" s="184"/>
    </row>
    <row r="157" spans="1:49" ht="15">
      <c r="A157" s="82"/>
      <c r="B157" s="82"/>
      <c r="C157" s="82"/>
      <c r="D157" s="82"/>
      <c r="E157" s="182" t="s">
        <v>176</v>
      </c>
      <c r="F157" s="82"/>
      <c r="G157" s="82" t="s">
        <v>105</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f>CHOOSE($B$3,ENWL!AR157,NPgN!AR157,NPgY!AR157,WMID!AR157,EMID!AR157,SWALES!AR157,SWEST!AR157,LPN!AR157,SPN!AR157,EPN!AR157,SPD!AR157,SPMW!AR157,SSEH!AR157,SSES!AR157)</f>
        <v>0</v>
      </c>
      <c r="AS157" s="476">
        <f>CHOOSE($B$3,ENWL!AS157,NPgN!AS157,NPgY!AS157,WMID!AS157,EMID!AS157,SWALES!AS157,SWEST!AS157,LPN!AS157,SPN!AS157,EPN!AS157,SPD!AS157,SPMW!AS157,SSEH!AS157,SSES!AS157)</f>
        <v>0</v>
      </c>
      <c r="AT157" s="476">
        <f>CHOOSE($B$3,ENWL!AT157,NPgN!AT157,NPgY!AT157,WMID!AT157,EMID!AT157,SWALES!AT157,SWEST!AT157,LPN!AT157,SPN!AT157,EPN!AT157,SPD!AT157,SPMW!AT157,SSEH!AT157,SSES!AT157)</f>
        <v>0</v>
      </c>
      <c r="AU157" s="476">
        <f>CHOOSE($B$3,ENWL!AU157,NPgN!AU157,NPgY!AU157,WMID!AU157,EMID!AU157,SWALES!AU157,SWEST!AU157,LPN!AU157,SPN!AU157,EPN!AU157,SPD!AU157,SPMW!AU157,SSEH!AU157,SSES!AU157)</f>
        <v>0</v>
      </c>
      <c r="AV157" s="476">
        <f>CHOOSE($B$3,ENWL!AV157,NPgN!AV157,NPgY!AV157,WMID!AV157,EMID!AV157,SWALES!AV157,SWEST!AV157,LPN!AV157,SPN!AV157,EPN!AV157,SPD!AV157,SPMW!AV157,SSEH!AV157,SSES!AV157)</f>
        <v>0</v>
      </c>
      <c r="AW157" s="184"/>
    </row>
    <row r="158" spans="1:49" ht="15">
      <c r="A158" s="82"/>
      <c r="B158" s="82"/>
      <c r="C158" s="82"/>
      <c r="D158" s="82"/>
      <c r="E158" s="182" t="s">
        <v>176</v>
      </c>
      <c r="F158" s="82"/>
      <c r="G158" s="82" t="s">
        <v>105</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f>CHOOSE($B$3,ENWL!AR158,NPgN!AR158,NPgY!AR158,WMID!AR158,EMID!AR158,SWALES!AR158,SWEST!AR158,LPN!AR158,SPN!AR158,EPN!AR158,SPD!AR158,SPMW!AR158,SSEH!AR158,SSES!AR158)</f>
        <v>0</v>
      </c>
      <c r="AS158" s="476">
        <f>CHOOSE($B$3,ENWL!AS158,NPgN!AS158,NPgY!AS158,WMID!AS158,EMID!AS158,SWALES!AS158,SWEST!AS158,LPN!AS158,SPN!AS158,EPN!AS158,SPD!AS158,SPMW!AS158,SSEH!AS158,SSES!AS158)</f>
        <v>0</v>
      </c>
      <c r="AT158" s="476">
        <f>CHOOSE($B$3,ENWL!AT158,NPgN!AT158,NPgY!AT158,WMID!AT158,EMID!AT158,SWALES!AT158,SWEST!AT158,LPN!AT158,SPN!AT158,EPN!AT158,SPD!AT158,SPMW!AT158,SSEH!AT158,SSES!AT158)</f>
        <v>0</v>
      </c>
      <c r="AU158" s="476">
        <f>CHOOSE($B$3,ENWL!AU158,NPgN!AU158,NPgY!AU158,WMID!AU158,EMID!AU158,SWALES!AU158,SWEST!AU158,LPN!AU158,SPN!AU158,EPN!AU158,SPD!AU158,SPMW!AU158,SSEH!AU158,SSES!AU158)</f>
        <v>0</v>
      </c>
      <c r="AV158" s="476">
        <f>CHOOSE($B$3,ENWL!AV158,NPgN!AV158,NPgY!AV158,WMID!AV158,EMID!AV158,SWALES!AV158,SWEST!AV158,LPN!AV158,SPN!AV158,EPN!AV158,SPD!AV158,SPMW!AV158,SSEH!AV158,SSES!AV158)</f>
        <v>0</v>
      </c>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177</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178</v>
      </c>
      <c r="F162" s="82"/>
      <c r="G162" s="82" t="s">
        <v>105</v>
      </c>
      <c r="H162" s="82" t="s">
        <v>179</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f>CHOOSE($B$3,ENWL!AR162,NPgN!AR162,NPgY!AR162,WMID!AR162,EMID!AR162,SWALES!AR162,SWEST!AR162,LPN!AR162,SPN!AR162,EPN!AR162,SPD!AR162,SPMW!AR162,SSEH!AR162,SSES!AR162)</f>
        <v>0</v>
      </c>
      <c r="AS162" s="476">
        <f>CHOOSE($B$3,ENWL!AS162,NPgN!AS162,NPgY!AS162,WMID!AS162,EMID!AS162,SWALES!AS162,SWEST!AS162,LPN!AS162,SPN!AS162,EPN!AS162,SPD!AS162,SPMW!AS162,SSEH!AS162,SSES!AS162)</f>
        <v>0</v>
      </c>
      <c r="AT162" s="476">
        <f>CHOOSE($B$3,ENWL!AT162,NPgN!AT162,NPgY!AT162,WMID!AT162,EMID!AT162,SWALES!AT162,SWEST!AT162,LPN!AT162,SPN!AT162,EPN!AT162,SPD!AT162,SPMW!AT162,SSEH!AT162,SSES!AT162)</f>
        <v>0</v>
      </c>
      <c r="AU162" s="476">
        <f>CHOOSE($B$3,ENWL!AU162,NPgN!AU162,NPgY!AU162,WMID!AU162,EMID!AU162,SWALES!AU162,SWEST!AU162,LPN!AU162,SPN!AU162,EPN!AU162,SPD!AU162,SPMW!AU162,SSEH!AU162,SSES!AU162)</f>
        <v>0</v>
      </c>
      <c r="AV162" s="476">
        <f>CHOOSE($B$3,ENWL!AV162,NPgN!AV162,NPgY!AV162,WMID!AV162,EMID!AV162,SWALES!AV162,SWEST!AV162,LPN!AV162,SPN!AV162,EPN!AV162,SPD!AV162,SPMW!AV162,SSEH!AV162,SSES!AV162)</f>
        <v>0</v>
      </c>
      <c r="AW162" s="184"/>
    </row>
    <row r="163" spans="1:49" ht="15">
      <c r="A163" s="82"/>
      <c r="B163" s="82"/>
      <c r="C163" s="82"/>
      <c r="D163" s="82"/>
      <c r="E163" s="82" t="s">
        <v>180</v>
      </c>
      <c r="F163" s="82"/>
      <c r="G163" s="82" t="s">
        <v>105</v>
      </c>
      <c r="H163" s="82" t="s">
        <v>181</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f>CHOOSE($B$3,ENWL!AR163,NPgN!AR163,NPgY!AR163,WMID!AR163,EMID!AR163,SWALES!AR163,SWEST!AR163,LPN!AR163,SPN!AR163,EPN!AR163,SPD!AR163,SPMW!AR163,SSEH!AR163,SSES!AR163)</f>
        <v>0</v>
      </c>
      <c r="AS163" s="476">
        <f>CHOOSE($B$3,ENWL!AS163,NPgN!AS163,NPgY!AS163,WMID!AS163,EMID!AS163,SWALES!AS163,SWEST!AS163,LPN!AS163,SPN!AS163,EPN!AS163,SPD!AS163,SPMW!AS163,SSEH!AS163,SSES!AS163)</f>
        <v>0</v>
      </c>
      <c r="AT163" s="476">
        <f>CHOOSE($B$3,ENWL!AT163,NPgN!AT163,NPgY!AT163,WMID!AT163,EMID!AT163,SWALES!AT163,SWEST!AT163,LPN!AT163,SPN!AT163,EPN!AT163,SPD!AT163,SPMW!AT163,SSEH!AT163,SSES!AT163)</f>
        <v>0</v>
      </c>
      <c r="AU163" s="476">
        <f>CHOOSE($B$3,ENWL!AU163,NPgN!AU163,NPgY!AU163,WMID!AU163,EMID!AU163,SWALES!AU163,SWEST!AU163,LPN!AU163,SPN!AU163,EPN!AU163,SPD!AU163,SPMW!AU163,SSEH!AU163,SSES!AU163)</f>
        <v>0</v>
      </c>
      <c r="AV163" s="476">
        <f>CHOOSE($B$3,ENWL!AV163,NPgN!AV163,NPgY!AV163,WMID!AV163,EMID!AV163,SWALES!AV163,SWEST!AV163,LPN!AV163,SPN!AV163,EPN!AV163,SPD!AV163,SPMW!AV163,SSEH!AV163,SSES!AV163)</f>
        <v>0</v>
      </c>
      <c r="AW163" s="184"/>
    </row>
    <row r="164" spans="1:49" ht="15">
      <c r="A164" s="82"/>
      <c r="B164" s="82"/>
      <c r="C164" s="82"/>
      <c r="D164" s="82"/>
      <c r="E164" s="82" t="s">
        <v>182</v>
      </c>
      <c r="F164" s="82"/>
      <c r="G164" s="82" t="s">
        <v>105</v>
      </c>
      <c r="H164" s="82" t="s">
        <v>183</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f>CHOOSE($B$3,ENWL!AR164,NPgN!AR164,NPgY!AR164,WMID!AR164,EMID!AR164,SWALES!AR164,SWEST!AR164,LPN!AR164,SPN!AR164,EPN!AR164,SPD!AR164,SPMW!AR164,SSEH!AR164,SSES!AR164)</f>
        <v>-1.3314740347543448</v>
      </c>
      <c r="AS164" s="476">
        <f>CHOOSE($B$3,ENWL!AS164,NPgN!AS164,NPgY!AS164,WMID!AS164,EMID!AS164,SWALES!AS164,SWEST!AS164,LPN!AS164,SPN!AS164,EPN!AS164,SPD!AS164,SPMW!AS164,SSEH!AS164,SSES!AS164)</f>
        <v>0</v>
      </c>
      <c r="AT164" s="476">
        <f>CHOOSE($B$3,ENWL!AT164,NPgN!AT164,NPgY!AT164,WMID!AT164,EMID!AT164,SWALES!AT164,SWEST!AT164,LPN!AT164,SPN!AT164,EPN!AT164,SPD!AT164,SPMW!AT164,SSEH!AT164,SSES!AT164)</f>
        <v>0</v>
      </c>
      <c r="AU164" s="476">
        <f>CHOOSE($B$3,ENWL!AU164,NPgN!AU164,NPgY!AU164,WMID!AU164,EMID!AU164,SWALES!AU164,SWEST!AU164,LPN!AU164,SPN!AU164,EPN!AU164,SPD!AU164,SPMW!AU164,SSEH!AU164,SSES!AU164)</f>
        <v>0</v>
      </c>
      <c r="AV164" s="476">
        <f>CHOOSE($B$3,ENWL!AV164,NPgN!AV164,NPgY!AV164,WMID!AV164,EMID!AV164,SWALES!AV164,SWEST!AV164,LPN!AV164,SPN!AV164,EPN!AV164,SPD!AV164,SPMW!AV164,SSEH!AV164,SSES!AV164)</f>
        <v>0</v>
      </c>
      <c r="AW164" s="184"/>
    </row>
    <row r="165" spans="1:49" ht="15">
      <c r="A165" s="82"/>
      <c r="B165" s="82"/>
      <c r="C165" s="82"/>
      <c r="D165" s="82"/>
      <c r="E165" s="82" t="s">
        <v>184</v>
      </c>
      <c r="F165" s="82"/>
      <c r="G165" s="82" t="s">
        <v>105</v>
      </c>
      <c r="H165" s="82" t="s">
        <v>185</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f>CHOOSE($B$3,ENWL!AR165,NPgN!AR165,NPgY!AR165,WMID!AR165,EMID!AR165,SWALES!AR165,SWEST!AR165,LPN!AR165,SPN!AR165,EPN!AR165,SPD!AR165,SPMW!AR165,SSEH!AR165,SSES!AR165)</f>
        <v>0</v>
      </c>
      <c r="AS165" s="476">
        <f>CHOOSE($B$3,ENWL!AS165,NPgN!AS165,NPgY!AS165,WMID!AS165,EMID!AS165,SWALES!AS165,SWEST!AS165,LPN!AS165,SPN!AS165,EPN!AS165,SPD!AS165,SPMW!AS165,SSEH!AS165,SSES!AS165)</f>
        <v>0</v>
      </c>
      <c r="AT165" s="476">
        <f>CHOOSE($B$3,ENWL!AT165,NPgN!AT165,NPgY!AT165,WMID!AT165,EMID!AT165,SWALES!AT165,SWEST!AT165,LPN!AT165,SPN!AT165,EPN!AT165,SPD!AT165,SPMW!AT165,SSEH!AT165,SSES!AT165)</f>
        <v>0</v>
      </c>
      <c r="AU165" s="476">
        <f>CHOOSE($B$3,ENWL!AU165,NPgN!AU165,NPgY!AU165,WMID!AU165,EMID!AU165,SWALES!AU165,SWEST!AU165,LPN!AU165,SPN!AU165,EPN!AU165,SPD!AU165,SPMW!AU165,SSEH!AU165,SSES!AU165)</f>
        <v>0</v>
      </c>
      <c r="AV165" s="476">
        <f>CHOOSE($B$3,ENWL!AV165,NPgN!AV165,NPgY!AV165,WMID!AV165,EMID!AV165,SWALES!AV165,SWEST!AV165,LPN!AV165,SPN!AV165,EPN!AV165,SPD!AV165,SPMW!AV165,SSEH!AV165,SSES!AV165)</f>
        <v>0</v>
      </c>
      <c r="AW165" s="184"/>
    </row>
    <row r="166" spans="1:49" ht="15">
      <c r="A166" s="82"/>
      <c r="B166" s="82"/>
      <c r="C166" s="82"/>
      <c r="D166" s="82"/>
      <c r="E166" s="82" t="s">
        <v>186</v>
      </c>
      <c r="F166" s="82"/>
      <c r="G166" s="82" t="s">
        <v>105</v>
      </c>
      <c r="H166" s="82" t="s">
        <v>187</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f>CHOOSE($B$3,ENWL!AR166,NPgN!AR166,NPgY!AR166,WMID!AR166,EMID!AR166,SWALES!AR166,SWEST!AR166,LPN!AR166,SPN!AR166,EPN!AR166,SPD!AR166,SPMW!AR166,SSEH!AR166,SSES!AR166)</f>
        <v>0</v>
      </c>
      <c r="AS166" s="476">
        <f>CHOOSE($B$3,ENWL!AS166,NPgN!AS166,NPgY!AS166,WMID!AS166,EMID!AS166,SWALES!AS166,SWEST!AS166,LPN!AS166,SPN!AS166,EPN!AS166,SPD!AS166,SPMW!AS166,SSEH!AS166,SSES!AS166)</f>
        <v>0</v>
      </c>
      <c r="AT166" s="476">
        <f>CHOOSE($B$3,ENWL!AT166,NPgN!AT166,NPgY!AT166,WMID!AT166,EMID!AT166,SWALES!AT166,SWEST!AT166,LPN!AT166,SPN!AT166,EPN!AT166,SPD!AT166,SPMW!AT166,SSEH!AT166,SSES!AT166)</f>
        <v>0</v>
      </c>
      <c r="AU166" s="476">
        <f>CHOOSE($B$3,ENWL!AU166,NPgN!AU166,NPgY!AU166,WMID!AU166,EMID!AU166,SWALES!AU166,SWEST!AU166,LPN!AU166,SPN!AU166,EPN!AU166,SPD!AU166,SPMW!AU166,SSEH!AU166,SSES!AU166)</f>
        <v>0</v>
      </c>
      <c r="AV166" s="476">
        <f>CHOOSE($B$3,ENWL!AV166,NPgN!AV166,NPgY!AV166,WMID!AV166,EMID!AV166,SWALES!AV166,SWEST!AV166,LPN!AV166,SPN!AV166,EPN!AV166,SPD!AV166,SPMW!AV166,SSEH!AV166,SSES!AV166)</f>
        <v>0</v>
      </c>
      <c r="AW166" s="184"/>
    </row>
    <row r="167" spans="1:49" ht="15">
      <c r="A167" s="82"/>
      <c r="B167" s="82"/>
      <c r="C167" s="82"/>
      <c r="D167" s="82"/>
      <c r="E167" s="82" t="s">
        <v>188</v>
      </c>
      <c r="F167" s="82"/>
      <c r="G167" s="82" t="s">
        <v>105</v>
      </c>
      <c r="H167" s="82" t="s">
        <v>189</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f>CHOOSE($B$3,ENWL!AR167,NPgN!AR167,NPgY!AR167,WMID!AR167,EMID!AR167,SWALES!AR167,SWEST!AR167,LPN!AR167,SPN!AR167,EPN!AR167,SPD!AR167,SPMW!AR167,SSEH!AR167,SSES!AR167)</f>
        <v>0</v>
      </c>
      <c r="AS167" s="476">
        <f>CHOOSE($B$3,ENWL!AS167,NPgN!AS167,NPgY!AS167,WMID!AS167,EMID!AS167,SWALES!AS167,SWEST!AS167,LPN!AS167,SPN!AS167,EPN!AS167,SPD!AS167,SPMW!AS167,SSEH!AS167,SSES!AS167)</f>
        <v>0</v>
      </c>
      <c r="AT167" s="476">
        <f>CHOOSE($B$3,ENWL!AT167,NPgN!AT167,NPgY!AT167,WMID!AT167,EMID!AT167,SWALES!AT167,SWEST!AT167,LPN!AT167,SPN!AT167,EPN!AT167,SPD!AT167,SPMW!AT167,SSEH!AT167,SSES!AT167)</f>
        <v>0</v>
      </c>
      <c r="AU167" s="476">
        <f>CHOOSE($B$3,ENWL!AU167,NPgN!AU167,NPgY!AU167,WMID!AU167,EMID!AU167,SWALES!AU167,SWEST!AU167,LPN!AU167,SPN!AU167,EPN!AU167,SPD!AU167,SPMW!AU167,SSEH!AU167,SSES!AU167)</f>
        <v>0</v>
      </c>
      <c r="AV167" s="476">
        <f>CHOOSE($B$3,ENWL!AV167,NPgN!AV167,NPgY!AV167,WMID!AV167,EMID!AV167,SWALES!AV167,SWEST!AV167,LPN!AV167,SPN!AV167,EPN!AV167,SPD!AV167,SPMW!AV167,SSEH!AV167,SSES!AV167)</f>
        <v>0</v>
      </c>
      <c r="AW167" s="184"/>
    </row>
    <row r="168" spans="1:49" ht="15">
      <c r="A168" s="82"/>
      <c r="B168" s="82"/>
      <c r="C168" s="82"/>
      <c r="D168" s="82"/>
      <c r="E168" s="82" t="s">
        <v>190</v>
      </c>
      <c r="F168" s="82"/>
      <c r="G168" s="82" t="s">
        <v>105</v>
      </c>
      <c r="H168" s="82" t="s">
        <v>191</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f>CHOOSE($B$3,ENWL!AR168,NPgN!AR168,NPgY!AR168,WMID!AR168,EMID!AR168,SWALES!AR168,SWEST!AR168,LPN!AR168,SPN!AR168,EPN!AR168,SPD!AR168,SPMW!AR168,SSEH!AR168,SSES!AR168)</f>
        <v>0</v>
      </c>
      <c r="AS168" s="476">
        <f>CHOOSE($B$3,ENWL!AS168,NPgN!AS168,NPgY!AS168,WMID!AS168,EMID!AS168,SWALES!AS168,SWEST!AS168,LPN!AS168,SPN!AS168,EPN!AS168,SPD!AS168,SPMW!AS168,SSEH!AS168,SSES!AS168)</f>
        <v>0</v>
      </c>
      <c r="AT168" s="476">
        <f>CHOOSE($B$3,ENWL!AT168,NPgN!AT168,NPgY!AT168,WMID!AT168,EMID!AT168,SWALES!AT168,SWEST!AT168,LPN!AT168,SPN!AT168,EPN!AT168,SPD!AT168,SPMW!AT168,SSEH!AT168,SSES!AT168)</f>
        <v>0</v>
      </c>
      <c r="AU168" s="476">
        <f>CHOOSE($B$3,ENWL!AU168,NPgN!AU168,NPgY!AU168,WMID!AU168,EMID!AU168,SWALES!AU168,SWEST!AU168,LPN!AU168,SPN!AU168,EPN!AU168,SPD!AU168,SPMW!AU168,SSEH!AU168,SSES!AU168)</f>
        <v>0</v>
      </c>
      <c r="AV168" s="476">
        <f>CHOOSE($B$3,ENWL!AV168,NPgN!AV168,NPgY!AV168,WMID!AV168,EMID!AV168,SWALES!AV168,SWEST!AV168,LPN!AV168,SPN!AV168,EPN!AV168,SPD!AV168,SPMW!AV168,SSEH!AV168,SSES!AV168)</f>
        <v>0</v>
      </c>
      <c r="AW168" s="184"/>
    </row>
    <row r="169" spans="1:49" ht="15">
      <c r="A169" s="82"/>
      <c r="B169" s="82"/>
      <c r="C169" s="82"/>
      <c r="D169" s="82"/>
      <c r="E169" s="82" t="s">
        <v>192</v>
      </c>
      <c r="F169" s="82"/>
      <c r="G169" s="82" t="s">
        <v>105</v>
      </c>
      <c r="H169" s="82" t="s">
        <v>193</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f>CHOOSE($B$3,ENWL!AR169,NPgN!AR169,NPgY!AR169,WMID!AR169,EMID!AR169,SWALES!AR169,SWEST!AR169,LPN!AR169,SPN!AR169,EPN!AR169,SPD!AR169,SPMW!AR169,SSEH!AR169,SSES!AR169)</f>
        <v>0</v>
      </c>
      <c r="AS169" s="476">
        <f>CHOOSE($B$3,ENWL!AS169,NPgN!AS169,NPgY!AS169,WMID!AS169,EMID!AS169,SWALES!AS169,SWEST!AS169,LPN!AS169,SPN!AS169,EPN!AS169,SPD!AS169,SPMW!AS169,SSEH!AS169,SSES!AS169)</f>
        <v>0</v>
      </c>
      <c r="AT169" s="476">
        <f>CHOOSE($B$3,ENWL!AT169,NPgN!AT169,NPgY!AT169,WMID!AT169,EMID!AT169,SWALES!AT169,SWEST!AT169,LPN!AT169,SPN!AT169,EPN!AT169,SPD!AT169,SPMW!AT169,SSEH!AT169,SSES!AT169)</f>
        <v>0</v>
      </c>
      <c r="AU169" s="476">
        <f>CHOOSE($B$3,ENWL!AU169,NPgN!AU169,NPgY!AU169,WMID!AU169,EMID!AU169,SWALES!AU169,SWEST!AU169,LPN!AU169,SPN!AU169,EPN!AU169,SPD!AU169,SPMW!AU169,SSEH!AU169,SSES!AU169)</f>
        <v>0</v>
      </c>
      <c r="AV169" s="476">
        <f>CHOOSE($B$3,ENWL!AV169,NPgN!AV169,NPgY!AV169,WMID!AV169,EMID!AV169,SWALES!AV169,SWEST!AV169,LPN!AV169,SPN!AV169,EPN!AV169,SPD!AV169,SPMW!AV169,SSEH!AV169,SSES!AV169)</f>
        <v>0</v>
      </c>
      <c r="AW169" s="184"/>
    </row>
    <row r="170" spans="1:49" ht="15">
      <c r="A170" s="82"/>
      <c r="B170" s="82"/>
      <c r="C170" s="82"/>
      <c r="D170" s="82"/>
      <c r="E170" s="182" t="s">
        <v>176</v>
      </c>
      <c r="F170" s="82"/>
      <c r="G170" s="82" t="s">
        <v>105</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f>CHOOSE($B$3,ENWL!AR170,NPgN!AR170,NPgY!AR170,WMID!AR170,EMID!AR170,SWALES!AR170,SWEST!AR170,LPN!AR170,SPN!AR170,EPN!AR170,SPD!AR170,SPMW!AR170,SSEH!AR170,SSES!AR170)</f>
        <v>0</v>
      </c>
      <c r="AS170" s="476">
        <f>CHOOSE($B$3,ENWL!AS170,NPgN!AS170,NPgY!AS170,WMID!AS170,EMID!AS170,SWALES!AS170,SWEST!AS170,LPN!AS170,SPN!AS170,EPN!AS170,SPD!AS170,SPMW!AS170,SSEH!AS170,SSES!AS170)</f>
        <v>0</v>
      </c>
      <c r="AT170" s="476">
        <f>CHOOSE($B$3,ENWL!AT170,NPgN!AT170,NPgY!AT170,WMID!AT170,EMID!AT170,SWALES!AT170,SWEST!AT170,LPN!AT170,SPN!AT170,EPN!AT170,SPD!AT170,SPMW!AT170,SSEH!AT170,SSES!AT170)</f>
        <v>0</v>
      </c>
      <c r="AU170" s="476">
        <f>CHOOSE($B$3,ENWL!AU170,NPgN!AU170,NPgY!AU170,WMID!AU170,EMID!AU170,SWALES!AU170,SWEST!AU170,LPN!AU170,SPN!AU170,EPN!AU170,SPD!AU170,SPMW!AU170,SSEH!AU170,SSES!AU170)</f>
        <v>0</v>
      </c>
      <c r="AV170" s="476">
        <f>CHOOSE($B$3,ENWL!AV170,NPgN!AV170,NPgY!AV170,WMID!AV170,EMID!AV170,SWALES!AV170,SWEST!AV170,LPN!AV170,SPN!AV170,EPN!AV170,SPD!AV170,SPMW!AV170,SSEH!AV170,SSES!AV170)</f>
        <v>0</v>
      </c>
      <c r="AW170" s="184"/>
    </row>
    <row r="171" spans="1:49" ht="15">
      <c r="A171" s="82"/>
      <c r="B171" s="82"/>
      <c r="C171" s="82"/>
      <c r="D171" s="82"/>
      <c r="E171" s="182" t="s">
        <v>176</v>
      </c>
      <c r="F171" s="82"/>
      <c r="G171" s="82" t="s">
        <v>105</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f>CHOOSE($B$3,ENWL!AR171,NPgN!AR171,NPgY!AR171,WMID!AR171,EMID!AR171,SWALES!AR171,SWEST!AR171,LPN!AR171,SPN!AR171,EPN!AR171,SPD!AR171,SPMW!AR171,SSEH!AR171,SSES!AR171)</f>
        <v>0</v>
      </c>
      <c r="AS171" s="476">
        <f>CHOOSE($B$3,ENWL!AS171,NPgN!AS171,NPgY!AS171,WMID!AS171,EMID!AS171,SWALES!AS171,SWEST!AS171,LPN!AS171,SPN!AS171,EPN!AS171,SPD!AS171,SPMW!AS171,SSEH!AS171,SSES!AS171)</f>
        <v>0</v>
      </c>
      <c r="AT171" s="476">
        <f>CHOOSE($B$3,ENWL!AT171,NPgN!AT171,NPgY!AT171,WMID!AT171,EMID!AT171,SWALES!AT171,SWEST!AT171,LPN!AT171,SPN!AT171,EPN!AT171,SPD!AT171,SPMW!AT171,SSEH!AT171,SSES!AT171)</f>
        <v>0</v>
      </c>
      <c r="AU171" s="476">
        <f>CHOOSE($B$3,ENWL!AU171,NPgN!AU171,NPgY!AU171,WMID!AU171,EMID!AU171,SWALES!AU171,SWEST!AU171,LPN!AU171,SPN!AU171,EPN!AU171,SPD!AU171,SPMW!AU171,SSEH!AU171,SSES!AU171)</f>
        <v>0</v>
      </c>
      <c r="AV171" s="476">
        <f>CHOOSE($B$3,ENWL!AV171,NPgN!AV171,NPgY!AV171,WMID!AV171,EMID!AV171,SWALES!AV171,SWEST!AV171,LPN!AV171,SPN!AV171,EPN!AV171,SPD!AV171,SPMW!AV171,SSEH!AV171,SSES!AV171)</f>
        <v>0</v>
      </c>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194</v>
      </c>
      <c r="F173" s="82"/>
      <c r="G173" s="82" t="s">
        <v>105</v>
      </c>
      <c r="H173" s="82" t="s">
        <v>195</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f>CHOOSE($B$3,ENWL!AR173,NPgN!AR173,NPgY!AR173,WMID!AR173,EMID!AR173,SWALES!AR173,SWEST!AR173,LPN!AR173,SPN!AR173,EPN!AR173,SPD!AR173,SPMW!AR173,SSEH!AR173,SSES!AR173)</f>
        <v>0</v>
      </c>
      <c r="AS173" s="476">
        <f>CHOOSE($B$3,ENWL!AS173,NPgN!AS173,NPgY!AS173,WMID!AS173,EMID!AS173,SWALES!AS173,SWEST!AS173,LPN!AS173,SPN!AS173,EPN!AS173,SPD!AS173,SPMW!AS173,SSEH!AS173,SSES!AS173)</f>
        <v>0</v>
      </c>
      <c r="AT173" s="476">
        <f>CHOOSE($B$3,ENWL!AT173,NPgN!AT173,NPgY!AT173,WMID!AT173,EMID!AT173,SWALES!AT173,SWEST!AT173,LPN!AT173,SPN!AT173,EPN!AT173,SPD!AT173,SPMW!AT173,SSEH!AT173,SSES!AT173)</f>
        <v>0</v>
      </c>
      <c r="AU173" s="476">
        <f>CHOOSE($B$3,ENWL!AU173,NPgN!AU173,NPgY!AU173,WMID!AU173,EMID!AU173,SWALES!AU173,SWEST!AU173,LPN!AU173,SPN!AU173,EPN!AU173,SPD!AU173,SPMW!AU173,SSEH!AU173,SSES!AU173)</f>
        <v>0</v>
      </c>
      <c r="AV173" s="476">
        <f>CHOOSE($B$3,ENWL!AV173,NPgN!AV173,NPgY!AV173,WMID!AV173,EMID!AV173,SWALES!AV173,SWEST!AV173,LPN!AV173,SPN!AV173,EPN!AV173,SPD!AV173,SPMW!AV173,SSEH!AV173,SSES!AV173)</f>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3</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196</v>
      </c>
      <c r="F177" s="82"/>
      <c r="G177" s="82" t="s">
        <v>105</v>
      </c>
      <c r="H177" s="82" t="s">
        <v>197</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f>CHOOSE($B$3,ENWL!AR177,NPgN!AR177,NPgY!AR177,WMID!AR177,EMID!AR177,SWALES!AR177,SWEST!AR177,LPN!AR177,SPN!AR177,EPN!AR177,SPD!AR177,SPMW!AR177,SSEH!AR177,SSES!AR177)</f>
        <v>0.64894579200000002</v>
      </c>
      <c r="AS177" s="476">
        <f>CHOOSE($B$3,ENWL!AS177,NPgN!AS177,NPgY!AS177,WMID!AS177,EMID!AS177,SWALES!AS177,SWEST!AS177,LPN!AS177,SPN!AS177,EPN!AS177,SPD!AS177,SPMW!AS177,SSEH!AS177,SSES!AS177)</f>
        <v>0.64894579200000002</v>
      </c>
      <c r="AT177" s="476">
        <f>CHOOSE($B$3,ENWL!AT177,NPgN!AT177,NPgY!AT177,WMID!AT177,EMID!AT177,SWALES!AT177,SWEST!AT177,LPN!AT177,SPN!AT177,EPN!AT177,SPD!AT177,SPMW!AT177,SSEH!AT177,SSES!AT177)</f>
        <v>0.64894579200000002</v>
      </c>
      <c r="AU177" s="476">
        <f>CHOOSE($B$3,ENWL!AU177,NPgN!AU177,NPgY!AU177,WMID!AU177,EMID!AU177,SWALES!AU177,SWEST!AU177,LPN!AU177,SPN!AU177,EPN!AU177,SPD!AU177,SPMW!AU177,SSEH!AU177,SSES!AU177)</f>
        <v>0.64894579200000002</v>
      </c>
      <c r="AV177" s="476">
        <f>CHOOSE($B$3,ENWL!AV177,NPgN!AV177,NPgY!AV177,WMID!AV177,EMID!AV177,SWALES!AV177,SWEST!AV177,LPN!AV177,SPN!AV177,EPN!AV177,SPD!AV177,SPMW!AV177,SSEH!AV177,SSES!AV177)</f>
        <v>0.60421683200000009</v>
      </c>
      <c r="AW177" s="184"/>
    </row>
    <row r="178" spans="1:49" ht="15">
      <c r="A178" s="82"/>
      <c r="B178" s="82"/>
      <c r="C178" s="82"/>
      <c r="D178" s="82"/>
      <c r="E178" s="82" t="s">
        <v>198</v>
      </c>
      <c r="F178" s="82"/>
      <c r="G178" s="82" t="s">
        <v>105</v>
      </c>
      <c r="H178" s="82" t="s">
        <v>199</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f>CHOOSE($B$3,ENWL!AR178,NPgN!AR178,NPgY!AR178,WMID!AR178,EMID!AR178,SWALES!AR178,SWEST!AR178,LPN!AR178,SPN!AR178,EPN!AR178,SPD!AR178,SPMW!AR178,SSEH!AR178,SSES!AR178)</f>
        <v>0.40313568928037186</v>
      </c>
      <c r="AS178" s="476">
        <f>CHOOSE($B$3,ENWL!AS178,NPgN!AS178,NPgY!AS178,WMID!AS178,EMID!AS178,SWALES!AS178,SWEST!AS178,LPN!AS178,SPN!AS178,EPN!AS178,SPD!AS178,SPMW!AS178,SSEH!AS178,SSES!AS178)</f>
        <v>0</v>
      </c>
      <c r="AT178" s="476">
        <f>CHOOSE($B$3,ENWL!AT178,NPgN!AT178,NPgY!AT178,WMID!AT178,EMID!AT178,SWALES!AT178,SWEST!AT178,LPN!AT178,SPN!AT178,EPN!AT178,SPD!AT178,SPMW!AT178,SSEH!AT178,SSES!AT178)</f>
        <v>0</v>
      </c>
      <c r="AU178" s="476">
        <f>CHOOSE($B$3,ENWL!AU178,NPgN!AU178,NPgY!AU178,WMID!AU178,EMID!AU178,SWALES!AU178,SWEST!AU178,LPN!AU178,SPN!AU178,EPN!AU178,SPD!AU178,SPMW!AU178,SSEH!AU178,SSES!AU178)</f>
        <v>0</v>
      </c>
      <c r="AV178" s="476">
        <f>CHOOSE($B$3,ENWL!AV178,NPgN!AV178,NPgY!AV178,WMID!AV178,EMID!AV178,SWALES!AV178,SWEST!AV178,LPN!AV178,SPN!AV178,EPN!AV178,SPD!AV178,SPMW!AV178,SSEH!AV178,SSES!AV178)</f>
        <v>0</v>
      </c>
      <c r="AW178" s="184"/>
    </row>
    <row r="179" spans="1:49" ht="15">
      <c r="A179" s="82"/>
      <c r="B179" s="82"/>
      <c r="C179" s="82"/>
      <c r="D179" s="82"/>
      <c r="E179" s="82" t="s">
        <v>200</v>
      </c>
      <c r="F179" s="82"/>
      <c r="G179" s="82" t="s">
        <v>105</v>
      </c>
      <c r="H179" s="82" t="s">
        <v>201</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f>CHOOSE($B$3,ENWL!AR179,NPgN!AR179,NPgY!AR179,WMID!AR179,EMID!AR179,SWALES!AR179,SWEST!AR179,LPN!AR179,SPN!AR179,EPN!AR179,SPD!AR179,SPMW!AR179,SSEH!AR179,SSES!AR179)</f>
        <v>0</v>
      </c>
      <c r="AS179" s="476">
        <f>CHOOSE($B$3,ENWL!AS179,NPgN!AS179,NPgY!AS179,WMID!AS179,EMID!AS179,SWALES!AS179,SWEST!AS179,LPN!AS179,SPN!AS179,EPN!AS179,SPD!AS179,SPMW!AS179,SSEH!AS179,SSES!AS179)</f>
        <v>0</v>
      </c>
      <c r="AT179" s="476">
        <f>CHOOSE($B$3,ENWL!AT179,NPgN!AT179,NPgY!AT179,WMID!AT179,EMID!AT179,SWALES!AT179,SWEST!AT179,LPN!AT179,SPN!AT179,EPN!AT179,SPD!AT179,SPMW!AT179,SSEH!AT179,SSES!AT179)</f>
        <v>0</v>
      </c>
      <c r="AU179" s="476">
        <f>CHOOSE($B$3,ENWL!AU179,NPgN!AU179,NPgY!AU179,WMID!AU179,EMID!AU179,SWALES!AU179,SWEST!AU179,LPN!AU179,SPN!AU179,EPN!AU179,SPD!AU179,SPMW!AU179,SSEH!AU179,SSES!AU179)</f>
        <v>0</v>
      </c>
      <c r="AV179" s="476">
        <f>CHOOSE($B$3,ENWL!AV179,NPgN!AV179,NPgY!AV179,WMID!AV179,EMID!AV179,SWALES!AV179,SWEST!AV179,LPN!AV179,SPN!AV179,EPN!AV179,SPD!AV179,SPMW!AV179,SSEH!AV179,SSES!AV179)</f>
        <v>0</v>
      </c>
      <c r="AW179" s="184"/>
    </row>
    <row r="180" spans="1:49" ht="15">
      <c r="A180" s="82"/>
      <c r="B180" s="82"/>
      <c r="C180" s="82"/>
      <c r="D180" s="82"/>
      <c r="E180" s="82" t="s">
        <v>202</v>
      </c>
      <c r="F180" s="82"/>
      <c r="G180" s="82" t="s">
        <v>105</v>
      </c>
      <c r="H180" s="82" t="s">
        <v>203</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f>CHOOSE($B$3,ENWL!AR180,NPgN!AR180,NPgY!AR180,WMID!AR180,EMID!AR180,SWALES!AR180,SWEST!AR180,LPN!AR180,SPN!AR180,EPN!AR180,SPD!AR180,SPMW!AR180,SSEH!AR180,SSES!AR180)</f>
        <v>0</v>
      </c>
      <c r="AS180" s="476">
        <f>CHOOSE($B$3,ENWL!AS180,NPgN!AS180,NPgY!AS180,WMID!AS180,EMID!AS180,SWALES!AS180,SWEST!AS180,LPN!AS180,SPN!AS180,EPN!AS180,SPD!AS180,SPMW!AS180,SSEH!AS180,SSES!AS180)</f>
        <v>0</v>
      </c>
      <c r="AT180" s="476">
        <f>CHOOSE($B$3,ENWL!AT180,NPgN!AT180,NPgY!AT180,WMID!AT180,EMID!AT180,SWALES!AT180,SWEST!AT180,LPN!AT180,SPN!AT180,EPN!AT180,SPD!AT180,SPMW!AT180,SSEH!AT180,SSES!AT180)</f>
        <v>0</v>
      </c>
      <c r="AU180" s="476">
        <f>CHOOSE($B$3,ENWL!AU180,NPgN!AU180,NPgY!AU180,WMID!AU180,EMID!AU180,SWALES!AU180,SWEST!AU180,LPN!AU180,SPN!AU180,EPN!AU180,SPD!AU180,SPMW!AU180,SSEH!AU180,SSES!AU180)</f>
        <v>0</v>
      </c>
      <c r="AV180" s="476">
        <f>CHOOSE($B$3,ENWL!AV180,NPgN!AV180,NPgY!AV180,WMID!AV180,EMID!AV180,SWALES!AV180,SWEST!AV180,LPN!AV180,SPN!AV180,EPN!AV180,SPD!AV180,SPMW!AV180,SSEH!AV180,SSES!AV180)</f>
        <v>0</v>
      </c>
      <c r="AW180" s="184"/>
    </row>
    <row r="181" spans="1:49" ht="15">
      <c r="A181" s="82"/>
      <c r="B181" s="82"/>
      <c r="C181" s="82"/>
      <c r="D181" s="82"/>
      <c r="E181" s="82" t="s">
        <v>204</v>
      </c>
      <c r="F181" s="82"/>
      <c r="G181" s="82" t="s">
        <v>105</v>
      </c>
      <c r="H181" s="82" t="s">
        <v>205</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476">
        <f>CHOOSE($B$3,ENWL!AR181,NPgN!AR181,NPgY!AR181,WMID!AR181,EMID!AR181,SWALES!AR181,SWEST!AR181,LPN!AR181,SPN!AR181,EPN!AR181,SPD!AR181,SPMW!AR181,SSEH!AR181,SSES!AR181)</f>
        <v>0</v>
      </c>
      <c r="AS181" s="476">
        <f>CHOOSE($B$3,ENWL!AS181,NPgN!AS181,NPgY!AS181,WMID!AS181,EMID!AS181,SWALES!AS181,SWEST!AS181,LPN!AS181,SPN!AS181,EPN!AS181,SPD!AS181,SPMW!AS181,SSEH!AS181,SSES!AS181)</f>
        <v>0</v>
      </c>
      <c r="AT181" s="476">
        <f>CHOOSE($B$3,ENWL!AT181,NPgN!AT181,NPgY!AT181,WMID!AT181,EMID!AT181,SWALES!AT181,SWEST!AT181,LPN!AT181,SPN!AT181,EPN!AT181,SPD!AT181,SPMW!AT181,SSEH!AT181,SSES!AT181)</f>
        <v>0</v>
      </c>
      <c r="AU181" s="476">
        <f>CHOOSE($B$3,ENWL!AU181,NPgN!AU181,NPgY!AU181,WMID!AU181,EMID!AU181,SWALES!AU181,SWEST!AU181,LPN!AU181,SPN!AU181,EPN!AU181,SPD!AU181,SPMW!AU181,SSEH!AU181,SSES!AU181)</f>
        <v>0</v>
      </c>
      <c r="AV181" s="476">
        <f>CHOOSE($B$3,ENWL!AV181,NPgN!AV181,NPgY!AV181,WMID!AV181,EMID!AV181,SWALES!AV181,SWEST!AV181,LPN!AV181,SPN!AV181,EPN!AV181,SPD!AV181,SPMW!AV181,SSEH!AV181,SSES!AV181)</f>
        <v>0</v>
      </c>
      <c r="AW181" s="184"/>
    </row>
    <row r="182" spans="1:49" ht="15">
      <c r="A182" s="82"/>
      <c r="B182" s="82"/>
      <c r="C182" s="82"/>
      <c r="D182" s="82"/>
      <c r="E182" s="82" t="s">
        <v>206</v>
      </c>
      <c r="F182" s="82"/>
      <c r="G182" s="82" t="s">
        <v>105</v>
      </c>
      <c r="H182" s="82" t="s">
        <v>207</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476">
        <f>CHOOSE($B$3,ENWL!AR182,NPgN!AR182,NPgY!AR182,WMID!AR182,EMID!AR182,SWALES!AR182,SWEST!AR182,LPN!AR182,SPN!AR182,EPN!AR182,SPD!AR182,SPMW!AR182,SSEH!AR182,SSES!AR182)</f>
        <v>0</v>
      </c>
      <c r="AS182" s="476">
        <f>CHOOSE($B$3,ENWL!AS182,NPgN!AS182,NPgY!AS182,WMID!AS182,EMID!AS182,SWALES!AS182,SWEST!AS182,LPN!AS182,SPN!AS182,EPN!AS182,SPD!AS182,SPMW!AS182,SSEH!AS182,SSES!AS182)</f>
        <v>0</v>
      </c>
      <c r="AT182" s="476">
        <f>CHOOSE($B$3,ENWL!AT182,NPgN!AT182,NPgY!AT182,WMID!AT182,EMID!AT182,SWALES!AT182,SWEST!AT182,LPN!AT182,SPN!AT182,EPN!AT182,SPD!AT182,SPMW!AT182,SSEH!AT182,SSES!AT182)</f>
        <v>0</v>
      </c>
      <c r="AU182" s="476">
        <f>CHOOSE($B$3,ENWL!AU182,NPgN!AU182,NPgY!AU182,WMID!AU182,EMID!AU182,SWALES!AU182,SWEST!AU182,LPN!AU182,SPN!AU182,EPN!AU182,SPD!AU182,SPMW!AU182,SSEH!AU182,SSES!AU182)</f>
        <v>0</v>
      </c>
      <c r="AV182" s="476">
        <f>CHOOSE($B$3,ENWL!AV182,NPgN!AV182,NPgY!AV182,WMID!AV182,EMID!AV182,SWALES!AV182,SWEST!AV182,LPN!AV182,SPN!AV182,EPN!AV182,SPD!AV182,SPMW!AV182,SSEH!AV182,SSES!AV182)</f>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208</v>
      </c>
      <c r="F184" s="82"/>
      <c r="G184" s="82" t="s">
        <v>209</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f>CHOOSE($B$3,ENWL!AR184,NPgN!AR184,NPgY!AR184,WMID!AR184,EMID!AR184,SWALES!AR184,SWEST!AR184,LPN!AR184,SPN!AR184,EPN!AR184,SPD!AR184,SPMW!AR184,SSEH!AR184,SSES!AR184)</f>
        <v>1.111111</v>
      </c>
      <c r="AS184" s="207"/>
      <c r="AT184" s="207"/>
      <c r="AU184" s="207"/>
      <c r="AV184" s="207"/>
      <c r="AW184" s="184"/>
    </row>
    <row r="185" spans="1:49" ht="15">
      <c r="A185" s="82"/>
      <c r="B185" s="82"/>
      <c r="C185" s="82"/>
      <c r="D185" s="82"/>
      <c r="E185" s="82" t="s">
        <v>210</v>
      </c>
      <c r="F185" s="82"/>
      <c r="G185" s="82" t="s">
        <v>209</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f>CHOOSE($B$3,ENWL!AR185,NPgN!AR185,NPgY!AR185,WMID!AR185,EMID!AR185,SWALES!AR185,SWEST!AR185,LPN!AR185,SPN!AR185,EPN!AR185,SPD!AR185,SPMW!AR185,SSEH!AR185,SSES!AR185)</f>
        <v>1.111111</v>
      </c>
      <c r="AS185" s="207"/>
      <c r="AT185" s="207"/>
      <c r="AU185" s="207"/>
      <c r="AV185" s="207"/>
      <c r="AW185" s="184"/>
    </row>
    <row r="186" spans="1:49" ht="15">
      <c r="A186" s="82"/>
      <c r="B186" s="82"/>
      <c r="C186" s="82"/>
      <c r="D186" s="82"/>
      <c r="E186" s="82" t="s">
        <v>211</v>
      </c>
      <c r="F186" s="82"/>
      <c r="G186" s="82" t="s">
        <v>209</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f>CHOOSE($B$3,ENWL!AR186,NPgN!AR186,NPgY!AR186,WMID!AR186,EMID!AR186,SWALES!AR186,SWEST!AR186,LPN!AR186,SPN!AR186,EPN!AR186,SPD!AR186,SPMW!AR186,SSEH!AR186,SSES!AR186)</f>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212</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213</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214</v>
      </c>
      <c r="F191" s="82"/>
      <c r="G191" s="82" t="s">
        <v>105</v>
      </c>
      <c r="H191" s="82" t="s">
        <v>215</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f>CHOOSE($B$3,ENWL!AR191,NPgN!AR191,NPgY!AR191,WMID!AR191,EMID!AR191,SWALES!AR191,SWEST!AR191,LPN!AR191,SPN!AR191,EPN!AR191,SPD!AR191,SPMW!AR191,SSEH!AR191,SSES!AR191)</f>
        <v>30.382676723211503</v>
      </c>
      <c r="AS191" s="476">
        <f>CHOOSE($B$3,ENWL!AS191,NPgN!AS191,NPgY!AS191,WMID!AS191,EMID!AS191,SWALES!AS191,SWEST!AS191,LPN!AS191,SPN!AS191,EPN!AS191,SPD!AS191,SPMW!AS191,SSEH!AS191,SSES!AS191)</f>
        <v>30.354387251843882</v>
      </c>
      <c r="AT191" s="476">
        <f>CHOOSE($B$3,ENWL!AT191,NPgN!AT191,NPgY!AT191,WMID!AT191,EMID!AT191,SWALES!AT191,SWEST!AT191,LPN!AT191,SPN!AT191,EPN!AT191,SPD!AT191,SPMW!AT191,SSEH!AT191,SSES!AT191)</f>
        <v>30.422963373807043</v>
      </c>
      <c r="AU191" s="476">
        <f>CHOOSE($B$3,ENWL!AU191,NPgN!AU191,NPgY!AU191,WMID!AU191,EMID!AU191,SWALES!AU191,SWEST!AU191,LPN!AU191,SPN!AU191,EPN!AU191,SPD!AU191,SPMW!AU191,SSEH!AU191,SSES!AU191)</f>
        <v>30.569850594111124</v>
      </c>
      <c r="AV191" s="476">
        <f>CHOOSE($B$3,ENWL!AV191,NPgN!AV191,NPgY!AV191,WMID!AV191,EMID!AV191,SWALES!AV191,SWEST!AV191,LPN!AV191,SPN!AV191,EPN!AV191,SPD!AV191,SPMW!AV191,SSEH!AV191,SSES!AV191)</f>
        <v>30.782463404431688</v>
      </c>
      <c r="AW191" s="184"/>
    </row>
    <row r="192" spans="1:49" ht="15">
      <c r="A192" s="82"/>
      <c r="B192" s="82"/>
      <c r="C192" s="82"/>
      <c r="D192" s="27"/>
      <c r="E192" s="82" t="s">
        <v>216</v>
      </c>
      <c r="F192" s="82"/>
      <c r="G192" s="82" t="s">
        <v>105</v>
      </c>
      <c r="H192" s="82" t="s">
        <v>217</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f>CHOOSE($B$3,ENWL!AR192,NPgN!AR192,NPgY!AR192,WMID!AR192,EMID!AR192,SWALES!AR192,SWEST!AR192,LPN!AR192,SPN!AR192,EPN!AR192,SPD!AR192,SPMW!AR192,SSEH!AR192,SSES!AR192)</f>
        <v>-30.152701627776086</v>
      </c>
      <c r="AS192" s="476">
        <f>CHOOSE($B$3,ENWL!AS192,NPgN!AS192,NPgY!AS192,WMID!AS192,EMID!AS192,SWALES!AS192,SWEST!AS192,LPN!AS192,SPN!AS192,EPN!AS192,SPD!AS192,SPMW!AS192,SSEH!AS192,SSES!AS192)</f>
        <v>-30.126420932630207</v>
      </c>
      <c r="AT192" s="476">
        <f>CHOOSE($B$3,ENWL!AT192,NPgN!AT192,NPgY!AT192,WMID!AT192,EMID!AT192,SWALES!AT192,SWEST!AT192,LPN!AT192,SPN!AT192,EPN!AT192,SPD!AT192,SPMW!AT192,SSEH!AT192,SSES!AT192)</f>
        <v>-30.194158398737418</v>
      </c>
      <c r="AU192" s="476">
        <f>CHOOSE($B$3,ENWL!AU192,NPgN!AU192,NPgY!AU192,WMID!AU192,EMID!AU192,SWALES!AU192,SWEST!AU192,LPN!AU192,SPN!AU192,EPN!AU192,SPD!AU192,SPMW!AU192,SSEH!AU192,SSES!AU192)</f>
        <v>-30.338072363849495</v>
      </c>
      <c r="AV192" s="476">
        <f>CHOOSE($B$3,ENWL!AV192,NPgN!AV192,NPgY!AV192,WMID!AV192,EMID!AV192,SWALES!AV192,SWEST!AV192,LPN!AV192,SPN!AV192,EPN!AV192,SPD!AV192,SPMW!AV192,SSEH!AV192,SSES!AV192)</f>
        <v>-30.546116006737311</v>
      </c>
      <c r="AW192" s="184"/>
    </row>
    <row r="193" spans="1:49" ht="15">
      <c r="A193" s="82"/>
      <c r="B193" s="82"/>
      <c r="C193" s="82"/>
      <c r="D193" s="82"/>
      <c r="E193" s="82" t="s">
        <v>218</v>
      </c>
      <c r="F193" s="82"/>
      <c r="G193" s="82" t="s">
        <v>105</v>
      </c>
      <c r="H193" s="82" t="s">
        <v>219</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f>CHOOSE($B$3,ENWL!AR193,NPgN!AR193,NPgY!AR193,WMID!AR193,EMID!AR193,SWALES!AR193,SWEST!AR193,LPN!AR193,SPN!AR193,EPN!AR193,SPD!AR193,SPMW!AR193,SSEH!AR193,SSES!AR193)</f>
        <v>3.6505223470895505</v>
      </c>
      <c r="AS193" s="476">
        <f>CHOOSE($B$3,ENWL!AS193,NPgN!AS193,NPgY!AS193,WMID!AS193,EMID!AS193,SWALES!AS193,SWEST!AS193,LPN!AS193,SPN!AS193,EPN!AS193,SPD!AS193,SPMW!AS193,SSEH!AS193,SSES!AS193)</f>
        <v>3.6505223470895505</v>
      </c>
      <c r="AT193" s="476">
        <f>CHOOSE($B$3,ENWL!AT193,NPgN!AT193,NPgY!AT193,WMID!AT193,EMID!AT193,SWALES!AT193,SWEST!AT193,LPN!AT193,SPN!AT193,EPN!AT193,SPD!AT193,SPMW!AT193,SSEH!AT193,SSES!AT193)</f>
        <v>3.6505223470895505</v>
      </c>
      <c r="AU193" s="476">
        <f>CHOOSE($B$3,ENWL!AU193,NPgN!AU193,NPgY!AU193,WMID!AU193,EMID!AU193,SWALES!AU193,SWEST!AU193,LPN!AU193,SPN!AU193,EPN!AU193,SPD!AU193,SPMW!AU193,SSEH!AU193,SSES!AU193)</f>
        <v>3.6505223470895505</v>
      </c>
      <c r="AV193" s="476">
        <f>CHOOSE($B$3,ENWL!AV193,NPgN!AV193,NPgY!AV193,WMID!AV193,EMID!AV193,SWALES!AV193,SWEST!AV193,LPN!AV193,SPN!AV193,EPN!AV193,SPD!AV193,SPMW!AV193,SSEH!AV193,SSES!AV193)</f>
        <v>3.6505223470895505</v>
      </c>
      <c r="AW193" s="184"/>
    </row>
    <row r="194" spans="1:49" ht="15">
      <c r="A194" s="82"/>
      <c r="B194" s="82"/>
      <c r="C194" s="82"/>
      <c r="D194" s="82"/>
      <c r="E194" s="82" t="s">
        <v>220</v>
      </c>
      <c r="F194" s="82"/>
      <c r="G194" s="82" t="s">
        <v>105</v>
      </c>
      <c r="H194" s="82" t="s">
        <v>221</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f>CHOOSE($B$3,ENWL!AR194,NPgN!AR194,NPgY!AR194,WMID!AR194,EMID!AR194,SWALES!AR194,SWEST!AR194,LPN!AR194,SPN!AR194,EPN!AR194,SPD!AR194,SPMW!AR194,SSEH!AR194,SSES!AR194)</f>
        <v>-3.6512633256537765</v>
      </c>
      <c r="AS194" s="476">
        <f>CHOOSE($B$3,ENWL!AS194,NPgN!AS194,NPgY!AS194,WMID!AS194,EMID!AS194,SWALES!AS194,SWEST!AS194,LPN!AS194,SPN!AS194,EPN!AS194,SPD!AS194,SPMW!AS194,SSEH!AS194,SSES!AS194)</f>
        <v>-3.6512633256537765</v>
      </c>
      <c r="AT194" s="476">
        <f>CHOOSE($B$3,ENWL!AT194,NPgN!AT194,NPgY!AT194,WMID!AT194,EMID!AT194,SWALES!AT194,SWEST!AT194,LPN!AT194,SPN!AT194,EPN!AT194,SPD!AT194,SPMW!AT194,SSEH!AT194,SSES!AT194)</f>
        <v>-3.6512633256537765</v>
      </c>
      <c r="AU194" s="476">
        <f>CHOOSE($B$3,ENWL!AU194,NPgN!AU194,NPgY!AU194,WMID!AU194,EMID!AU194,SWALES!AU194,SWEST!AU194,LPN!AU194,SPN!AU194,EPN!AU194,SPD!AU194,SPMW!AU194,SSEH!AU194,SSES!AU194)</f>
        <v>-3.6512633256537765</v>
      </c>
      <c r="AV194" s="476">
        <f>CHOOSE($B$3,ENWL!AV194,NPgN!AV194,NPgY!AV194,WMID!AV194,EMID!AV194,SWALES!AV194,SWEST!AV194,LPN!AV194,SPN!AV194,EPN!AV194,SPD!AV194,SPMW!AV194,SSEH!AV194,SSES!AV194)</f>
        <v>-3.6512633256537765</v>
      </c>
      <c r="AW194" s="184"/>
    </row>
    <row r="195" spans="1:49" ht="15">
      <c r="A195" s="82"/>
      <c r="B195" s="82"/>
      <c r="C195" s="82"/>
      <c r="D195" s="82"/>
      <c r="E195" s="82" t="s">
        <v>222</v>
      </c>
      <c r="F195" s="82"/>
      <c r="G195" s="82" t="s">
        <v>105</v>
      </c>
      <c r="H195" s="82" t="s">
        <v>223</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f>CHOOSE($B$3,ENWL!AR195,NPgN!AR195,NPgY!AR195,WMID!AR195,EMID!AR195,SWALES!AR195,SWEST!AR195,LPN!AR195,SPN!AR195,EPN!AR195,SPD!AR195,SPMW!AR195,SSEH!AR195,SSES!AR195)</f>
        <v>1.5824153286714904</v>
      </c>
      <c r="AS195" s="476">
        <f>CHOOSE($B$3,ENWL!AS195,NPgN!AS195,NPgY!AS195,WMID!AS195,EMID!AS195,SWALES!AS195,SWEST!AS195,LPN!AS195,SPN!AS195,EPN!AS195,SPD!AS195,SPMW!AS195,SSEH!AS195,SSES!AS195)</f>
        <v>1.5824153286714904</v>
      </c>
      <c r="AT195" s="476">
        <f>CHOOSE($B$3,ENWL!AT195,NPgN!AT195,NPgY!AT195,WMID!AT195,EMID!AT195,SWALES!AT195,SWEST!AT195,LPN!AT195,SPN!AT195,EPN!AT195,SPD!AT195,SPMW!AT195,SSEH!AT195,SSES!AT195)</f>
        <v>1.5824153286714904</v>
      </c>
      <c r="AU195" s="476">
        <f>CHOOSE($B$3,ENWL!AU195,NPgN!AU195,NPgY!AU195,WMID!AU195,EMID!AU195,SWALES!AU195,SWEST!AU195,LPN!AU195,SPN!AU195,EPN!AU195,SPD!AU195,SPMW!AU195,SSEH!AU195,SSES!AU195)</f>
        <v>1.5824153286714904</v>
      </c>
      <c r="AV195" s="476">
        <f>CHOOSE($B$3,ENWL!AV195,NPgN!AV195,NPgY!AV195,WMID!AV195,EMID!AV195,SWALES!AV195,SWEST!AV195,LPN!AV195,SPN!AV195,EPN!AV195,SPD!AV195,SPMW!AV195,SSEH!AV195,SSES!AV195)</f>
        <v>1.5824153286714904</v>
      </c>
      <c r="AW195" s="184"/>
    </row>
    <row r="196" spans="1:49" ht="15">
      <c r="A196" s="82"/>
      <c r="B196" s="82"/>
      <c r="C196" s="82"/>
      <c r="D196" s="82"/>
      <c r="E196" s="82" t="s">
        <v>224</v>
      </c>
      <c r="F196" s="82"/>
      <c r="G196" s="82" t="s">
        <v>105</v>
      </c>
      <c r="H196" s="82" t="s">
        <v>225</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f>CHOOSE($B$3,ENWL!AR196,NPgN!AR196,NPgY!AR196,WMID!AR196,EMID!AR196,SWALES!AR196,SWEST!AR196,LPN!AR196,SPN!AR196,EPN!AR196,SPD!AR196,SPMW!AR196,SSEH!AR196,SSES!AR196)</f>
        <v>-1.3136782269317175</v>
      </c>
      <c r="AS196" s="476">
        <f>CHOOSE($B$3,ENWL!AS196,NPgN!AS196,NPgY!AS196,WMID!AS196,EMID!AS196,SWALES!AS196,SWEST!AS196,LPN!AS196,SPN!AS196,EPN!AS196,SPD!AS196,SPMW!AS196,SSEH!AS196,SSES!AS196)</f>
        <v>-1.3136782269317175</v>
      </c>
      <c r="AT196" s="476">
        <f>CHOOSE($B$3,ENWL!AT196,NPgN!AT196,NPgY!AT196,WMID!AT196,EMID!AT196,SWALES!AT196,SWEST!AT196,LPN!AT196,SPN!AT196,EPN!AT196,SPD!AT196,SPMW!AT196,SSEH!AT196,SSES!AT196)</f>
        <v>-1.3136782269317175</v>
      </c>
      <c r="AU196" s="476">
        <f>CHOOSE($B$3,ENWL!AU196,NPgN!AU196,NPgY!AU196,WMID!AU196,EMID!AU196,SWALES!AU196,SWEST!AU196,LPN!AU196,SPN!AU196,EPN!AU196,SPD!AU196,SPMW!AU196,SSEH!AU196,SSES!AU196)</f>
        <v>-1.3136782269317175</v>
      </c>
      <c r="AV196" s="476">
        <f>CHOOSE($B$3,ENWL!AV196,NPgN!AV196,NPgY!AV196,WMID!AV196,EMID!AV196,SWALES!AV196,SWEST!AV196,LPN!AV196,SPN!AV196,EPN!AV196,SPD!AV196,SPMW!AV196,SSEH!AV196,SSES!AV196)</f>
        <v>-1.3136782269317175</v>
      </c>
      <c r="AW196" s="184"/>
    </row>
    <row r="197" spans="1:49" ht="15">
      <c r="A197" s="82"/>
      <c r="B197" s="82"/>
      <c r="C197" s="82"/>
      <c r="D197" s="82"/>
      <c r="E197" s="82" t="s">
        <v>226</v>
      </c>
      <c r="F197" s="82"/>
      <c r="G197" s="82" t="s">
        <v>105</v>
      </c>
      <c r="H197" s="82" t="s">
        <v>227</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f>CHOOSE($B$3,ENWL!AR197,NPgN!AR197,NPgY!AR197,WMID!AR197,EMID!AR197,SWALES!AR197,SWEST!AR197,LPN!AR197,SPN!AR197,EPN!AR197,SPD!AR197,SPMW!AR197,SSEH!AR197,SSES!AR197)</f>
        <v>0</v>
      </c>
      <c r="AS197" s="476">
        <f>CHOOSE($B$3,ENWL!AS197,NPgN!AS197,NPgY!AS197,WMID!AS197,EMID!AS197,SWALES!AS197,SWEST!AS197,LPN!AS197,SPN!AS197,EPN!AS197,SPD!AS197,SPMW!AS197,SSEH!AS197,SSES!AS197)</f>
        <v>0</v>
      </c>
      <c r="AT197" s="476">
        <f>CHOOSE($B$3,ENWL!AT197,NPgN!AT197,NPgY!AT197,WMID!AT197,EMID!AT197,SWALES!AT197,SWEST!AT197,LPN!AT197,SPN!AT197,EPN!AT197,SPD!AT197,SPMW!AT197,SSEH!AT197,SSES!AT197)</f>
        <v>0</v>
      </c>
      <c r="AU197" s="476">
        <f>CHOOSE($B$3,ENWL!AU197,NPgN!AU197,NPgY!AU197,WMID!AU197,EMID!AU197,SWALES!AU197,SWEST!AU197,LPN!AU197,SPN!AU197,EPN!AU197,SPD!AU197,SPMW!AU197,SSEH!AU197,SSES!AU197)</f>
        <v>0</v>
      </c>
      <c r="AV197" s="476">
        <f>CHOOSE($B$3,ENWL!AV197,NPgN!AV197,NPgY!AV197,WMID!AV197,EMID!AV197,SWALES!AV197,SWEST!AV197,LPN!AV197,SPN!AV197,EPN!AV197,SPD!AV197,SPMW!AV197,SSEH!AV197,SSES!AV197)</f>
        <v>0</v>
      </c>
      <c r="AW197" s="184"/>
    </row>
    <row r="198" spans="1:49" ht="15">
      <c r="A198" s="82"/>
      <c r="B198" s="82"/>
      <c r="C198" s="82"/>
      <c r="D198" s="82"/>
      <c r="E198" s="82" t="s">
        <v>228</v>
      </c>
      <c r="F198" s="82"/>
      <c r="G198" s="82" t="s">
        <v>105</v>
      </c>
      <c r="H198" s="82" t="s">
        <v>229</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f>CHOOSE($B$3,ENWL!AR198,NPgN!AR198,NPgY!AR198,WMID!AR198,EMID!AR198,SWALES!AR198,SWEST!AR198,LPN!AR198,SPN!AR198,EPN!AR198,SPD!AR198,SPMW!AR198,SSEH!AR198,SSES!AR198)</f>
        <v>0</v>
      </c>
      <c r="AS198" s="476">
        <f>CHOOSE($B$3,ENWL!AS198,NPgN!AS198,NPgY!AS198,WMID!AS198,EMID!AS198,SWALES!AS198,SWEST!AS198,LPN!AS198,SPN!AS198,EPN!AS198,SPD!AS198,SPMW!AS198,SSEH!AS198,SSES!AS198)</f>
        <v>0</v>
      </c>
      <c r="AT198" s="476">
        <f>CHOOSE($B$3,ENWL!AT198,NPgN!AT198,NPgY!AT198,WMID!AT198,EMID!AT198,SWALES!AT198,SWEST!AT198,LPN!AT198,SPN!AT198,EPN!AT198,SPD!AT198,SPMW!AT198,SSEH!AT198,SSES!AT198)</f>
        <v>0</v>
      </c>
      <c r="AU198" s="476">
        <f>CHOOSE($B$3,ENWL!AU198,NPgN!AU198,NPgY!AU198,WMID!AU198,EMID!AU198,SWALES!AU198,SWEST!AU198,LPN!AU198,SPN!AU198,EPN!AU198,SPD!AU198,SPMW!AU198,SSEH!AU198,SSES!AU198)</f>
        <v>0</v>
      </c>
      <c r="AV198" s="476">
        <f>CHOOSE($B$3,ENWL!AV198,NPgN!AV198,NPgY!AV198,WMID!AV198,EMID!AV198,SWALES!AV198,SWEST!AV198,LPN!AV198,SPN!AV198,EPN!AV198,SPD!AV198,SPMW!AV198,SSEH!AV198,SSES!AV198)</f>
        <v>0</v>
      </c>
      <c r="AW198" s="184"/>
    </row>
    <row r="199" spans="1:49" ht="15">
      <c r="A199" s="82"/>
      <c r="B199" s="82"/>
      <c r="C199" s="82"/>
      <c r="D199" s="82"/>
      <c r="E199" s="82" t="s">
        <v>230</v>
      </c>
      <c r="F199" s="82"/>
      <c r="G199" s="82" t="s">
        <v>105</v>
      </c>
      <c r="H199" s="82" t="s">
        <v>231</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f>CHOOSE($B$3,ENWL!AR199,NPgN!AR199,NPgY!AR199,WMID!AR199,EMID!AR199,SWALES!AR199,SWEST!AR199,LPN!AR199,SPN!AR199,EPN!AR199,SPD!AR199,SPMW!AR199,SSEH!AR199,SSES!AR199)</f>
        <v>0</v>
      </c>
      <c r="AS199" s="476">
        <f>CHOOSE($B$3,ENWL!AS199,NPgN!AS199,NPgY!AS199,WMID!AS199,EMID!AS199,SWALES!AS199,SWEST!AS199,LPN!AS199,SPN!AS199,EPN!AS199,SPD!AS199,SPMW!AS199,SSEH!AS199,SSES!AS199)</f>
        <v>0</v>
      </c>
      <c r="AT199" s="476">
        <f>CHOOSE($B$3,ENWL!AT199,NPgN!AT199,NPgY!AT199,WMID!AT199,EMID!AT199,SWALES!AT199,SWEST!AT199,LPN!AT199,SPN!AT199,EPN!AT199,SPD!AT199,SPMW!AT199,SSEH!AT199,SSES!AT199)</f>
        <v>0</v>
      </c>
      <c r="AU199" s="476">
        <f>CHOOSE($B$3,ENWL!AU199,NPgN!AU199,NPgY!AU199,WMID!AU199,EMID!AU199,SWALES!AU199,SWEST!AU199,LPN!AU199,SPN!AU199,EPN!AU199,SPD!AU199,SPMW!AU199,SSEH!AU199,SSES!AU199)</f>
        <v>0</v>
      </c>
      <c r="AV199" s="476">
        <f>CHOOSE($B$3,ENWL!AV199,NPgN!AV199,NPgY!AV199,WMID!AV199,EMID!AV199,SWALES!AV199,SWEST!AV199,LPN!AV199,SPN!AV199,EPN!AV199,SPD!AV199,SPMW!AV199,SSEH!AV199,SSES!AV199)</f>
        <v>0</v>
      </c>
      <c r="AW199" s="184"/>
    </row>
    <row r="200" spans="1:49" ht="15">
      <c r="A200" s="82"/>
      <c r="B200" s="82"/>
      <c r="C200" s="82"/>
      <c r="D200" s="82"/>
      <c r="E200" s="82" t="s">
        <v>232</v>
      </c>
      <c r="F200" s="82"/>
      <c r="G200" s="82" t="s">
        <v>105</v>
      </c>
      <c r="H200" s="82" t="s">
        <v>233</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f>CHOOSE($B$3,ENWL!AR200,NPgN!AR200,NPgY!AR200,WMID!AR200,EMID!AR200,SWALES!AR200,SWEST!AR200,LPN!AR200,SPN!AR200,EPN!AR200,SPD!AR200,SPMW!AR200,SSEH!AR200,SSES!AR200)</f>
        <v>0</v>
      </c>
      <c r="AS200" s="476">
        <f>CHOOSE($B$3,ENWL!AS200,NPgN!AS200,NPgY!AS200,WMID!AS200,EMID!AS200,SWALES!AS200,SWEST!AS200,LPN!AS200,SPN!AS200,EPN!AS200,SPD!AS200,SPMW!AS200,SSEH!AS200,SSES!AS200)</f>
        <v>0</v>
      </c>
      <c r="AT200" s="476">
        <f>CHOOSE($B$3,ENWL!AT200,NPgN!AT200,NPgY!AT200,WMID!AT200,EMID!AT200,SWALES!AT200,SWEST!AT200,LPN!AT200,SPN!AT200,EPN!AT200,SPD!AT200,SPMW!AT200,SSEH!AT200,SSES!AT200)</f>
        <v>0</v>
      </c>
      <c r="AU200" s="476">
        <f>CHOOSE($B$3,ENWL!AU200,NPgN!AU200,NPgY!AU200,WMID!AU200,EMID!AU200,SWALES!AU200,SWEST!AU200,LPN!AU200,SPN!AU200,EPN!AU200,SPD!AU200,SPMW!AU200,SSEH!AU200,SSES!AU200)</f>
        <v>0</v>
      </c>
      <c r="AV200" s="476">
        <f>CHOOSE($B$3,ENWL!AV200,NPgN!AV200,NPgY!AV200,WMID!AV200,EMID!AV200,SWALES!AV200,SWEST!AV200,LPN!AV200,SPN!AV200,EPN!AV200,SPD!AV200,SPMW!AV200,SSEH!AV200,SSES!AV200)</f>
        <v>0</v>
      </c>
      <c r="AW200" s="184"/>
    </row>
    <row r="201" spans="1:49" ht="15">
      <c r="A201" s="82"/>
      <c r="B201" s="82"/>
      <c r="C201" s="82"/>
      <c r="D201" s="82"/>
      <c r="E201" s="82" t="s">
        <v>234</v>
      </c>
      <c r="F201" s="82"/>
      <c r="G201" s="82" t="s">
        <v>105</v>
      </c>
      <c r="H201" s="82" t="s">
        <v>235</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f>CHOOSE($B$3,ENWL!AR201,NPgN!AR201,NPgY!AR201,WMID!AR201,EMID!AR201,SWALES!AR201,SWEST!AR201,LPN!AR201,SPN!AR201,EPN!AR201,SPD!AR201,SPMW!AR201,SSEH!AR201,SSES!AR201)</f>
        <v>1.1352307266188899</v>
      </c>
      <c r="AS201" s="476">
        <f>CHOOSE($B$3,ENWL!AS201,NPgN!AS201,NPgY!AS201,WMID!AS201,EMID!AS201,SWALES!AS201,SWEST!AS201,LPN!AS201,SPN!AS201,EPN!AS201,SPD!AS201,SPMW!AS201,SSEH!AS201,SSES!AS201)</f>
        <v>0.64529761871795399</v>
      </c>
      <c r="AT201" s="476">
        <f>CHOOSE($B$3,ENWL!AT201,NPgN!AT201,NPgY!AT201,WMID!AT201,EMID!AT201,SWALES!AT201,SWEST!AT201,LPN!AT201,SPN!AT201,EPN!AT201,SPD!AT201,SPMW!AT201,SSEH!AT201,SSES!AT201)</f>
        <v>0.30960396111429667</v>
      </c>
      <c r="AU201" s="476">
        <f>CHOOSE($B$3,ENWL!AU201,NPgN!AU201,NPgY!AU201,WMID!AU201,EMID!AU201,SWALES!AU201,SWEST!AU201,LPN!AU201,SPN!AU201,EPN!AU201,SPD!AU201,SPMW!AU201,SSEH!AU201,SSES!AU201)</f>
        <v>0.10523998392586797</v>
      </c>
      <c r="AV201" s="476">
        <f>CHOOSE($B$3,ENWL!AV201,NPgN!AV201,NPgY!AV201,WMID!AV201,EMID!AV201,SWALES!AV201,SWEST!AV201,LPN!AV201,SPN!AV201,EPN!AV201,SPD!AV201,SPMW!AV201,SSEH!AV201,SSES!AV201)</f>
        <v>5.6766784139361093E-2</v>
      </c>
      <c r="AW201" s="184"/>
    </row>
    <row r="202" spans="1:49" ht="15">
      <c r="A202" s="82"/>
      <c r="B202" s="82"/>
      <c r="C202" s="82"/>
      <c r="D202" s="82"/>
      <c r="E202" s="82" t="s">
        <v>236</v>
      </c>
      <c r="F202" s="82"/>
      <c r="G202" s="82" t="s">
        <v>105</v>
      </c>
      <c r="H202" s="82" t="s">
        <v>237</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f>CHOOSE($B$3,ENWL!AR202,NPgN!AR202,NPgY!AR202,WMID!AR202,EMID!AR202,SWALES!AR202,SWEST!AR202,LPN!AR202,SPN!AR202,EPN!AR202,SPD!AR202,SPMW!AR202,SSEH!AR202,SSES!AR202)</f>
        <v>-4.5826821609020144E-2</v>
      </c>
      <c r="AS202" s="476">
        <f>CHOOSE($B$3,ENWL!AS202,NPgN!AS202,NPgY!AS202,WMID!AS202,EMID!AS202,SWALES!AS202,SWEST!AS202,LPN!AS202,SPN!AS202,EPN!AS202,SPD!AS202,SPMW!AS202,SSEH!AS202,SSES!AS202)</f>
        <v>-4.5826821609020144E-2</v>
      </c>
      <c r="AT202" s="476">
        <f>CHOOSE($B$3,ENWL!AT202,NPgN!AT202,NPgY!AT202,WMID!AT202,EMID!AT202,SWALES!AT202,SWEST!AT202,LPN!AT202,SPN!AT202,EPN!AT202,SPD!AT202,SPMW!AT202,SSEH!AT202,SSES!AT202)</f>
        <v>-4.5826821609020144E-2</v>
      </c>
      <c r="AU202" s="476">
        <f>CHOOSE($B$3,ENWL!AU202,NPgN!AU202,NPgY!AU202,WMID!AU202,EMID!AU202,SWALES!AU202,SWEST!AU202,LPN!AU202,SPN!AU202,EPN!AU202,SPD!AU202,SPMW!AU202,SSEH!AU202,SSES!AU202)</f>
        <v>-4.5826821609020144E-2</v>
      </c>
      <c r="AV202" s="476">
        <f>CHOOSE($B$3,ENWL!AV202,NPgN!AV202,NPgY!AV202,WMID!AV202,EMID!AV202,SWALES!AV202,SWEST!AV202,LPN!AV202,SPN!AV202,EPN!AV202,SPD!AV202,SPMW!AV202,SSEH!AV202,SSES!AV202)</f>
        <v>-4.5826821609020144E-2</v>
      </c>
      <c r="AW202" s="184"/>
    </row>
    <row r="203" spans="1:49" ht="15">
      <c r="A203" s="82"/>
      <c r="B203" s="82"/>
      <c r="C203" s="82"/>
      <c r="D203" s="82"/>
      <c r="E203" s="82" t="s">
        <v>238</v>
      </c>
      <c r="F203" s="82"/>
      <c r="G203" s="82" t="s">
        <v>105</v>
      </c>
      <c r="H203" s="82" t="s">
        <v>239</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f>CHOOSE($B$3,ENWL!AR203,NPgN!AR203,NPgY!AR203,WMID!AR203,EMID!AR203,SWALES!AR203,SWEST!AR203,LPN!AR203,SPN!AR203,EPN!AR203,SPD!AR203,SPMW!AR203,SSEH!AR203,SSES!AR203)</f>
        <v>0</v>
      </c>
      <c r="AS203" s="476">
        <f>CHOOSE($B$3,ENWL!AS203,NPgN!AS203,NPgY!AS203,WMID!AS203,EMID!AS203,SWALES!AS203,SWEST!AS203,LPN!AS203,SPN!AS203,EPN!AS203,SPD!AS203,SPMW!AS203,SSEH!AS203,SSES!AS203)</f>
        <v>0</v>
      </c>
      <c r="AT203" s="476">
        <f>CHOOSE($B$3,ENWL!AT203,NPgN!AT203,NPgY!AT203,WMID!AT203,EMID!AT203,SWALES!AT203,SWEST!AT203,LPN!AT203,SPN!AT203,EPN!AT203,SPD!AT203,SPMW!AT203,SSEH!AT203,SSES!AT203)</f>
        <v>0</v>
      </c>
      <c r="AU203" s="476">
        <f>CHOOSE($B$3,ENWL!AU203,NPgN!AU203,NPgY!AU203,WMID!AU203,EMID!AU203,SWALES!AU203,SWEST!AU203,LPN!AU203,SPN!AU203,EPN!AU203,SPD!AU203,SPMW!AU203,SSEH!AU203,SSES!AU203)</f>
        <v>0</v>
      </c>
      <c r="AV203" s="476">
        <f>CHOOSE($B$3,ENWL!AV203,NPgN!AV203,NPgY!AV203,WMID!AV203,EMID!AV203,SWALES!AV203,SWEST!AV203,LPN!AV203,SPN!AV203,EPN!AV203,SPD!AV203,SPMW!AV203,SSEH!AV203,SSES!AV203)</f>
        <v>0</v>
      </c>
      <c r="AW203" s="184"/>
    </row>
    <row r="204" spans="1:49" ht="15">
      <c r="A204" s="82"/>
      <c r="B204" s="82"/>
      <c r="C204" s="82"/>
      <c r="D204" s="82"/>
      <c r="E204" s="82" t="s">
        <v>240</v>
      </c>
      <c r="F204" s="82"/>
      <c r="G204" s="82" t="s">
        <v>105</v>
      </c>
      <c r="H204" s="82" t="s">
        <v>241</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f>CHOOSE($B$3,ENWL!AR204,NPgN!AR204,NPgY!AR204,WMID!AR204,EMID!AR204,SWALES!AR204,SWEST!AR204,LPN!AR204,SPN!AR204,EPN!AR204,SPD!AR204,SPMW!AR204,SSEH!AR204,SSES!AR204)</f>
        <v>0</v>
      </c>
      <c r="AS204" s="476">
        <f>CHOOSE($B$3,ENWL!AS204,NPgN!AS204,NPgY!AS204,WMID!AS204,EMID!AS204,SWALES!AS204,SWEST!AS204,LPN!AS204,SPN!AS204,EPN!AS204,SPD!AS204,SPMW!AS204,SSEH!AS204,SSES!AS204)</f>
        <v>0</v>
      </c>
      <c r="AT204" s="476">
        <f>CHOOSE($B$3,ENWL!AT204,NPgN!AT204,NPgY!AT204,WMID!AT204,EMID!AT204,SWALES!AT204,SWEST!AT204,LPN!AT204,SPN!AT204,EPN!AT204,SPD!AT204,SPMW!AT204,SSEH!AT204,SSES!AT204)</f>
        <v>0</v>
      </c>
      <c r="AU204" s="476">
        <f>CHOOSE($B$3,ENWL!AU204,NPgN!AU204,NPgY!AU204,WMID!AU204,EMID!AU204,SWALES!AU204,SWEST!AU204,LPN!AU204,SPN!AU204,EPN!AU204,SPD!AU204,SPMW!AU204,SSEH!AU204,SSES!AU204)</f>
        <v>0</v>
      </c>
      <c r="AV204" s="476">
        <f>CHOOSE($B$3,ENWL!AV204,NPgN!AV204,NPgY!AV204,WMID!AV204,EMID!AV204,SWALES!AV204,SWEST!AV204,LPN!AV204,SPN!AV204,EPN!AV204,SPD!AV204,SPMW!AV204,SSEH!AV204,SSES!AV204)</f>
        <v>0</v>
      </c>
      <c r="AW204" s="184"/>
    </row>
    <row r="205" spans="1:49" ht="15">
      <c r="A205" s="82"/>
      <c r="B205" s="82"/>
      <c r="C205" s="82"/>
      <c r="D205" s="82"/>
      <c r="E205" s="82" t="s">
        <v>242</v>
      </c>
      <c r="F205" s="82"/>
      <c r="G205" s="82" t="s">
        <v>105</v>
      </c>
      <c r="H205" s="82" t="s">
        <v>243</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f>CHOOSE($B$3,ENWL!AR205,NPgN!AR205,NPgY!AR205,WMID!AR205,EMID!AR205,SWALES!AR205,SWEST!AR205,LPN!AR205,SPN!AR205,EPN!AR205,SPD!AR205,SPMW!AR205,SSEH!AR205,SSES!AR205)</f>
        <v>3.7623428995071047E-2</v>
      </c>
      <c r="AS205" s="476">
        <f>CHOOSE($B$3,ENWL!AS205,NPgN!AS205,NPgY!AS205,WMID!AS205,EMID!AS205,SWALES!AS205,SWEST!AS205,LPN!AS205,SPN!AS205,EPN!AS205,SPD!AS205,SPMW!AS205,SSEH!AS205,SSES!AS205)</f>
        <v>3.7623428995071047E-2</v>
      </c>
      <c r="AT205" s="476">
        <f>CHOOSE($B$3,ENWL!AT205,NPgN!AT205,NPgY!AT205,WMID!AT205,EMID!AT205,SWALES!AT205,SWEST!AT205,LPN!AT205,SPN!AT205,EPN!AT205,SPD!AT205,SPMW!AT205,SSEH!AT205,SSES!AT205)</f>
        <v>3.7623428995071047E-2</v>
      </c>
      <c r="AU205" s="476">
        <f>CHOOSE($B$3,ENWL!AU205,NPgN!AU205,NPgY!AU205,WMID!AU205,EMID!AU205,SWALES!AU205,SWEST!AU205,LPN!AU205,SPN!AU205,EPN!AU205,SPD!AU205,SPMW!AU205,SSEH!AU205,SSES!AU205)</f>
        <v>3.7623428995071047E-2</v>
      </c>
      <c r="AV205" s="476">
        <f>CHOOSE($B$3,ENWL!AV205,NPgN!AV205,NPgY!AV205,WMID!AV205,EMID!AV205,SWALES!AV205,SWEST!AV205,LPN!AV205,SPN!AV205,EPN!AV205,SPD!AV205,SPMW!AV205,SSEH!AV205,SSES!AV205)</f>
        <v>3.7623428995071047E-2</v>
      </c>
      <c r="AW205" s="184"/>
    </row>
    <row r="206" spans="1:49" ht="15">
      <c r="A206" s="82"/>
      <c r="B206" s="82"/>
      <c r="C206" s="82"/>
      <c r="D206" s="82"/>
      <c r="E206" s="82" t="s">
        <v>244</v>
      </c>
      <c r="F206" s="82"/>
      <c r="G206" s="82" t="s">
        <v>105</v>
      </c>
      <c r="H206" s="82" t="s">
        <v>245</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f>CHOOSE($B$3,ENWL!AR206,NPgN!AR206,NPgY!AR206,WMID!AR206,EMID!AR206,SWALES!AR206,SWEST!AR206,LPN!AR206,SPN!AR206,EPN!AR206,SPD!AR206,SPMW!AR206,SSEH!AR206,SSES!AR206)</f>
        <v>0</v>
      </c>
      <c r="AS206" s="476">
        <f>CHOOSE($B$3,ENWL!AS206,NPgN!AS206,NPgY!AS206,WMID!AS206,EMID!AS206,SWALES!AS206,SWEST!AS206,LPN!AS206,SPN!AS206,EPN!AS206,SPD!AS206,SPMW!AS206,SSEH!AS206,SSES!AS206)</f>
        <v>0</v>
      </c>
      <c r="AT206" s="476">
        <f>CHOOSE($B$3,ENWL!AT206,NPgN!AT206,NPgY!AT206,WMID!AT206,EMID!AT206,SWALES!AT206,SWEST!AT206,LPN!AT206,SPN!AT206,EPN!AT206,SPD!AT206,SPMW!AT206,SSEH!AT206,SSES!AT206)</f>
        <v>0</v>
      </c>
      <c r="AU206" s="476">
        <f>CHOOSE($B$3,ENWL!AU206,NPgN!AU206,NPgY!AU206,WMID!AU206,EMID!AU206,SWALES!AU206,SWEST!AU206,LPN!AU206,SPN!AU206,EPN!AU206,SPD!AU206,SPMW!AU206,SSEH!AU206,SSES!AU206)</f>
        <v>0</v>
      </c>
      <c r="AV206" s="476">
        <f>CHOOSE($B$3,ENWL!AV206,NPgN!AV206,NPgY!AV206,WMID!AV206,EMID!AV206,SWALES!AV206,SWEST!AV206,LPN!AV206,SPN!AV206,EPN!AV206,SPD!AV206,SPMW!AV206,SSEH!AV206,SSES!AV206)</f>
        <v>0</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246</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247</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248</v>
      </c>
      <c r="F211" s="82"/>
      <c r="G211" s="82" t="s">
        <v>249</v>
      </c>
      <c r="H211" s="82" t="s">
        <v>250</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f>CHOOSE($B$3,ENWL!AR211,NPgN!AR211,NPgY!AR211,WMID!AR211,EMID!AR211,SWALES!AR211,SWEST!AR211,LPN!AR211,SPN!AR211,EPN!AR211,SPD!AR211,SPMW!AR211,SSEH!AR211,SSES!AR211)</f>
        <v>3.1E-2</v>
      </c>
      <c r="AS211" s="390">
        <f>CHOOSE($B$3,ENWL!AS211,NPgN!AS211,NPgY!AS211,WMID!AS211,EMID!AS211,SWALES!AS211,SWEST!AS211,LPN!AS211,SPN!AS211,EPN!AS211,SPD!AS211,SPMW!AS211,SSEH!AS211,SSES!AS211)</f>
        <v>3.1699999999999999E-2</v>
      </c>
      <c r="AT211" s="390">
        <f>CHOOSE($B$3,ENWL!AT211,NPgN!AT211,NPgY!AT211,WMID!AT211,EMID!AT211,SWALES!AT211,SWEST!AT211,LPN!AT211,SPN!AT211,EPN!AT211,SPD!AT211,SPMW!AT211,SSEH!AT211,SSES!AT211)</f>
        <v>3.2300000000000002E-2</v>
      </c>
      <c r="AU211" s="390">
        <f>CHOOSE($B$3,ENWL!AU211,NPgN!AU211,NPgY!AU211,WMID!AU211,EMID!AU211,SWALES!AU211,SWEST!AU211,LPN!AU211,SPN!AU211,EPN!AU211,SPD!AU211,SPMW!AU211,SSEH!AU211,SSES!AU211)</f>
        <v>3.2399999999999998E-2</v>
      </c>
      <c r="AV211" s="390">
        <f>CHOOSE($B$3,ENWL!AV211,NPgN!AV211,NPgY!AV211,WMID!AV211,EMID!AV211,SWALES!AV211,SWEST!AV211,LPN!AV211,SPN!AV211,EPN!AV211,SPD!AV211,SPMW!AV211,SSEH!AV211,SSES!AV211)</f>
        <v>3.2599999999999997E-2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251</v>
      </c>
      <c r="F213" s="82"/>
      <c r="G213" s="82" t="s">
        <v>249</v>
      </c>
      <c r="H213" s="82" t="s">
        <v>252</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f>CHOOSE($B$3,ENWL!AR213,NPgN!AR213,NPgY!AR213,WMID!AR213,EMID!AR213,SWALES!AR213,SWEST!AR213,LPN!AR213,SPN!AR213,EPN!AR213,SPD!AR213,SPMW!AR213,SSEH!AR213,SSES!AR213)</f>
        <v>1.46E-2</v>
      </c>
      <c r="AS213" s="390">
        <f>CHOOSE($B$3,ENWL!AS213,NPgN!AS213,NPgY!AS213,WMID!AS213,EMID!AS213,SWALES!AS213,SWEST!AS213,LPN!AS213,SPN!AS213,EPN!AS213,SPD!AS213,SPMW!AS213,SSEH!AS213,SSES!AS213)</f>
        <v>2.7199999999999998E-2</v>
      </c>
      <c r="AT213" s="390">
        <f>CHOOSE($B$3,ENWL!AT213,NPgN!AT213,NPgY!AT213,WMID!AT213,EMID!AT213,SWALES!AT213,SWEST!AT213,LPN!AT213,SPN!AT213,EPN!AT213,SPD!AT213,SPMW!AT213,SSEH!AT213,SSES!AT213)</f>
        <v>2.4299999999999999E-2</v>
      </c>
      <c r="AU213" s="390">
        <f>CHOOSE($B$3,ENWL!AU213,NPgN!AU213,NPgY!AU213,WMID!AU213,EMID!AU213,SWALES!AU213,SWEST!AU213,LPN!AU213,SPN!AU213,EPN!AU213,SPD!AU213,SPMW!AU213,SSEH!AU213,SSES!AU213)</f>
        <v>2.4899999999999999E-2</v>
      </c>
      <c r="AV213" s="390">
        <f>CHOOSE($B$3,ENWL!AV213,NPgN!AV213,NPgY!AV213,WMID!AV213,EMID!AV213,SWALES!AV213,SWEST!AV213,LPN!AV213,SPN!AV213,EPN!AV213,SPD!AV213,SPMW!AV213,SSEH!AV213,SSES!AV213)</f>
        <v>2.5600000000000001E-2</v>
      </c>
      <c r="AW213" s="184"/>
    </row>
    <row r="214" spans="1:49" ht="15">
      <c r="A214" s="82"/>
      <c r="B214" s="82"/>
      <c r="C214" s="82"/>
      <c r="D214" s="82"/>
      <c r="E214" s="82" t="s">
        <v>253</v>
      </c>
      <c r="F214" s="82"/>
      <c r="G214" s="82" t="s">
        <v>100</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f>CHOOSE($B$3,ENWL!AR214,NPgN!AR214,NPgY!AR214,WMID!AR214,EMID!AR214,SWALES!AR214,SWEST!AR214,LPN!AR214,SPN!AR214,EPN!AR214,SPD!AR214,SPMW!AR214,SSEH!AR214,SSES!AR214)</f>
        <v>0.75861000000000001</v>
      </c>
      <c r="AS214" s="409">
        <f>CHOOSE($B$3,ENWL!AS214,NPgN!AS214,NPgY!AS214,WMID!AS214,EMID!AS214,SWALES!AS214,SWEST!AS214,LPN!AS214,SPN!AS214,EPN!AS214,SPD!AS214,SPMW!AS214,SSEH!AS214,SSES!AS214)</f>
        <v>0.75861000000000001</v>
      </c>
      <c r="AT214" s="409">
        <f>CHOOSE($B$3,ENWL!AT214,NPgN!AT214,NPgY!AT214,WMID!AT214,EMID!AT214,SWALES!AT214,SWEST!AT214,LPN!AT214,SPN!AT214,EPN!AT214,SPD!AT214,SPMW!AT214,SSEH!AT214,SSES!AT214)</f>
        <v>0.75861000000000001</v>
      </c>
      <c r="AU214" s="409">
        <f>CHOOSE($B$3,ENWL!AU214,NPgN!AU214,NPgY!AU214,WMID!AU214,EMID!AU214,SWALES!AU214,SWEST!AU214,LPN!AU214,SPN!AU214,EPN!AU214,SPD!AU214,SPMW!AU214,SSEH!AU214,SSES!AU214)</f>
        <v>0.75861000000000001</v>
      </c>
      <c r="AV214" s="409">
        <f>CHOOSE($B$3,ENWL!AV214,NPgN!AV214,NPgY!AV214,WMID!AV214,EMID!AV214,SWALES!AV214,SWEST!AV214,LPN!AV214,SPN!AV214,EPN!AV214,SPD!AV214,SPMW!AV214,SSEH!AV214,SSES!AV214)</f>
        <v>0.75861000000000001</v>
      </c>
      <c r="AW214" s="184"/>
    </row>
    <row r="215" spans="1:49" ht="15">
      <c r="A215" s="82"/>
      <c r="B215" s="82"/>
      <c r="C215" s="82"/>
      <c r="D215" s="82"/>
      <c r="E215" s="82" t="s">
        <v>254</v>
      </c>
      <c r="F215" s="82"/>
      <c r="G215" s="82" t="s">
        <v>209</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f>CHOOSE($B$3,ENWL!AR215,NPgN!AR215,NPgY!AR215,WMID!AR215,EMID!AR215,SWALES!AR215,SWEST!AR215,LPN!AR215,SPN!AR215,EPN!AR215,SPD!AR215,SPMW!AR215,SSEH!AR215,SSES!AR215)</f>
        <v>6.5000000000000002E-2</v>
      </c>
      <c r="AS215" s="409">
        <f>CHOOSE($B$3,ENWL!AS215,NPgN!AS215,NPgY!AS215,WMID!AS215,EMID!AS215,SWALES!AS215,SWEST!AS215,LPN!AS215,SPN!AS215,EPN!AS215,SPD!AS215,SPMW!AS215,SSEH!AS215,SSES!AS215)</f>
        <v>6.5000000000000002E-2</v>
      </c>
      <c r="AT215" s="409">
        <f>CHOOSE($B$3,ENWL!AT215,NPgN!AT215,NPgY!AT215,WMID!AT215,EMID!AT215,SWALES!AT215,SWEST!AT215,LPN!AT215,SPN!AT215,EPN!AT215,SPD!AT215,SPMW!AT215,SSEH!AT215,SSES!AT215)</f>
        <v>6.5000000000000002E-2</v>
      </c>
      <c r="AU215" s="409">
        <f>CHOOSE($B$3,ENWL!AU215,NPgN!AU215,NPgY!AU215,WMID!AU215,EMID!AU215,SWALES!AU215,SWEST!AU215,LPN!AU215,SPN!AU215,EPN!AU215,SPD!AU215,SPMW!AU215,SSEH!AU215,SSES!AU215)</f>
        <v>6.5000000000000002E-2</v>
      </c>
      <c r="AV215" s="409">
        <f>CHOOSE($B$3,ENWL!AV215,NPgN!AV215,NPgY!AV215,WMID!AV215,EMID!AV215,SWALES!AV215,SWEST!AV215,LPN!AV215,SPN!AV215,EPN!AV215,SPD!AV215,SPMW!AV215,SSEH!AV215,SSES!AV215)</f>
        <v>6.5000000000000002E-2</v>
      </c>
      <c r="AW215" s="184"/>
    </row>
    <row r="216" spans="1:49" ht="15">
      <c r="A216" s="82"/>
      <c r="B216" s="82"/>
      <c r="C216" s="82"/>
      <c r="D216" s="82"/>
      <c r="E216" s="82" t="s">
        <v>255</v>
      </c>
      <c r="F216" s="82"/>
      <c r="G216" s="82" t="s">
        <v>209</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f>CHOOSE($B$3,ENWL!AR216,NPgN!AR216,NPgY!AR216,WMID!AR216,EMID!AR216,SWALES!AR216,SWEST!AR216,LPN!AR216,SPN!AR216,EPN!AR216,SPD!AR216,SPMW!AR216,SSEH!AR216,SSES!AR216)</f>
        <v>0.6</v>
      </c>
      <c r="AS216" s="409">
        <f>CHOOSE($B$3,ENWL!AS216,NPgN!AS216,NPgY!AS216,WMID!AS216,EMID!AS216,SWALES!AS216,SWEST!AS216,LPN!AS216,SPN!AS216,EPN!AS216,SPD!AS216,SPMW!AS216,SSEH!AS216,SSES!AS216)</f>
        <v>0.6</v>
      </c>
      <c r="AT216" s="409">
        <f>CHOOSE($B$3,ENWL!AT216,NPgN!AT216,NPgY!AT216,WMID!AT216,EMID!AT216,SWALES!AT216,SWEST!AT216,LPN!AT216,SPN!AT216,EPN!AT216,SPD!AT216,SPMW!AT216,SSEH!AT216,SSES!AT216)</f>
        <v>0.6</v>
      </c>
      <c r="AU216" s="409">
        <f>CHOOSE($B$3,ENWL!AU216,NPgN!AU216,NPgY!AU216,WMID!AU216,EMID!AU216,SWALES!AU216,SWEST!AU216,LPN!AU216,SPN!AU216,EPN!AU216,SPD!AU216,SPMW!AU216,SSEH!AU216,SSES!AU216)</f>
        <v>0.6</v>
      </c>
      <c r="AV216" s="409">
        <f>CHOOSE($B$3,ENWL!AV216,NPgN!AV216,NPgY!AV216,WMID!AV216,EMID!AV216,SWALES!AV216,SWEST!AV216,LPN!AV216,SPN!AV216,EPN!AV216,SPD!AV216,SPMW!AV216,SSEH!AV216,SSES!AV216)</f>
        <v>0.6</v>
      </c>
      <c r="AW216" s="184"/>
    </row>
    <row r="217" spans="1:49" ht="15">
      <c r="A217" s="82"/>
      <c r="B217" s="82"/>
      <c r="C217" s="82"/>
      <c r="D217" s="82"/>
      <c r="E217" s="82" t="s">
        <v>256</v>
      </c>
      <c r="F217" s="82"/>
      <c r="G217" s="82" t="s">
        <v>209</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f>CHOOSE($B$3,ENWL!AR217,NPgN!AR217,NPgY!AR217,WMID!AR217,EMID!AR217,SWALES!AR217,SWEST!AR217,LPN!AR217,SPN!AR217,EPN!AR217,SPD!AR217,SPMW!AR217,SSEH!AR217,SSES!AR217)</f>
        <v>0.6</v>
      </c>
      <c r="AS217" s="409">
        <f>CHOOSE($B$3,ENWL!AS217,NPgN!AS217,NPgY!AS217,WMID!AS217,EMID!AS217,SWALES!AS217,SWEST!AS217,LPN!AS217,SPN!AS217,EPN!AS217,SPD!AS217,SPMW!AS217,SSEH!AS217,SSES!AS217)</f>
        <v>0.6</v>
      </c>
      <c r="AT217" s="409">
        <f>CHOOSE($B$3,ENWL!AT217,NPgN!AT217,NPgY!AT217,WMID!AT217,EMID!AT217,SWALES!AT217,SWEST!AT217,LPN!AT217,SPN!AT217,EPN!AT217,SPD!AT217,SPMW!AT217,SSEH!AT217,SSES!AT217)</f>
        <v>0.6</v>
      </c>
      <c r="AU217" s="409">
        <f>CHOOSE($B$3,ENWL!AU217,NPgN!AU217,NPgY!AU217,WMID!AU217,EMID!AU217,SWALES!AU217,SWEST!AU217,LPN!AU217,SPN!AU217,EPN!AU217,SPD!AU217,SPMW!AU217,SSEH!AU217,SSES!AU217)</f>
        <v>0.6</v>
      </c>
      <c r="AV217" s="409">
        <f>CHOOSE($B$3,ENWL!AV217,NPgN!AV217,NPgY!AV217,WMID!AV217,EMID!AV217,SWALES!AV217,SWEST!AV217,LPN!AV217,SPN!AV217,EPN!AV217,SPD!AV217,SPMW!AV217,SSEH!AV217,SSES!AV217)</f>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257</v>
      </c>
      <c r="F219" s="82"/>
      <c r="G219" s="82" t="s">
        <v>249</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CHOOSE($B$3,ENWL!AJ219,NPgN!AJ219,NPgY!AJ219,WMID!AJ219,EMID!AJ219,SWALES!AJ219,SWEST!AJ219,LPN!AJ219,SPN!AJ219,EPN!AJ219,SPD!AJ219,SPMW!AJ219,SSEH!AJ219,SSES!AJ219)</f>
        <v>3.7574999999999997E-2</v>
      </c>
      <c r="AK219" s="409">
        <f>CHOOSE($B$3,ENWL!AK219,NPgN!AK219,NPgY!AK219,WMID!AK219,EMID!AK219,SWALES!AK219,SWEST!AK219,LPN!AK219,SPN!AK219,EPN!AK219,SPD!AK219,SPMW!AK219,SSEH!AK219,SSES!AK219)</f>
        <v>3.6729999999999999E-2</v>
      </c>
      <c r="AL219" s="409">
        <f>CHOOSE($B$3,ENWL!AL219,NPgN!AL219,NPgY!AL219,WMID!AL219,EMID!AL219,SWALES!AL219,SWEST!AL219,LPN!AL219,SPN!AL219,EPN!AL219,SPD!AL219,SPMW!AL219,SSEH!AL219,SSES!AL219)</f>
        <v>3.5885E-2</v>
      </c>
      <c r="AM219" s="409">
        <f>CHOOSE($B$3,ENWL!AM219,NPgN!AM219,NPgY!AM219,WMID!AM219,EMID!AM219,SWALES!AM219,SWEST!AM219,LPN!AM219,SPN!AM219,EPN!AM219,SPD!AM219,SPMW!AM219,SSEH!AM219,SSES!AM219)</f>
        <v>3.4584999999999998E-2</v>
      </c>
      <c r="AN219" s="409">
        <f>CHOOSE($B$3,ENWL!AN219,NPgN!AN219,NPgY!AN219,WMID!AN219,EMID!AN219,SWALES!AN219,SWEST!AN219,LPN!AN219,SPN!AN219,EPN!AN219,SPD!AN219,SPMW!AN219,SSEH!AN219,SSES!AN219)</f>
        <v>3.3610000000000001E-2</v>
      </c>
      <c r="AO219" s="409">
        <f>CHOOSE($B$3,ENWL!AO219,NPgN!AO219,NPgY!AO219,WMID!AO219,EMID!AO219,SWALES!AO219,SWEST!AO219,LPN!AO219,SPN!AO219,EPN!AO219,SPD!AO219,SPMW!AO219,SSEH!AO219,SSES!AO219)</f>
        <v>3.2570000000000002E-2</v>
      </c>
      <c r="AP219" s="409">
        <f>CHOOSE($B$3,ENWL!AP219,NPgN!AP219,NPgY!AP219,WMID!AP219,EMID!AP219,SWALES!AP219,SWEST!AP219,LPN!AP219,SPN!AP219,EPN!AP219,SPD!AP219,SPMW!AP219,SSEH!AP219,SSES!AP219)</f>
        <v>3.1529999999999996E-2</v>
      </c>
      <c r="AQ219" s="457">
        <f>CHOOSE($B$3,ENWL!AQ219,NPgN!AQ219,NPgY!AQ219,WMID!AQ219,EMID!AQ219,SWALES!AQ219,SWEST!AQ219,LPN!AQ219,SPN!AQ219,EPN!AQ219,SPD!AQ219,SPMW!AQ219,SSEH!AQ219,SSES!AQ219)</f>
        <v>3.0359999999999998E-2</v>
      </c>
      <c r="AR219" s="145"/>
      <c r="AS219" s="184"/>
      <c r="AT219" s="184"/>
      <c r="AU219" s="184"/>
      <c r="AV219" s="184"/>
      <c r="AW219" s="184"/>
    </row>
    <row r="220" spans="1:49" ht="15">
      <c r="A220" s="82"/>
      <c r="B220" s="82"/>
      <c r="C220" s="82"/>
      <c r="D220" s="82"/>
      <c r="E220" s="82" t="s">
        <v>258</v>
      </c>
      <c r="F220" s="82"/>
      <c r="G220" s="82" t="s">
        <v>209</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CHOOSE($B$3,ENWL!AJ220,NPgN!AJ220,NPgY!AJ220,WMID!AJ220,EMID!AJ220,SWALES!AJ220,SWEST!AJ220,LPN!AJ220,SPN!AJ220,EPN!AJ220,SPD!AJ220,SPMW!AJ220,SSEH!AJ220,SSES!AJ220)</f>
        <v>0.65</v>
      </c>
      <c r="AK220" s="410">
        <f>CHOOSE($B$3,ENWL!AK220,NPgN!AK220,NPgY!AK220,WMID!AK220,EMID!AK220,SWALES!AK220,SWEST!AK220,LPN!AK220,SPN!AK220,EPN!AK220,SPD!AK220,SPMW!AK220,SSEH!AK220,SSES!AK220)</f>
        <v>0.65</v>
      </c>
      <c r="AL220" s="410">
        <f>CHOOSE($B$3,ENWL!AL220,NPgN!AL220,NPgY!AL220,WMID!AL220,EMID!AL220,SWALES!AL220,SWEST!AL220,LPN!AL220,SPN!AL220,EPN!AL220,SPD!AL220,SPMW!AL220,SSEH!AL220,SSES!AL220)</f>
        <v>0.65</v>
      </c>
      <c r="AM220" s="410">
        <f>CHOOSE($B$3,ENWL!AM220,NPgN!AM220,NPgY!AM220,WMID!AM220,EMID!AM220,SWALES!AM220,SWEST!AM220,LPN!AM220,SPN!AM220,EPN!AM220,SPD!AM220,SPMW!AM220,SSEH!AM220,SSES!AM220)</f>
        <v>0.65</v>
      </c>
      <c r="AN220" s="410">
        <f>CHOOSE($B$3,ENWL!AN220,NPgN!AN220,NPgY!AN220,WMID!AN220,EMID!AN220,SWALES!AN220,SWEST!AN220,LPN!AN220,SPN!AN220,EPN!AN220,SPD!AN220,SPMW!AN220,SSEH!AN220,SSES!AN220)</f>
        <v>0.65</v>
      </c>
      <c r="AO220" s="410">
        <f>CHOOSE($B$3,ENWL!AO220,NPgN!AO220,NPgY!AO220,WMID!AO220,EMID!AO220,SWALES!AO220,SWEST!AO220,LPN!AO220,SPN!AO220,EPN!AO220,SPD!AO220,SPMW!AO220,SSEH!AO220,SSES!AO220)</f>
        <v>0.65</v>
      </c>
      <c r="AP220" s="410">
        <f>CHOOSE($B$3,ENWL!AP220,NPgN!AP220,NPgY!AP220,WMID!AP220,EMID!AP220,SWALES!AP220,SWEST!AP220,LPN!AP220,SPN!AP220,EPN!AP220,SPD!AP220,SPMW!AP220,SSEH!AP220,SSES!AP220)</f>
        <v>0.65</v>
      </c>
      <c r="AQ220" s="456">
        <f>CHOOSE($B$3,ENWL!AQ220,NPgN!AQ220,NPgY!AQ220,WMID!AQ220,EMID!AQ220,SWALES!AQ220,SWEST!AQ220,LPN!AQ220,SPN!AQ220,EPN!AQ220,SPD!AQ220,SPMW!AQ220,SSEH!AQ220,SSES!AQ220)</f>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259</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260</v>
      </c>
      <c r="F223" s="82"/>
      <c r="G223" s="82" t="s">
        <v>209</v>
      </c>
      <c r="H223" s="82" t="s">
        <v>261</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f>CHOOSE($B$3,ENWL!AR223,NPgN!AR223,NPgY!AR223,WMID!AR223,EMID!AR223,SWALES!AR223,SWEST!AR223,LPN!AR223,SPN!AR223,EPN!AR223,SPD!AR223,SPMW!AR223,SSEH!AR223,SSES!AR223)</f>
        <v>0.9919</v>
      </c>
      <c r="AS223" s="390">
        <f>CHOOSE($B$3,ENWL!AS223,NPgN!AS223,NPgY!AS223,WMID!AS223,EMID!AS223,SWALES!AS223,SWEST!AS223,LPN!AS223,SPN!AS223,EPN!AS223,SPD!AS223,SPMW!AS223,SSEH!AS223,SSES!AS223)</f>
        <v>1.0008999999999999</v>
      </c>
      <c r="AT223" s="390">
        <f>CHOOSE($B$3,ENWL!AT223,NPgN!AT223,NPgY!AT223,WMID!AT223,EMID!AT223,SWALES!AT223,SWEST!AT223,LPN!AT223,SPN!AT223,EPN!AT223,SPD!AT223,SPMW!AT223,SSEH!AT223,SSES!AT223)</f>
        <v>1.0102</v>
      </c>
      <c r="AU223" s="390">
        <f>CHOOSE($B$3,ENWL!AU223,NPgN!AU223,NPgY!AU223,WMID!AU223,EMID!AU223,SWALES!AU223,SWEST!AU223,LPN!AU223,SPN!AU223,EPN!AU223,SPD!AU223,SPMW!AU223,SSEH!AU223,SSES!AU223)</f>
        <v>1.0202</v>
      </c>
      <c r="AV223" s="390">
        <f>CHOOSE($B$3,ENWL!AV223,NPgN!AV223,NPgY!AV223,WMID!AV223,EMID!AV223,SWALES!AV223,SWEST!AV223,LPN!AV223,SPN!AV223,EPN!AV223,SPD!AV223,SPMW!AV223,SSEH!AV223,SSES!AV223)</f>
        <v>1.0306</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262</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263</v>
      </c>
      <c r="F226" s="82"/>
      <c r="G226" s="82" t="s">
        <v>209</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f>CHOOSE($B$3,ENWL!AR226,NPgN!AR226,NPgY!AR226,WMID!AR226,EMID!AR226,SWALES!AR226,SWEST!AR226,LPN!AR226,SPN!AR226,EPN!AR226,SPD!AR226,SPMW!AR226,SSEH!AR226,SSES!AR226)</f>
        <v>0.05</v>
      </c>
      <c r="AS226" s="409">
        <f>CHOOSE($B$3,ENWL!AS226,NPgN!AS226,NPgY!AS226,WMID!AS226,EMID!AS226,SWALES!AS226,SWEST!AS226,LPN!AS226,SPN!AS226,EPN!AS226,SPD!AS226,SPMW!AS226,SSEH!AS226,SSES!AS226)</f>
        <v>0.05</v>
      </c>
      <c r="AT226" s="409">
        <f>CHOOSE($B$3,ENWL!AT226,NPgN!AT226,NPgY!AT226,WMID!AT226,EMID!AT226,SWALES!AT226,SWEST!AT226,LPN!AT226,SPN!AT226,EPN!AT226,SPD!AT226,SPMW!AT226,SSEH!AT226,SSES!AT226)</f>
        <v>0.05</v>
      </c>
      <c r="AU226" s="409">
        <f>CHOOSE($B$3,ENWL!AU226,NPgN!AU226,NPgY!AU226,WMID!AU226,EMID!AU226,SWALES!AU226,SWEST!AU226,LPN!AU226,SPN!AU226,EPN!AU226,SPD!AU226,SPMW!AU226,SSEH!AU226,SSES!AU226)</f>
        <v>0.05</v>
      </c>
      <c r="AV226" s="409">
        <f>CHOOSE($B$3,ENWL!AV226,NPgN!AV226,NPgY!AV226,WMID!AV226,EMID!AV226,SWALES!AV226,SWEST!AV226,LPN!AV226,SPN!AV226,EPN!AV226,SPD!AV226,SPMW!AV226,SSEH!AV226,SSES!AV226)</f>
        <v>0.05</v>
      </c>
      <c r="AW226" s="184"/>
    </row>
    <row r="227" spans="1:49" ht="15">
      <c r="A227" s="82"/>
      <c r="B227" s="82"/>
      <c r="C227" s="82"/>
      <c r="D227" s="82"/>
      <c r="E227" s="82" t="s">
        <v>264</v>
      </c>
      <c r="F227" s="82"/>
      <c r="G227" s="82" t="s">
        <v>209</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f>CHOOSE($B$3,ENWL!AR227,NPgN!AR227,NPgY!AR227,WMID!AR227,EMID!AR227,SWALES!AR227,SWEST!AR227,LPN!AR227,SPN!AR227,EPN!AR227,SPD!AR227,SPMW!AR227,SSEH!AR227,SSES!AR227)</f>
        <v>0.05</v>
      </c>
      <c r="AS227" s="409">
        <f>CHOOSE($B$3,ENWL!AS227,NPgN!AS227,NPgY!AS227,WMID!AS227,EMID!AS227,SWALES!AS227,SWEST!AS227,LPN!AS227,SPN!AS227,EPN!AS227,SPD!AS227,SPMW!AS227,SSEH!AS227,SSES!AS227)</f>
        <v>0.05</v>
      </c>
      <c r="AT227" s="409">
        <f>CHOOSE($B$3,ENWL!AT227,NPgN!AT227,NPgY!AT227,WMID!AT227,EMID!AT227,SWALES!AT227,SWEST!AT227,LPN!AT227,SPN!AT227,EPN!AT227,SPD!AT227,SPMW!AT227,SSEH!AT227,SSES!AT227)</f>
        <v>0.05</v>
      </c>
      <c r="AU227" s="409">
        <f>CHOOSE($B$3,ENWL!AU227,NPgN!AU227,NPgY!AU227,WMID!AU227,EMID!AU227,SWALES!AU227,SWEST!AU227,LPN!AU227,SPN!AU227,EPN!AU227,SPD!AU227,SPMW!AU227,SSEH!AU227,SSES!AU227)</f>
        <v>0.05</v>
      </c>
      <c r="AV227" s="409">
        <f>CHOOSE($B$3,ENWL!AV227,NPgN!AV227,NPgY!AV227,WMID!AV227,EMID!AV227,SWALES!AV227,SWEST!AV227,LPN!AV227,SPN!AV227,EPN!AV227,SPD!AV227,SPMW!AV227,SSEH!AV227,SSES!AV227)</f>
        <v>0.05</v>
      </c>
      <c r="AW227" s="184"/>
    </row>
    <row r="228" spans="1:49" ht="15">
      <c r="A228" s="82"/>
      <c r="B228" s="82"/>
      <c r="C228" s="82"/>
      <c r="D228" s="82"/>
      <c r="E228" s="82" t="s">
        <v>265</v>
      </c>
      <c r="F228" s="82"/>
      <c r="G228" s="82" t="s">
        <v>209</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f>CHOOSE($B$3,ENWL!AR228,NPgN!AR228,NPgY!AR228,WMID!AR228,EMID!AR228,SWALES!AR228,SWEST!AR228,LPN!AR228,SPN!AR228,EPN!AR228,SPD!AR228,SPMW!AR228,SSEH!AR228,SSES!AR228)</f>
        <v>0.03</v>
      </c>
      <c r="AS228" s="409">
        <f>CHOOSE($B$3,ENWL!AS228,NPgN!AS228,NPgY!AS228,WMID!AS228,EMID!AS228,SWALES!AS228,SWEST!AS228,LPN!AS228,SPN!AS228,EPN!AS228,SPD!AS228,SPMW!AS228,SSEH!AS228,SSES!AS228)</f>
        <v>0.03</v>
      </c>
      <c r="AT228" s="409">
        <f>CHOOSE($B$3,ENWL!AT228,NPgN!AT228,NPgY!AT228,WMID!AT228,EMID!AT228,SWALES!AT228,SWEST!AT228,LPN!AT228,SPN!AT228,EPN!AT228,SPD!AT228,SPMW!AT228,SSEH!AT228,SSES!AT228)</f>
        <v>0.03</v>
      </c>
      <c r="AU228" s="409">
        <f>CHOOSE($B$3,ENWL!AU228,NPgN!AU228,NPgY!AU228,WMID!AU228,EMID!AU228,SWALES!AU228,SWEST!AU228,LPN!AU228,SPN!AU228,EPN!AU228,SPD!AU228,SPMW!AU228,SSEH!AU228,SSES!AU228)</f>
        <v>0.03</v>
      </c>
      <c r="AV228" s="409">
        <f>CHOOSE($B$3,ENWL!AV228,NPgN!AV228,NPgY!AV228,WMID!AV228,EMID!AV228,SWALES!AV228,SWEST!AV228,LPN!AV228,SPN!AV228,EPN!AV228,SPD!AV228,SPMW!AV228,SSEH!AV228,SSES!AV228)</f>
        <v>0.03</v>
      </c>
      <c r="AW228" s="184"/>
    </row>
    <row r="229" spans="1:49" ht="15">
      <c r="A229" s="82"/>
      <c r="B229" s="82"/>
      <c r="C229" s="82"/>
      <c r="D229" s="82"/>
      <c r="E229" s="82" t="s">
        <v>266</v>
      </c>
      <c r="F229" s="82"/>
      <c r="G229" s="82" t="s">
        <v>209</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f>CHOOSE($B$3,ENWL!AR229,NPgN!AR229,NPgY!AR229,WMID!AR229,EMID!AR229,SWALES!AR229,SWEST!AR229,LPN!AR229,SPN!AR229,EPN!AR229,SPD!AR229,SPMW!AR229,SSEH!AR229,SSES!AR229)</f>
        <v>0.6</v>
      </c>
      <c r="AS229" s="409">
        <f>CHOOSE($B$3,ENWL!AS229,NPgN!AS229,NPgY!AS229,WMID!AS229,EMID!AS229,SWALES!AS229,SWEST!AS229,LPN!AS229,SPN!AS229,EPN!AS229,SPD!AS229,SPMW!AS229,SSEH!AS229,SSES!AS229)</f>
        <v>0.6</v>
      </c>
      <c r="AT229" s="409">
        <f>CHOOSE($B$3,ENWL!AT229,NPgN!AT229,NPgY!AT229,WMID!AT229,EMID!AT229,SWALES!AT229,SWEST!AT229,LPN!AT229,SPN!AT229,EPN!AT229,SPD!AT229,SPMW!AT229,SSEH!AT229,SSES!AT229)</f>
        <v>0.6</v>
      </c>
      <c r="AU229" s="409">
        <f>CHOOSE($B$3,ENWL!AU229,NPgN!AU229,NPgY!AU229,WMID!AU229,EMID!AU229,SWALES!AU229,SWEST!AU229,LPN!AU229,SPN!AU229,EPN!AU229,SPD!AU229,SPMW!AU229,SSEH!AU229,SSES!AU229)</f>
        <v>0.6</v>
      </c>
      <c r="AV229" s="409">
        <f>CHOOSE($B$3,ENWL!AV229,NPgN!AV229,NPgY!AV229,WMID!AV229,EMID!AV229,SWALES!AV229,SWEST!AV229,LPN!AV229,SPN!AV229,EPN!AV229,SPD!AV229,SPMW!AV229,SSEH!AV229,SSES!AV229)</f>
        <v>0.6</v>
      </c>
      <c r="AW229" s="184"/>
    </row>
    <row r="230" spans="1:49" ht="15">
      <c r="A230" s="82"/>
      <c r="B230" s="82"/>
      <c r="C230" s="82"/>
      <c r="D230" s="82"/>
      <c r="E230" s="82" t="s">
        <v>267</v>
      </c>
      <c r="F230" s="82"/>
      <c r="G230" s="82" t="s">
        <v>209</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f>CHOOSE($B$3,ENWL!AR230,NPgN!AR230,NPgY!AR230,WMID!AR230,EMID!AR230,SWALES!AR230,SWEST!AR230,LPN!AR230,SPN!AR230,EPN!AR230,SPD!AR230,SPMW!AR230,SSEH!AR230,SSES!AR230)</f>
        <v>0.25</v>
      </c>
      <c r="AS230" s="409">
        <f>CHOOSE($B$3,ENWL!AS230,NPgN!AS230,NPgY!AS230,WMID!AS230,EMID!AS230,SWALES!AS230,SWEST!AS230,LPN!AS230,SPN!AS230,EPN!AS230,SPD!AS230,SPMW!AS230,SSEH!AS230,SSES!AS230)</f>
        <v>0.25</v>
      </c>
      <c r="AT230" s="409">
        <f>CHOOSE($B$3,ENWL!AT230,NPgN!AT230,NPgY!AT230,WMID!AT230,EMID!AT230,SWALES!AT230,SWEST!AT230,LPN!AT230,SPN!AT230,EPN!AT230,SPD!AT230,SPMW!AT230,SSEH!AT230,SSES!AT230)</f>
        <v>0.25</v>
      </c>
      <c r="AU230" s="409">
        <f>CHOOSE($B$3,ENWL!AU230,NPgN!AU230,NPgY!AU230,WMID!AU230,EMID!AU230,SWALES!AU230,SWEST!AU230,LPN!AU230,SPN!AU230,EPN!AU230,SPD!AU230,SPMW!AU230,SSEH!AU230,SSES!AU230)</f>
        <v>0.25</v>
      </c>
      <c r="AV230" s="409">
        <f>CHOOSE($B$3,ENWL!AV230,NPgN!AV230,NPgY!AV230,WMID!AV230,EMID!AV230,SWALES!AV230,SWEST!AV230,LPN!AV230,SPN!AV230,EPN!AV230,SPD!AV230,SPMW!AV230,SSEH!AV230,SSES!AV230)</f>
        <v>0.25</v>
      </c>
      <c r="AW230" s="184"/>
    </row>
    <row r="231" spans="1:49" ht="15">
      <c r="A231" s="82"/>
      <c r="B231" s="82"/>
      <c r="C231" s="82"/>
      <c r="D231" s="82"/>
      <c r="E231" s="82" t="s">
        <v>268</v>
      </c>
      <c r="F231" s="82"/>
      <c r="G231" s="82" t="s">
        <v>209</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f>CHOOSE($B$3,ENWL!AR231,NPgN!AR231,NPgY!AR231,WMID!AR231,EMID!AR231,SWALES!AR231,SWEST!AR231,LPN!AR231,SPN!AR231,EPN!AR231,SPD!AR231,SPMW!AR231,SSEH!AR231,SSES!AR231)</f>
        <v>0</v>
      </c>
      <c r="AS231" s="409">
        <f>CHOOSE($B$3,ENWL!AS231,NPgN!AS231,NPgY!AS231,WMID!AS231,EMID!AS231,SWALES!AS231,SWEST!AS231,LPN!AS231,SPN!AS231,EPN!AS231,SPD!AS231,SPMW!AS231,SSEH!AS231,SSES!AS231)</f>
        <v>0</v>
      </c>
      <c r="AT231" s="409">
        <f>CHOOSE($B$3,ENWL!AT231,NPgN!AT231,NPgY!AT231,WMID!AT231,EMID!AT231,SWALES!AT231,SWEST!AT231,LPN!AT231,SPN!AT231,EPN!AT231,SPD!AT231,SPMW!AT231,SSEH!AT231,SSES!AT231)</f>
        <v>0</v>
      </c>
      <c r="AU231" s="409">
        <f>CHOOSE($B$3,ENWL!AU231,NPgN!AU231,NPgY!AU231,WMID!AU231,EMID!AU231,SWALES!AU231,SWEST!AU231,LPN!AU231,SPN!AU231,EPN!AU231,SPD!AU231,SPMW!AU231,SSEH!AU231,SSES!AU231)</f>
        <v>0</v>
      </c>
      <c r="AV231" s="409">
        <f>CHOOSE($B$3,ENWL!AV231,NPgN!AV231,NPgY!AV231,WMID!AV231,EMID!AV231,SWALES!AV231,SWEST!AV231,LPN!AV231,SPN!AV231,EPN!AV231,SPD!AV231,SPMW!AV231,SSEH!AV231,SSES!AV231)</f>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269</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270</v>
      </c>
      <c r="F234" s="82"/>
      <c r="G234" s="82" t="s">
        <v>209</v>
      </c>
      <c r="H234" s="82"/>
      <c r="I234" s="409">
        <f>CHOOSE($B$3,ENWL!I234,NPgN!I234,NPgY!I234,WMID!I234,EMID!I234,SWALES!I234,SWEST!I234,LPN!I234,SPN!I234,EPN!I234,SPD!I234,SPMW!I234,SSEH!I234,SSES!I234)</f>
        <v>0.73</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271</v>
      </c>
      <c r="F235" s="82"/>
      <c r="G235" s="82" t="s">
        <v>209</v>
      </c>
      <c r="H235" s="82"/>
      <c r="I235" s="409">
        <f>CHOOSE($B$3,ENWL!I235,NPgN!I235,NPgY!I235,WMID!I235,EMID!I235,SWALES!I235,SWEST!I235,LPN!I235,SPN!I235,EPN!I235,SPD!I235,SPMW!I235,SSEH!I235,SSES!I235)</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272</v>
      </c>
      <c r="F237" s="82"/>
      <c r="G237" s="82" t="s">
        <v>209</v>
      </c>
      <c r="H237" s="82" t="s">
        <v>273</v>
      </c>
      <c r="I237" s="409">
        <f>CHOOSE($B$3,ENWL!I237,NPgN!I237,NPgY!I237,WMID!I237,EMID!I237,SWALES!I237,SWEST!I237,LPN!I237,SPN!I237,EPN!I237,SPD!I237,SPMW!I237,SSEH!I237,SSES!I237)</f>
        <v>0.499</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274</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275</v>
      </c>
      <c r="F241" s="82"/>
      <c r="G241" s="2" t="s">
        <v>105</v>
      </c>
      <c r="H241" s="82"/>
      <c r="I241" s="415">
        <f>CHOOSE($B$3,ENWL!I241,NPgN!I241,NPgY!I241,WMID!I241,EMID!I241,SWALES!I241,SWEST!I241,LPN!I241,SPN!I241,EPN!I241,SPD!I241,SPMW!I241,SSEH!I241,SSES!I241)</f>
        <v>25.519621594927063</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276</v>
      </c>
      <c r="F242" s="82"/>
      <c r="G242" s="2" t="s">
        <v>277</v>
      </c>
      <c r="H242" s="82"/>
      <c r="I242" s="416">
        <f>CHOOSE($B$3,ENWL!I242,NPgN!I242,NPgY!I242,WMID!I242,EMID!I242,SWALES!I242,SWEST!I242,LPN!I242,SPN!I242,EPN!I242,SPD!I242,SPMW!I242,SSEH!I242,SSES!I242)</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278</v>
      </c>
      <c r="F243" s="82"/>
      <c r="G243" s="2" t="s">
        <v>279</v>
      </c>
      <c r="H243" s="82"/>
      <c r="I243" s="415">
        <f>CHOOSE($B$3,ENWL!I243,NPgN!I243,NPgY!I243,WMID!I243,EMID!I243,SWALES!I243,SWEST!I243,LPN!I243,SPN!I243,EPN!I243,SPD!I243,SPMW!I243,SSEH!I243,SSES!I243)</f>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280</v>
      </c>
      <c r="F245" s="82"/>
      <c r="G245" s="2" t="s">
        <v>281</v>
      </c>
      <c r="H245" s="82"/>
      <c r="I245" s="411">
        <f>CHOOSE($B$3,ENWL!I245,NPgN!I245,NPgY!I245,WMID!I245,EMID!I245,SWALES!I245,SWEST!I245,LPN!I245,SPN!I245,EPN!I245,SPD!I245,SPMW!I245,SSEH!I245,SSES!I245)</f>
        <v>14</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282</v>
      </c>
      <c r="F246" s="82"/>
      <c r="G246" s="2" t="s">
        <v>281</v>
      </c>
      <c r="H246" s="82"/>
      <c r="I246" s="414"/>
      <c r="J246" s="334"/>
      <c r="K246" s="413">
        <f>CHOOSE($B$3,ENWL!K246,NPgN!K246,NPgY!K246,WMID!K246,EMID!K246,SWALES!K246,SWEST!K246,LPN!K246,SPN!K246,EPN!K246,SPD!K246,SPMW!K246,SSEH!K246,SSES!K246)</f>
        <v>33.299999999999997</v>
      </c>
      <c r="L246" s="413">
        <f>CHOOSE($B$3,ENWL!L246,NPgN!L246,NPgY!L246,WMID!L246,EMID!L246,SWALES!L246,SWEST!L246,LPN!L246,SPN!L246,EPN!L246,SPD!L246,SPMW!L246,SSEH!L246,SSES!L246)</f>
        <v>33.299999999999997</v>
      </c>
      <c r="M246" s="413">
        <f>CHOOSE($B$3,ENWL!M246,NPgN!M246,NPgY!M246,WMID!M246,EMID!M246,SWALES!M246,SWEST!M246,LPN!M246,SPN!M246,EPN!M246,SPD!M246,SPMW!M246,SSEH!M246,SSES!M246)</f>
        <v>33.299999999999997</v>
      </c>
      <c r="N246" s="413">
        <f>CHOOSE($B$3,ENWL!N246,NPgN!N246,NPgY!N246,WMID!N246,EMID!N246,SWALES!N246,SWEST!N246,LPN!N246,SPN!N246,EPN!N246,SPD!N246,SPMW!N246,SSEH!N246,SSES!N246)</f>
        <v>33.299999999999997</v>
      </c>
      <c r="O246" s="413">
        <f>CHOOSE($B$3,ENWL!O246,NPgN!O246,NPgY!O246,WMID!O246,EMID!O246,SWALES!O246,SWEST!O246,LPN!O246,SPN!O246,EPN!O246,SPD!O246,SPMW!O246,SSEH!O246,SSES!O246)</f>
        <v>33.299999999999997</v>
      </c>
      <c r="P246" s="413">
        <f>CHOOSE($B$3,ENWL!P246,NPgN!P246,NPgY!P246,WMID!P246,EMID!P246,SWALES!P246,SWEST!P246,LPN!P246,SPN!P246,EPN!P246,SPD!P246,SPMW!P246,SSEH!P246,SSES!P246)</f>
        <v>33.299999999999997</v>
      </c>
      <c r="Q246" s="413">
        <f>CHOOSE($B$3,ENWL!Q246,NPgN!Q246,NPgY!Q246,WMID!Q246,EMID!Q246,SWALES!Q246,SWEST!Q246,LPN!Q246,SPN!Q246,EPN!Q246,SPD!Q246,SPMW!Q246,SSEH!Q246,SSES!Q246)</f>
        <v>33.299999999999997</v>
      </c>
      <c r="R246" s="413">
        <f>CHOOSE($B$3,ENWL!R246,NPgN!R246,NPgY!R246,WMID!R246,EMID!R246,SWALES!R246,SWEST!R246,LPN!R246,SPN!R246,EPN!R246,SPD!R246,SPMW!R246,SSEH!R246,SSES!R246)</f>
        <v>33.299999999999997</v>
      </c>
      <c r="S246" s="413">
        <f>CHOOSE($B$3,ENWL!S246,NPgN!S246,NPgY!S246,WMID!S246,EMID!S246,SWALES!S246,SWEST!S246,LPN!S246,SPN!S246,EPN!S246,SPD!S246,SPMW!S246,SSEH!S246,SSES!S246)</f>
        <v>33.299999999999997</v>
      </c>
      <c r="T246" s="413">
        <f>CHOOSE($B$3,ENWL!T246,NPgN!T246,NPgY!T246,WMID!T246,EMID!T246,SWALES!T246,SWEST!T246,LPN!T246,SPN!T246,EPN!T246,SPD!T246,SPMW!T246,SSEH!T246,SSES!T246)</f>
        <v>33.299999999999997</v>
      </c>
      <c r="U246" s="413">
        <f>CHOOSE($B$3,ENWL!U246,NPgN!U246,NPgY!U246,WMID!U246,EMID!U246,SWALES!U246,SWEST!U246,LPN!U246,SPN!U246,EPN!U246,SPD!U246,SPMW!U246,SSEH!U246,SSES!U246)</f>
        <v>33.299999999999997</v>
      </c>
      <c r="V246" s="413">
        <f>CHOOSE($B$3,ENWL!V246,NPgN!V246,NPgY!V246,WMID!V246,EMID!V246,SWALES!V246,SWEST!V246,LPN!V246,SPN!V246,EPN!V246,SPD!V246,SPMW!V246,SSEH!V246,SSES!V246)</f>
        <v>33.299999999999997</v>
      </c>
      <c r="W246" s="413">
        <f>CHOOSE($B$3,ENWL!W246,NPgN!W246,NPgY!W246,WMID!W246,EMID!W246,SWALES!W246,SWEST!W246,LPN!W246,SPN!W246,EPN!W246,SPD!W246,SPMW!W246,SSEH!W246,SSES!W246)</f>
        <v>33.299999999999997</v>
      </c>
      <c r="X246" s="413">
        <f>CHOOSE($B$3,ENWL!X246,NPgN!X246,NPgY!X246,WMID!X246,EMID!X246,SWALES!X246,SWEST!X246,LPN!X246,SPN!X246,EPN!X246,SPD!X246,SPMW!X246,SSEH!X246,SSES!X246)</f>
        <v>33.299999999999997</v>
      </c>
      <c r="Y246" s="413">
        <f>CHOOSE($B$3,ENWL!Y246,NPgN!Y246,NPgY!Y246,WMID!Y246,EMID!Y246,SWALES!Y246,SWEST!Y246,LPN!Y246,SPN!Y246,EPN!Y246,SPD!Y246,SPMW!Y246,SSEH!Y246,SSES!Y246)</f>
        <v>33.299999999999997</v>
      </c>
      <c r="Z246" s="413">
        <f>CHOOSE($B$3,ENWL!Z246,NPgN!Z246,NPgY!Z246,WMID!Z246,EMID!Z246,SWALES!Z246,SWEST!Z246,LPN!Z246,SPN!Z246,EPN!Z246,SPD!Z246,SPMW!Z246,SSEH!Z246,SSES!Z246)</f>
        <v>33.299999999999997</v>
      </c>
      <c r="AA246" s="413">
        <f>CHOOSE($B$3,ENWL!AA246,NPgN!AA246,NPgY!AA246,WMID!AA246,EMID!AA246,SWALES!AA246,SWEST!AA246,LPN!AA246,SPN!AA246,EPN!AA246,SPD!AA246,SPMW!AA246,SSEH!AA246,SSES!AA246)</f>
        <v>33.299999999999997</v>
      </c>
      <c r="AB246" s="413">
        <f>CHOOSE($B$3,ENWL!AB246,NPgN!AB246,NPgY!AB246,WMID!AB246,EMID!AB246,SWALES!AB246,SWEST!AB246,LPN!AB246,SPN!AB246,EPN!AB246,SPD!AB246,SPMW!AB246,SSEH!AB246,SSES!AB246)</f>
        <v>33.299999999999997</v>
      </c>
      <c r="AC246" s="413">
        <f>CHOOSE($B$3,ENWL!AC246,NPgN!AC246,NPgY!AC246,WMID!AC246,EMID!AC246,SWALES!AC246,SWEST!AC246,LPN!AC246,SPN!AC246,EPN!AC246,SPD!AC246,SPMW!AC246,SSEH!AC246,SSES!AC246)</f>
        <v>33.299999999999997</v>
      </c>
      <c r="AD246" s="413">
        <f>CHOOSE($B$3,ENWL!AD246,NPgN!AD246,NPgY!AD246,WMID!AD246,EMID!AD246,SWALES!AD246,SWEST!AD246,LPN!AD246,SPN!AD246,EPN!AD246,SPD!AD246,SPMW!AD246,SSEH!AD246,SSES!AD246)</f>
        <v>33.299999999999997</v>
      </c>
      <c r="AE246" s="413">
        <f>CHOOSE($B$3,ENWL!AE246,NPgN!AE246,NPgY!AE246,WMID!AE246,EMID!AE246,SWALES!AE246,SWEST!AE246,LPN!AE246,SPN!AE246,EPN!AE246,SPD!AE246,SPMW!AE246,SSEH!AE246,SSES!AE246)</f>
        <v>33.299999999999997</v>
      </c>
      <c r="AF246" s="413">
        <f>CHOOSE($B$3,ENWL!AF246,NPgN!AF246,NPgY!AF246,WMID!AF246,EMID!AF246,SWALES!AF246,SWEST!AF246,LPN!AF246,SPN!AF246,EPN!AF246,SPD!AF246,SPMW!AF246,SSEH!AF246,SSES!AF246)</f>
        <v>33.299999999999997</v>
      </c>
      <c r="AG246" s="413">
        <f>CHOOSE($B$3,ENWL!AG246,NPgN!AG246,NPgY!AG246,WMID!AG246,EMID!AG246,SWALES!AG246,SWEST!AG246,LPN!AG246,SPN!AG246,EPN!AG246,SPD!AG246,SPMW!AG246,SSEH!AG246,SSES!AG246)</f>
        <v>33.299999999999997</v>
      </c>
      <c r="AH246" s="413">
        <f>CHOOSE($B$3,ENWL!AH246,NPgN!AH246,NPgY!AH246,WMID!AH246,EMID!AH246,SWALES!AH246,SWEST!AH246,LPN!AH246,SPN!AH246,EPN!AH246,SPD!AH246,SPMW!AH246,SSEH!AH246,SSES!AH246)</f>
        <v>33.299999999999997</v>
      </c>
      <c r="AI246" s="413">
        <f>CHOOSE($B$3,ENWL!AI246,NPgN!AI246,NPgY!AI246,WMID!AI246,EMID!AI246,SWALES!AI246,SWEST!AI246,LPN!AI246,SPN!AI246,EPN!AI246,SPD!AI246,SPMW!AI246,SSEH!AI246,SSES!AI246)</f>
        <v>33.299999999999997</v>
      </c>
      <c r="AJ246" s="413">
        <f>CHOOSE($B$3,ENWL!AJ246,NPgN!AJ246,NPgY!AJ246,WMID!AJ246,EMID!AJ246,SWALES!AJ246,SWEST!AJ246,LPN!AJ246,SPN!AJ246,EPN!AJ246,SPD!AJ246,SPMW!AJ246,SSEH!AJ246,SSES!AJ246)</f>
        <v>23.125</v>
      </c>
      <c r="AK246" s="413">
        <f>CHOOSE($B$3,ENWL!AK246,NPgN!AK246,NPgY!AK246,WMID!AK246,EMID!AK246,SWALES!AK246,SWEST!AK246,LPN!AK246,SPN!AK246,EPN!AK246,SPD!AK246,SPMW!AK246,SSEH!AK246,SSES!AK246)</f>
        <v>26.25</v>
      </c>
      <c r="AL246" s="413">
        <f>CHOOSE($B$3,ENWL!AL246,NPgN!AL246,NPgY!AL246,WMID!AL246,EMID!AL246,SWALES!AL246,SWEST!AL246,LPN!AL246,SPN!AL246,EPN!AL246,SPD!AL246,SPMW!AL246,SSEH!AL246,SSES!AL246)</f>
        <v>29.375</v>
      </c>
      <c r="AM246" s="413">
        <f>CHOOSE($B$3,ENWL!AM246,NPgN!AM246,NPgY!AM246,WMID!AM246,EMID!AM246,SWALES!AM246,SWEST!AM246,LPN!AM246,SPN!AM246,EPN!AM246,SPD!AM246,SPMW!AM246,SSEH!AM246,SSES!AM246)</f>
        <v>32.5</v>
      </c>
      <c r="AN246" s="413">
        <f>CHOOSE($B$3,ENWL!AN246,NPgN!AN246,NPgY!AN246,WMID!AN246,EMID!AN246,SWALES!AN246,SWEST!AN246,LPN!AN246,SPN!AN246,EPN!AN246,SPD!AN246,SPMW!AN246,SSEH!AN246,SSES!AN246)</f>
        <v>35.625</v>
      </c>
      <c r="AO246" s="413">
        <f>CHOOSE($B$3,ENWL!AO246,NPgN!AO246,NPgY!AO246,WMID!AO246,EMID!AO246,SWALES!AO246,SWEST!AO246,LPN!AO246,SPN!AO246,EPN!AO246,SPD!AO246,SPMW!AO246,SSEH!AO246,SSES!AO246)</f>
        <v>38.75</v>
      </c>
      <c r="AP246" s="413">
        <f>CHOOSE($B$3,ENWL!AP246,NPgN!AP246,NPgY!AP246,WMID!AP246,EMID!AP246,SWALES!AP246,SWEST!AP246,LPN!AP246,SPN!AP246,EPN!AP246,SPD!AP246,SPMW!AP246,SSEH!AP246,SSES!AP246)</f>
        <v>41.875</v>
      </c>
      <c r="AQ246" s="412">
        <f>CHOOSE($B$3,ENWL!AQ246,NPgN!AQ246,NPgY!AQ246,WMID!AQ246,EMID!AQ246,SWALES!AQ246,SWEST!AQ246,LPN!AQ246,SPN!AQ246,EPN!AQ246,SPD!AQ246,SPMW!AQ246,SSEH!AQ246,SSES!AQ246)</f>
        <v>45</v>
      </c>
      <c r="AR246" s="145"/>
      <c r="AS246" s="184"/>
      <c r="AT246" s="184"/>
      <c r="AU246" s="184"/>
      <c r="AV246" s="184"/>
      <c r="AW246" s="184"/>
    </row>
    <row r="247" spans="1:49" ht="15">
      <c r="A247" s="82"/>
      <c r="B247" s="82"/>
      <c r="C247" s="82"/>
      <c r="D247" s="82"/>
      <c r="E247" s="7" t="s">
        <v>283</v>
      </c>
      <c r="F247" s="82"/>
      <c r="G247" s="7" t="s">
        <v>281</v>
      </c>
      <c r="H247" s="82"/>
      <c r="I247" s="414"/>
      <c r="J247" s="334"/>
      <c r="K247" s="413">
        <f>CHOOSE($B$3,ENWL!K247,NPgN!K247,NPgY!K247,WMID!K247,EMID!K247,SWALES!K247,SWEST!K247,LPN!K247,SPN!K247,EPN!K247,SPD!K247,SPMW!K247,SSEH!K247,SSES!K247)</f>
        <v>20</v>
      </c>
      <c r="L247" s="413">
        <f>CHOOSE($B$3,ENWL!L247,NPgN!L247,NPgY!L247,WMID!L247,EMID!L247,SWALES!L247,SWEST!L247,LPN!L247,SPN!L247,EPN!L247,SPD!L247,SPMW!L247,SSEH!L247,SSES!L247)</f>
        <v>20</v>
      </c>
      <c r="M247" s="413">
        <f>CHOOSE($B$3,ENWL!M247,NPgN!M247,NPgY!M247,WMID!M247,EMID!M247,SWALES!M247,SWEST!M247,LPN!M247,SPN!M247,EPN!M247,SPD!M247,SPMW!M247,SSEH!M247,SSES!M247)</f>
        <v>20</v>
      </c>
      <c r="N247" s="413">
        <f>CHOOSE($B$3,ENWL!N247,NPgN!N247,NPgY!N247,WMID!N247,EMID!N247,SWALES!N247,SWEST!N247,LPN!N247,SPN!N247,EPN!N247,SPD!N247,SPMW!N247,SSEH!N247,SSES!N247)</f>
        <v>20</v>
      </c>
      <c r="O247" s="413">
        <f>CHOOSE($B$3,ENWL!O247,NPgN!O247,NPgY!O247,WMID!O247,EMID!O247,SWALES!O247,SWEST!O247,LPN!O247,SPN!O247,EPN!O247,SPD!O247,SPMW!O247,SSEH!O247,SSES!O247)</f>
        <v>20</v>
      </c>
      <c r="P247" s="413">
        <f>CHOOSE($B$3,ENWL!P247,NPgN!P247,NPgY!P247,WMID!P247,EMID!P247,SWALES!P247,SWEST!P247,LPN!P247,SPN!P247,EPN!P247,SPD!P247,SPMW!P247,SSEH!P247,SSES!P247)</f>
        <v>20</v>
      </c>
      <c r="Q247" s="413">
        <f>CHOOSE($B$3,ENWL!Q247,NPgN!Q247,NPgY!Q247,WMID!Q247,EMID!Q247,SWALES!Q247,SWEST!Q247,LPN!Q247,SPN!Q247,EPN!Q247,SPD!Q247,SPMW!Q247,SSEH!Q247,SSES!Q247)</f>
        <v>20</v>
      </c>
      <c r="R247" s="413">
        <f>CHOOSE($B$3,ENWL!R247,NPgN!R247,NPgY!R247,WMID!R247,EMID!R247,SWALES!R247,SWEST!R247,LPN!R247,SPN!R247,EPN!R247,SPD!R247,SPMW!R247,SSEH!R247,SSES!R247)</f>
        <v>20</v>
      </c>
      <c r="S247" s="413">
        <f>CHOOSE($B$3,ENWL!S247,NPgN!S247,NPgY!S247,WMID!S247,EMID!S247,SWALES!S247,SWEST!S247,LPN!S247,SPN!S247,EPN!S247,SPD!S247,SPMW!S247,SSEH!S247,SSES!S247)</f>
        <v>20</v>
      </c>
      <c r="T247" s="413">
        <f>CHOOSE($B$3,ENWL!T247,NPgN!T247,NPgY!T247,WMID!T247,EMID!T247,SWALES!T247,SWEST!T247,LPN!T247,SPN!T247,EPN!T247,SPD!T247,SPMW!T247,SSEH!T247,SSES!T247)</f>
        <v>20</v>
      </c>
      <c r="U247" s="413">
        <f>CHOOSE($B$3,ENWL!U247,NPgN!U247,NPgY!U247,WMID!U247,EMID!U247,SWALES!U247,SWEST!U247,LPN!U247,SPN!U247,EPN!U247,SPD!U247,SPMW!U247,SSEH!U247,SSES!U247)</f>
        <v>20</v>
      </c>
      <c r="V247" s="413">
        <f>CHOOSE($B$3,ENWL!V247,NPgN!V247,NPgY!V247,WMID!V247,EMID!V247,SWALES!V247,SWEST!V247,LPN!V247,SPN!V247,EPN!V247,SPD!V247,SPMW!V247,SSEH!V247,SSES!V247)</f>
        <v>20</v>
      </c>
      <c r="W247" s="413">
        <f>CHOOSE($B$3,ENWL!W247,NPgN!W247,NPgY!W247,WMID!W247,EMID!W247,SWALES!W247,SWEST!W247,LPN!W247,SPN!W247,EPN!W247,SPD!W247,SPMW!W247,SSEH!W247,SSES!W247)</f>
        <v>20</v>
      </c>
      <c r="X247" s="413">
        <f>CHOOSE($B$3,ENWL!X247,NPgN!X247,NPgY!X247,WMID!X247,EMID!X247,SWALES!X247,SWEST!X247,LPN!X247,SPN!X247,EPN!X247,SPD!X247,SPMW!X247,SSEH!X247,SSES!X247)</f>
        <v>20</v>
      </c>
      <c r="Y247" s="413">
        <f>CHOOSE($B$3,ENWL!Y247,NPgN!Y247,NPgY!Y247,WMID!Y247,EMID!Y247,SWALES!Y247,SWEST!Y247,LPN!Y247,SPN!Y247,EPN!Y247,SPD!Y247,SPMW!Y247,SSEH!Y247,SSES!Y247)</f>
        <v>20</v>
      </c>
      <c r="Z247" s="413">
        <f>CHOOSE($B$3,ENWL!Z247,NPgN!Z247,NPgY!Z247,WMID!Z247,EMID!Z247,SWALES!Z247,SWEST!Z247,LPN!Z247,SPN!Z247,EPN!Z247,SPD!Z247,SPMW!Z247,SSEH!Z247,SSES!Z247)</f>
        <v>20</v>
      </c>
      <c r="AA247" s="413">
        <f>CHOOSE($B$3,ENWL!AA247,NPgN!AA247,NPgY!AA247,WMID!AA247,EMID!AA247,SWALES!AA247,SWEST!AA247,LPN!AA247,SPN!AA247,EPN!AA247,SPD!AA247,SPMW!AA247,SSEH!AA247,SSES!AA247)</f>
        <v>20</v>
      </c>
      <c r="AB247" s="413">
        <f>CHOOSE($B$3,ENWL!AB247,NPgN!AB247,NPgY!AB247,WMID!AB247,EMID!AB247,SWALES!AB247,SWEST!AB247,LPN!AB247,SPN!AB247,EPN!AB247,SPD!AB247,SPMW!AB247,SSEH!AB247,SSES!AB247)</f>
        <v>20</v>
      </c>
      <c r="AC247" s="413">
        <f>CHOOSE($B$3,ENWL!AC247,NPgN!AC247,NPgY!AC247,WMID!AC247,EMID!AC247,SWALES!AC247,SWEST!AC247,LPN!AC247,SPN!AC247,EPN!AC247,SPD!AC247,SPMW!AC247,SSEH!AC247,SSES!AC247)</f>
        <v>20</v>
      </c>
      <c r="AD247" s="413">
        <f>CHOOSE($B$3,ENWL!AD247,NPgN!AD247,NPgY!AD247,WMID!AD247,EMID!AD247,SWALES!AD247,SWEST!AD247,LPN!AD247,SPN!AD247,EPN!AD247,SPD!AD247,SPMW!AD247,SSEH!AD247,SSES!AD247)</f>
        <v>20</v>
      </c>
      <c r="AE247" s="413">
        <f>CHOOSE($B$3,ENWL!AE247,NPgN!AE247,NPgY!AE247,WMID!AE247,EMID!AE247,SWALES!AE247,SWEST!AE247,LPN!AE247,SPN!AE247,EPN!AE247,SPD!AE247,SPMW!AE247,SSEH!AE247,SSES!AE247)</f>
        <v>20</v>
      </c>
      <c r="AF247" s="413">
        <f>CHOOSE($B$3,ENWL!AF247,NPgN!AF247,NPgY!AF247,WMID!AF247,EMID!AF247,SWALES!AF247,SWEST!AF247,LPN!AF247,SPN!AF247,EPN!AF247,SPD!AF247,SPMW!AF247,SSEH!AF247,SSES!AF247)</f>
        <v>20</v>
      </c>
      <c r="AG247" s="413">
        <f>CHOOSE($B$3,ENWL!AG247,NPgN!AG247,NPgY!AG247,WMID!AG247,EMID!AG247,SWALES!AG247,SWEST!AG247,LPN!AG247,SPN!AG247,EPN!AG247,SPD!AG247,SPMW!AG247,SSEH!AG247,SSES!AG247)</f>
        <v>20</v>
      </c>
      <c r="AH247" s="413">
        <f>CHOOSE($B$3,ENWL!AH247,NPgN!AH247,NPgY!AH247,WMID!AH247,EMID!AH247,SWALES!AH247,SWEST!AH247,LPN!AH247,SPN!AH247,EPN!AH247,SPD!AH247,SPMW!AH247,SSEH!AH247,SSES!AH247)</f>
        <v>20</v>
      </c>
      <c r="AI247" s="413">
        <f>CHOOSE($B$3,ENWL!AI247,NPgN!AI247,NPgY!AI247,WMID!AI247,EMID!AI247,SWALES!AI247,SWEST!AI247,LPN!AI247,SPN!AI247,EPN!AI247,SPD!AI247,SPMW!AI247,SSEH!AI247,SSES!AI247)</f>
        <v>20</v>
      </c>
      <c r="AJ247" s="413">
        <f>CHOOSE($B$3,ENWL!AJ247,NPgN!AJ247,NPgY!AJ247,WMID!AJ247,EMID!AJ247,SWALES!AJ247,SWEST!AJ247,LPN!AJ247,SPN!AJ247,EPN!AJ247,SPD!AJ247,SPMW!AJ247,SSEH!AJ247,SSES!AJ247)</f>
        <v>23.125</v>
      </c>
      <c r="AK247" s="413">
        <f>CHOOSE($B$3,ENWL!AK247,NPgN!AK247,NPgY!AK247,WMID!AK247,EMID!AK247,SWALES!AK247,SWEST!AK247,LPN!AK247,SPN!AK247,EPN!AK247,SPD!AK247,SPMW!AK247,SSEH!AK247,SSES!AK247)</f>
        <v>26.25</v>
      </c>
      <c r="AL247" s="413">
        <f>CHOOSE($B$3,ENWL!AL247,NPgN!AL247,NPgY!AL247,WMID!AL247,EMID!AL247,SWALES!AL247,SWEST!AL247,LPN!AL247,SPN!AL247,EPN!AL247,SPD!AL247,SPMW!AL247,SSEH!AL247,SSES!AL247)</f>
        <v>29.375</v>
      </c>
      <c r="AM247" s="413">
        <f>CHOOSE($B$3,ENWL!AM247,NPgN!AM247,NPgY!AM247,WMID!AM247,EMID!AM247,SWALES!AM247,SWEST!AM247,LPN!AM247,SPN!AM247,EPN!AM247,SPD!AM247,SPMW!AM247,SSEH!AM247,SSES!AM247)</f>
        <v>32.5</v>
      </c>
      <c r="AN247" s="413">
        <f>CHOOSE($B$3,ENWL!AN247,NPgN!AN247,NPgY!AN247,WMID!AN247,EMID!AN247,SWALES!AN247,SWEST!AN247,LPN!AN247,SPN!AN247,EPN!AN247,SPD!AN247,SPMW!AN247,SSEH!AN247,SSES!AN247)</f>
        <v>35.625</v>
      </c>
      <c r="AO247" s="413">
        <f>CHOOSE($B$3,ENWL!AO247,NPgN!AO247,NPgY!AO247,WMID!AO247,EMID!AO247,SWALES!AO247,SWEST!AO247,LPN!AO247,SPN!AO247,EPN!AO247,SPD!AO247,SPMW!AO247,SSEH!AO247,SSES!AO247)</f>
        <v>38.75</v>
      </c>
      <c r="AP247" s="413">
        <f>CHOOSE($B$3,ENWL!AP247,NPgN!AP247,NPgY!AP247,WMID!AP247,EMID!AP247,SWALES!AP247,SWEST!AP247,LPN!AP247,SPN!AP247,EPN!AP247,SPD!AP247,SPMW!AP247,SSEH!AP247,SSES!AP247)</f>
        <v>41.875</v>
      </c>
      <c r="AQ247" s="412">
        <f>CHOOSE($B$3,ENWL!AQ247,NPgN!AQ247,NPgY!AQ247,WMID!AQ247,EMID!AQ247,SWALES!AQ247,SWEST!AQ247,LPN!AQ247,SPN!AQ247,EPN!AQ247,SPD!AQ247,SPMW!AQ247,SSEH!AQ247,SSES!AQ247)</f>
        <v>45</v>
      </c>
      <c r="AR247" s="145"/>
      <c r="AS247" s="184"/>
      <c r="AT247" s="184"/>
      <c r="AU247" s="184"/>
      <c r="AV247" s="184"/>
      <c r="AW247" s="184"/>
    </row>
    <row r="248" spans="1:49" ht="15">
      <c r="A248" s="82"/>
      <c r="B248" s="82"/>
      <c r="C248" s="82"/>
      <c r="D248" s="82"/>
      <c r="E248" s="41" t="s">
        <v>284</v>
      </c>
      <c r="F248" s="82"/>
      <c r="G248" s="2" t="s">
        <v>281</v>
      </c>
      <c r="H248" s="82"/>
      <c r="I248" s="411">
        <f>CHOOSE($B$3,ENWL!I248,NPgN!I248,NPgY!I248,WMID!I248,EMID!I248,SWALES!I248,SWEST!I248,LPN!I248,SPN!I248,EPN!I248,SPD!I248,SPMW!I248,SSEH!I248,SSES!I248)</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285</v>
      </c>
      <c r="F249" s="82"/>
      <c r="G249" s="2" t="s">
        <v>281</v>
      </c>
      <c r="H249" s="82"/>
      <c r="I249" s="411">
        <f>CHOOSE($B$3,ENWL!I249,NPgN!I249,NPgY!I249,WMID!I249,EMID!I249,SWALES!I249,SWEST!I249,LPN!I249,SPN!I249,EPN!I249,SPD!I249,SPMW!I249,SSEH!I249,SSES!I249)</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286</v>
      </c>
      <c r="F250" s="82"/>
      <c r="G250" s="2" t="s">
        <v>105</v>
      </c>
      <c r="H250" s="82"/>
      <c r="I250" s="207"/>
      <c r="J250" s="333"/>
      <c r="K250" s="413">
        <f>CHOOSE($B$3,ENWL!K250,NPgN!K250,NPgY!K250,WMID!K250,EMID!K250,SWALES!K250,SWEST!K250,LPN!K250,SPN!K250,EPN!K250,SPD!K250,SPMW!K250,SSEH!K250,SSES!K250)</f>
        <v>24.265624180091308</v>
      </c>
      <c r="L250" s="413">
        <f>CHOOSE($B$3,ENWL!L250,NPgN!L250,NPgY!L250,WMID!L250,EMID!L250,SWALES!L250,SWEST!L250,LPN!L250,SPN!L250,EPN!L250,SPD!L250,SPMW!L250,SSEH!L250,SSES!L250)</f>
        <v>75.575379125780543</v>
      </c>
      <c r="M250" s="413">
        <f>CHOOSE($B$3,ENWL!M250,NPgN!M250,NPgY!M250,WMID!M250,EMID!M250,SWALES!M250,SWEST!M250,LPN!M250,SPN!M250,EPN!M250,SPD!M250,SPMW!M250,SSEH!M250,SSES!M250)</f>
        <v>78.539119483654289</v>
      </c>
      <c r="N250" s="413">
        <f>CHOOSE($B$3,ENWL!N250,NPgN!N250,NPgY!N250,WMID!N250,EMID!N250,SWALES!N250,SWEST!N250,LPN!N250,SPN!N250,EPN!N250,SPD!N250,SPMW!N250,SSEH!N250,SSES!N250)</f>
        <v>89.097444508579528</v>
      </c>
      <c r="O250" s="413">
        <f>CHOOSE($B$3,ENWL!O250,NPgN!O250,NPgY!O250,WMID!O250,EMID!O250,SWALES!O250,SWEST!O250,LPN!O250,SPN!O250,EPN!O250,SPD!O250,SPMW!O250,SSEH!O250,SSES!O250)</f>
        <v>105.21278270451801</v>
      </c>
      <c r="P250" s="413">
        <f>CHOOSE($B$3,ENWL!P250,NPgN!P250,NPgY!P250,WMID!P250,EMID!P250,SWALES!P250,SWEST!P250,LPN!P250,SPN!P250,EPN!P250,SPD!P250,SPMW!P250,SSEH!P250,SSES!P250)</f>
        <v>77.61295062181874</v>
      </c>
      <c r="Q250" s="413">
        <f>CHOOSE($B$3,ENWL!Q250,NPgN!Q250,NPgY!Q250,WMID!Q250,EMID!Q250,SWALES!Q250,SWEST!Q250,LPN!Q250,SPN!Q250,EPN!Q250,SPD!Q250,SPMW!Q250,SSEH!Q250,SSES!Q250)</f>
        <v>83.169963792832021</v>
      </c>
      <c r="R250" s="413">
        <f>CHOOSE($B$3,ENWL!R250,NPgN!R250,NPgY!R250,WMID!R250,EMID!R250,SWALES!R250,SWEST!R250,LPN!R250,SPN!R250,EPN!R250,SPD!R250,SPMW!R250,SSEH!R250,SSES!R250)</f>
        <v>76.316314215248994</v>
      </c>
      <c r="S250" s="413">
        <f>CHOOSE($B$3,ENWL!S250,NPgN!S250,NPgY!S250,WMID!S250,EMID!S250,SWALES!S250,SWEST!S250,LPN!S250,SPN!S250,EPN!S250,SPD!S250,SPMW!S250,SSEH!S250,SSES!S250)</f>
        <v>81.374484759045359</v>
      </c>
      <c r="T250" s="413">
        <f>CHOOSE($B$3,ENWL!T250,NPgN!T250,NPgY!T250,WMID!T250,EMID!T250,SWALES!T250,SWEST!T250,LPN!T250,SPN!T250,EPN!T250,SPD!T250,SPMW!T250,SSEH!T250,SSES!T250)</f>
        <v>86.472798316801928</v>
      </c>
      <c r="U250" s="413">
        <f>CHOOSE($B$3,ENWL!U250,NPgN!U250,NPgY!U250,WMID!U250,EMID!U250,SWALES!U250,SWEST!U250,LPN!U250,SPN!U250,EPN!U250,SPD!U250,SPMW!U250,SSEH!U250,SSES!U250)</f>
        <v>88.773713396244773</v>
      </c>
      <c r="V250" s="413">
        <f>CHOOSE($B$3,ENWL!V250,NPgN!V250,NPgY!V250,WMID!V250,EMID!V250,SWALES!V250,SWEST!V250,LPN!V250,SPN!V250,EPN!V250,SPD!V250,SPMW!V250,SSEH!V250,SSES!V250)</f>
        <v>99.987059669302653</v>
      </c>
      <c r="W250" s="413">
        <f>CHOOSE($B$3,ENWL!W250,NPgN!W250,NPgY!W250,WMID!W250,EMID!W250,SWALES!W250,SWEST!W250,LPN!W250,SPN!W250,EPN!W250,SPD!W250,SPMW!W250,SSEH!W250,SSES!W250)</f>
        <v>92.334630861645195</v>
      </c>
      <c r="X250" s="413">
        <f>CHOOSE($B$3,ENWL!X250,NPgN!X250,NPgY!X250,WMID!X250,EMID!X250,SWALES!X250,SWEST!X250,LPN!X250,SPN!X250,EPN!X250,SPD!X250,SPMW!X250,SSEH!X250,SSES!X250)</f>
        <v>97.405183056914325</v>
      </c>
      <c r="Y250" s="413">
        <f>CHOOSE($B$3,ENWL!Y250,NPgN!Y250,NPgY!Y250,WMID!Y250,EMID!Y250,SWALES!Y250,SWEST!Y250,LPN!Y250,SPN!Y250,EPN!Y250,SPD!Y250,SPMW!Y250,SSEH!Y250,SSES!Y250)</f>
        <v>91.254455029953064</v>
      </c>
      <c r="Z250" s="413">
        <f>CHOOSE($B$3,ENWL!Z250,NPgN!Z250,NPgY!Z250,WMID!Z250,EMID!Z250,SWALES!Z250,SWEST!Z250,LPN!Z250,SPN!Z250,EPN!Z250,SPD!Z250,SPMW!Z250,SSEH!Z250,SSES!Z250)</f>
        <v>107.8513973764981</v>
      </c>
      <c r="AA250" s="413">
        <f>CHOOSE($B$3,ENWL!AA250,NPgN!AA250,NPgY!AA250,WMID!AA250,EMID!AA250,SWALES!AA250,SWEST!AA250,LPN!AA250,SPN!AA250,EPN!AA250,SPD!AA250,SPMW!AA250,SSEH!AA250,SSES!AA250)</f>
        <v>112.7814106362575</v>
      </c>
      <c r="AB250" s="413">
        <f>CHOOSE($B$3,ENWL!AB250,NPgN!AB250,NPgY!AB250,WMID!AB250,EMID!AB250,SWALES!AB250,SWEST!AB250,LPN!AB250,SPN!AB250,EPN!AB250,SPD!AB250,SPMW!AB250,SSEH!AB250,SSES!AB250)</f>
        <v>129.46104758722427</v>
      </c>
      <c r="AC250" s="413">
        <f>CHOOSE($B$3,ENWL!AC250,NPgN!AC250,NPgY!AC250,WMID!AC250,EMID!AC250,SWALES!AC250,SWEST!AC250,LPN!AC250,SPN!AC250,EPN!AC250,SPD!AC250,SPMW!AC250,SSEH!AC250,SSES!AC250)</f>
        <v>128.05734461084816</v>
      </c>
      <c r="AD250" s="413">
        <f>CHOOSE($B$3,ENWL!AD250,NPgN!AD250,NPgY!AD250,WMID!AD250,EMID!AD250,SWALES!AD250,SWEST!AD250,LPN!AD250,SPN!AD250,EPN!AD250,SPD!AD250,SPMW!AD250,SSEH!AD250,SSES!AD250)</f>
        <v>124.36188074160526</v>
      </c>
      <c r="AE250" s="413">
        <f>CHOOSE($B$3,ENWL!AE250,NPgN!AE250,NPgY!AE250,WMID!AE250,EMID!AE250,SWALES!AE250,SWEST!AE250,LPN!AE250,SPN!AE250,EPN!AE250,SPD!AE250,SPMW!AE250,SSEH!AE250,SSES!AE250)</f>
        <v>110.51366635320358</v>
      </c>
      <c r="AF250" s="413">
        <f>CHOOSE($B$3,ENWL!AF250,NPgN!AF250,NPgY!AF250,WMID!AF250,EMID!AF250,SWALES!AF250,SWEST!AF250,LPN!AF250,SPN!AF250,EPN!AF250,SPD!AF250,SPMW!AF250,SSEH!AF250,SSES!AF250)</f>
        <v>110.87417588734979</v>
      </c>
      <c r="AG250" s="413">
        <f>CHOOSE($B$3,ENWL!AG250,NPgN!AG250,NPgY!AG250,WMID!AG250,EMID!AG250,SWALES!AG250,SWEST!AG250,LPN!AG250,SPN!AG250,EPN!AG250,SPD!AG250,SPMW!AG250,SSEH!AG250,SSES!AG250)</f>
        <v>159.43632367418397</v>
      </c>
      <c r="AH250" s="413">
        <f>CHOOSE($B$3,ENWL!AH250,NPgN!AH250,NPgY!AH250,WMID!AH250,EMID!AH250,SWALES!AH250,SWEST!AH250,LPN!AH250,SPN!AH250,EPN!AH250,SPD!AH250,SPMW!AH250,SSEH!AH250,SSES!AH250)</f>
        <v>179.23991373181218</v>
      </c>
      <c r="AI250" s="413">
        <f>CHOOSE($B$3,ENWL!AI250,NPgN!AI250,NPgY!AI250,WMID!AI250,EMID!AI250,SWALES!AI250,SWEST!AI250,LPN!AI250,SPN!AI250,EPN!AI250,SPD!AI250,SPMW!AI250,SSEH!AI250,SSES!AI250)</f>
        <v>158.09167183610603</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287</v>
      </c>
      <c r="F251" s="82"/>
      <c r="G251" s="2" t="s">
        <v>105</v>
      </c>
      <c r="H251" s="82"/>
      <c r="I251" s="82"/>
      <c r="J251" s="82"/>
      <c r="K251" s="413">
        <f>CHOOSE($B$3,ENWL!K251,NPgN!K251,NPgY!K251,WMID!K251,EMID!K251,SWALES!K251,SWEST!K251,LPN!K251,SPN!K251,EPN!K251,SPD!K251,SPMW!K251,SSEH!K251,SSES!K251)</f>
        <v>0</v>
      </c>
      <c r="L251" s="413">
        <f>CHOOSE($B$3,ENWL!L251,NPgN!L251,NPgY!L251,WMID!L251,EMID!L251,SWALES!L251,SWEST!L251,LPN!L251,SPN!L251,EPN!L251,SPD!L251,SPMW!L251,SSEH!L251,SSES!L251)</f>
        <v>0</v>
      </c>
      <c r="M251" s="413">
        <f>CHOOSE($B$3,ENWL!M251,NPgN!M251,NPgY!M251,WMID!M251,EMID!M251,SWALES!M251,SWEST!M251,LPN!M251,SPN!M251,EPN!M251,SPD!M251,SPMW!M251,SSEH!M251,SSES!M251)</f>
        <v>0</v>
      </c>
      <c r="N251" s="413">
        <f>CHOOSE($B$3,ENWL!N251,NPgN!N251,NPgY!N251,WMID!N251,EMID!N251,SWALES!N251,SWEST!N251,LPN!N251,SPN!N251,EPN!N251,SPD!N251,SPMW!N251,SSEH!N251,SSES!N251)</f>
        <v>0</v>
      </c>
      <c r="O251" s="413">
        <f>CHOOSE($B$3,ENWL!O251,NPgN!O251,NPgY!O251,WMID!O251,EMID!O251,SWALES!O251,SWEST!O251,LPN!O251,SPN!O251,EPN!O251,SPD!O251,SPMW!O251,SSEH!O251,SSES!O251)</f>
        <v>0</v>
      </c>
      <c r="P251" s="413">
        <f>CHOOSE($B$3,ENWL!P251,NPgN!P251,NPgY!P251,WMID!P251,EMID!P251,SWALES!P251,SWEST!P251,LPN!P251,SPN!P251,EPN!P251,SPD!P251,SPMW!P251,SSEH!P251,SSES!P251)</f>
        <v>0</v>
      </c>
      <c r="Q251" s="413">
        <f>CHOOSE($B$3,ENWL!Q251,NPgN!Q251,NPgY!Q251,WMID!Q251,EMID!Q251,SWALES!Q251,SWEST!Q251,LPN!Q251,SPN!Q251,EPN!Q251,SPD!Q251,SPMW!Q251,SSEH!Q251,SSES!Q251)</f>
        <v>0</v>
      </c>
      <c r="R251" s="413">
        <f>CHOOSE($B$3,ENWL!R251,NPgN!R251,NPgY!R251,WMID!R251,EMID!R251,SWALES!R251,SWEST!R251,LPN!R251,SPN!R251,EPN!R251,SPD!R251,SPMW!R251,SSEH!R251,SSES!R251)</f>
        <v>0</v>
      </c>
      <c r="S251" s="413">
        <f>CHOOSE($B$3,ENWL!S251,NPgN!S251,NPgY!S251,WMID!S251,EMID!S251,SWALES!S251,SWEST!S251,LPN!S251,SPN!S251,EPN!S251,SPD!S251,SPMW!S251,SSEH!S251,SSES!S251)</f>
        <v>0</v>
      </c>
      <c r="T251" s="413">
        <f>CHOOSE($B$3,ENWL!T251,NPgN!T251,NPgY!T251,WMID!T251,EMID!T251,SWALES!T251,SWEST!T251,LPN!T251,SPN!T251,EPN!T251,SPD!T251,SPMW!T251,SSEH!T251,SSES!T251)</f>
        <v>0</v>
      </c>
      <c r="U251" s="413">
        <f>CHOOSE($B$3,ENWL!U251,NPgN!U251,NPgY!U251,WMID!U251,EMID!U251,SWALES!U251,SWEST!U251,LPN!U251,SPN!U251,EPN!U251,SPD!U251,SPMW!U251,SSEH!U251,SSES!U251)</f>
        <v>0</v>
      </c>
      <c r="V251" s="413">
        <f>CHOOSE($B$3,ENWL!V251,NPgN!V251,NPgY!V251,WMID!V251,EMID!V251,SWALES!V251,SWEST!V251,LPN!V251,SPN!V251,EPN!V251,SPD!V251,SPMW!V251,SSEH!V251,SSES!V251)</f>
        <v>0</v>
      </c>
      <c r="W251" s="413">
        <f>CHOOSE($B$3,ENWL!W251,NPgN!W251,NPgY!W251,WMID!W251,EMID!W251,SWALES!W251,SWEST!W251,LPN!W251,SPN!W251,EPN!W251,SPD!W251,SPMW!W251,SSEH!W251,SSES!W251)</f>
        <v>0</v>
      </c>
      <c r="X251" s="413">
        <f>CHOOSE($B$3,ENWL!X251,NPgN!X251,NPgY!X251,WMID!X251,EMID!X251,SWALES!X251,SWEST!X251,LPN!X251,SPN!X251,EPN!X251,SPD!X251,SPMW!X251,SSEH!X251,SSES!X251)</f>
        <v>0</v>
      </c>
      <c r="Y251" s="413">
        <f>CHOOSE($B$3,ENWL!Y251,NPgN!Y251,NPgY!Y251,WMID!Y251,EMID!Y251,SWALES!Y251,SWEST!Y251,LPN!Y251,SPN!Y251,EPN!Y251,SPD!Y251,SPMW!Y251,SSEH!Y251,SSES!Y251)</f>
        <v>0</v>
      </c>
      <c r="Z251" s="413">
        <f>CHOOSE($B$3,ENWL!Z251,NPgN!Z251,NPgY!Z251,WMID!Z251,EMID!Z251,SWALES!Z251,SWEST!Z251,LPN!Z251,SPN!Z251,EPN!Z251,SPD!Z251,SPMW!Z251,SSEH!Z251,SSES!Z251)</f>
        <v>0</v>
      </c>
      <c r="AA251" s="413">
        <f>CHOOSE($B$3,ENWL!AA251,NPgN!AA251,NPgY!AA251,WMID!AA251,EMID!AA251,SWALES!AA251,SWEST!AA251,LPN!AA251,SPN!AA251,EPN!AA251,SPD!AA251,SPMW!AA251,SSEH!AA251,SSES!AA251)</f>
        <v>0</v>
      </c>
      <c r="AB251" s="413">
        <f>CHOOSE($B$3,ENWL!AB251,NPgN!AB251,NPgY!AB251,WMID!AB251,EMID!AB251,SWALES!AB251,SWEST!AB251,LPN!AB251,SPN!AB251,EPN!AB251,SPD!AB251,SPMW!AB251,SSEH!AB251,SSES!AB251)</f>
        <v>0</v>
      </c>
      <c r="AC251" s="413">
        <f>CHOOSE($B$3,ENWL!AC251,NPgN!AC251,NPgY!AC251,WMID!AC251,EMID!AC251,SWALES!AC251,SWEST!AC251,LPN!AC251,SPN!AC251,EPN!AC251,SPD!AC251,SPMW!AC251,SSEH!AC251,SSES!AC251)</f>
        <v>0</v>
      </c>
      <c r="AD251" s="413">
        <f>CHOOSE($B$3,ENWL!AD251,NPgN!AD251,NPgY!AD251,WMID!AD251,EMID!AD251,SWALES!AD251,SWEST!AD251,LPN!AD251,SPN!AD251,EPN!AD251,SPD!AD251,SPMW!AD251,SSEH!AD251,SSES!AD251)</f>
        <v>0</v>
      </c>
      <c r="AE251" s="413">
        <f>CHOOSE($B$3,ENWL!AE251,NPgN!AE251,NPgY!AE251,WMID!AE251,EMID!AE251,SWALES!AE251,SWEST!AE251,LPN!AE251,SPN!AE251,EPN!AE251,SPD!AE251,SPMW!AE251,SSEH!AE251,SSES!AE251)</f>
        <v>0</v>
      </c>
      <c r="AF251" s="413">
        <f>CHOOSE($B$3,ENWL!AF251,NPgN!AF251,NPgY!AF251,WMID!AF251,EMID!AF251,SWALES!AF251,SWEST!AF251,LPN!AF251,SPN!AF251,EPN!AF251,SPD!AF251,SPMW!AF251,SSEH!AF251,SSES!AF251)</f>
        <v>0</v>
      </c>
      <c r="AG251" s="413">
        <f>CHOOSE($B$3,ENWL!AG251,NPgN!AG251,NPgY!AG251,WMID!AG251,EMID!AG251,SWALES!AG251,SWEST!AG251,LPN!AG251,SPN!AG251,EPN!AG251,SPD!AG251,SPMW!AG251,SSEH!AG251,SSES!AG251)</f>
        <v>0</v>
      </c>
      <c r="AH251" s="413">
        <f>CHOOSE($B$3,ENWL!AH251,NPgN!AH251,NPgY!AH251,WMID!AH251,EMID!AH251,SWALES!AH251,SWEST!AH251,LPN!AH251,SPN!AH251,EPN!AH251,SPD!AH251,SPMW!AH251,SSEH!AH251,SSES!AH251)</f>
        <v>0</v>
      </c>
      <c r="AI251" s="413">
        <f>CHOOSE($B$3,ENWL!AI251,NPgN!AI251,NPgY!AI251,WMID!AI251,EMID!AI251,SWALES!AI251,SWEST!AI251,LPN!AI251,SPN!AI251,EPN!AI251,SPD!AI251,SPMW!AI251,SSEH!AI251,SSES!AI251)</f>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288</v>
      </c>
      <c r="F252" s="82"/>
      <c r="G252" s="2" t="s">
        <v>105</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CHOOSE($B$3,ENWL!AH252,NPgN!AH252,NPgY!AH252,WMID!AH252,EMID!AH252,SWALES!AH252,SWEST!AH252,LPN!AH252,SPN!AH252,EPN!AH252,SPD!AH252,SPMW!AH252,SSEH!AH252,SSES!AH252)</f>
        <v>-0.45374134482442691</v>
      </c>
      <c r="AI252" s="413">
        <f>CHOOSE($B$3,ENWL!AI252,NPgN!AI252,NPgY!AI252,WMID!AI252,EMID!AI252,SWALES!AI252,SWEST!AI252,LPN!AI252,SPN!AI252,EPN!AI252,SPD!AI252,SPMW!AI252,SSEH!AI252,SSES!AI252)</f>
        <v>31.826224156279334</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289</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256</v>
      </c>
      <c r="F256" s="82"/>
      <c r="G256" s="82" t="s">
        <v>209</v>
      </c>
      <c r="H256" s="82" t="s">
        <v>290</v>
      </c>
      <c r="I256" s="409">
        <f>CHOOSE($B$3,ENWL!I256,NPgN!I256,NPgY!I256,WMID!I256,EMID!I256,SWALES!I256,SWEST!I256,LPN!I256,SPN!I256,EPN!I256,SPD!I256,SPMW!I256,SSEH!I256,SSES!I256)</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291</v>
      </c>
      <c r="F257" s="82"/>
      <c r="G257" s="82" t="s">
        <v>249</v>
      </c>
      <c r="H257" s="82" t="s">
        <v>292</v>
      </c>
      <c r="I257" s="409">
        <f>CHOOSE($B$3,ENWL!I257,NPgN!I257,NPgY!I257,WMID!I257,EMID!I257,SWALES!I257,SWEST!I257,LPN!I257,SPN!I257,EPN!I257,SPD!I257,SPMW!I257,SSEH!I257,SSES!I257)</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293</v>
      </c>
      <c r="F258" s="82"/>
      <c r="G258" s="82" t="s">
        <v>249</v>
      </c>
      <c r="H258" s="82" t="s">
        <v>294</v>
      </c>
      <c r="I258" s="409">
        <f>CHOOSE($B$3,ENWL!I258,NPgN!I258,NPgY!I258,WMID!I258,EMID!I258,SWALES!I258,SWEST!I258,LPN!I258,SPN!I258,EPN!I258,SPD!I258,SPMW!I258,SSEH!I258,SSES!I258)</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295</v>
      </c>
      <c r="F259" s="82"/>
      <c r="G259" s="82" t="s">
        <v>209</v>
      </c>
      <c r="H259" s="82" t="s">
        <v>296</v>
      </c>
      <c r="I259" s="409">
        <f>CHOOSE($B$3,ENWL!I259,NPgN!I259,NPgY!I259,WMID!I259,EMID!I259,SWALES!I259,SWEST!I259,LPN!I259,SPN!I259,EPN!I259,SPD!I259,SPMW!I259,SSEH!I259,SSES!I259)</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297</v>
      </c>
      <c r="F260" s="82"/>
      <c r="G260" s="82" t="s">
        <v>209</v>
      </c>
      <c r="H260" s="82" t="s">
        <v>298</v>
      </c>
      <c r="I260" s="409">
        <f>CHOOSE($B$3,ENWL!I260,NPgN!I260,NPgY!I260,WMID!I260,EMID!I260,SWALES!I260,SWEST!I260,LPN!I260,SPN!I260,EPN!I260,SPD!I260,SPMW!I260,SSEH!I260,SSES!I260)</f>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299</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300</v>
      </c>
      <c r="F264" s="2"/>
      <c r="G264" s="82" t="s">
        <v>301</v>
      </c>
      <c r="H264" s="82" t="s">
        <v>302</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477">
        <f>CHOOSE($B$3,ENWL!AQ264,NPgN!AQ264,NPgY!AQ264,WMID!AQ264,EMID!AQ264,SWALES!AQ264,SWEST!AQ264,LPN!AQ264,SPN!AQ264,EPN!AQ264,SPD!AQ264,SPMW!AQ264,SSEH!AQ264,SSES!AQ264)</f>
        <v>0</v>
      </c>
      <c r="AR264" s="207"/>
      <c r="AS264" s="207"/>
      <c r="AT264" s="207"/>
      <c r="AU264" s="207"/>
      <c r="AV264" s="207"/>
      <c r="AW264" s="184"/>
    </row>
    <row r="265" spans="1:49" ht="15">
      <c r="A265" s="82"/>
      <c r="B265" s="82"/>
      <c r="C265" s="82"/>
      <c r="D265" s="82"/>
      <c r="E265" s="82" t="s">
        <v>303</v>
      </c>
      <c r="F265" s="2"/>
      <c r="G265" s="82" t="s">
        <v>304</v>
      </c>
      <c r="H265" s="82" t="s">
        <v>305</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f>CHOOSE($B$3,ENWL!AR265,NPgN!AR265,NPgY!AR265,WMID!AR265,EMID!AR265,SWALES!AR265,SWEST!AR265,LPN!AR265,SPN!AR265,EPN!AR265,SPD!AR265,SPMW!AR265,SSEH!AR265,SSES!AR265)</f>
        <v>358.9475594299426</v>
      </c>
      <c r="AS265" s="476">
        <f>CHOOSE($B$3,ENWL!AS265,NPgN!AS265,NPgY!AS265,WMID!AS265,EMID!AS265,SWALES!AS265,SWEST!AS265,LPN!AS265,SPN!AS265,EPN!AS265,SPD!AS265,SPMW!AS265,SSEH!AS265,SSES!AS265)</f>
        <v>501.22414267437853</v>
      </c>
      <c r="AT265" s="476">
        <f>CHOOSE($B$3,ENWL!AT265,NPgN!AT265,NPgY!AT265,WMID!AT265,EMID!AT265,SWALES!AT265,SWEST!AT265,LPN!AT265,SPN!AT265,EPN!AT265,SPD!AT265,SPMW!AT265,SSEH!AT265,SSES!AT265)</f>
        <v>0</v>
      </c>
      <c r="AU265" s="476">
        <f>CHOOSE($B$3,ENWL!AU265,NPgN!AU265,NPgY!AU265,WMID!AU265,EMID!AU265,SWALES!AU265,SWEST!AU265,LPN!AU265,SPN!AU265,EPN!AU265,SPD!AU265,SPMW!AU265,SSEH!AU265,SSES!AU265)</f>
        <v>0</v>
      </c>
      <c r="AV265" s="476">
        <f>CHOOSE($B$3,ENWL!AV265,NPgN!AV265,NPgY!AV265,WMID!AV265,EMID!AV265,SWALES!AV265,SWEST!AV265,LPN!AV265,SPN!AV265,EPN!AV265,SPD!AV265,SPMW!AV265,SSEH!AV265,SSES!AV265)</f>
        <v>0</v>
      </c>
      <c r="AW265" s="184"/>
    </row>
    <row r="266" spans="1:49" ht="15">
      <c r="A266" s="82"/>
      <c r="B266" s="82"/>
      <c r="C266" s="82"/>
      <c r="D266" s="82"/>
      <c r="E266" s="82" t="s">
        <v>306</v>
      </c>
      <c r="F266" s="2"/>
      <c r="G266" s="82" t="s">
        <v>304</v>
      </c>
      <c r="H266" s="82" t="s">
        <v>307</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244"/>
      <c r="AR266" s="476">
        <f>CHOOSE($B$3,ENWL!AR266,NPgN!AR266,NPgY!AR266,WMID!AR266,EMID!AR266,SWALES!AR266,SWEST!AR266,LPN!AR266,SPN!AR266,EPN!AR266,SPD!AR266,SPMW!AR266,SSEH!AR266,SSES!AR266)</f>
        <v>0</v>
      </c>
      <c r="AS266" s="476">
        <f>CHOOSE($B$3,ENWL!AS266,NPgN!AS266,NPgY!AS266,WMID!AS266,EMID!AS266,SWALES!AS266,SWEST!AS266,LPN!AS266,SPN!AS266,EPN!AS266,SPD!AS266,SPMW!AS266,SSEH!AS266,SSES!AS266)</f>
        <v>0</v>
      </c>
      <c r="AT266" s="476">
        <f>CHOOSE($B$3,ENWL!AT266,NPgN!AT266,NPgY!AT266,WMID!AT266,EMID!AT266,SWALES!AT266,SWEST!AT266,LPN!AT266,SPN!AT266,EPN!AT266,SPD!AT266,SPMW!AT266,SSEH!AT266,SSES!AT266)</f>
        <v>0</v>
      </c>
      <c r="AU266" s="476">
        <f>CHOOSE($B$3,ENWL!AU266,NPgN!AU266,NPgY!AU266,WMID!AU266,EMID!AU266,SWALES!AU266,SWEST!AU266,LPN!AU266,SPN!AU266,EPN!AU266,SPD!AU266,SPMW!AU266,SSEH!AU266,SSES!AU266)</f>
        <v>0</v>
      </c>
      <c r="AV266" s="476">
        <f>CHOOSE($B$3,ENWL!AV266,NPgN!AV266,NPgY!AV266,WMID!AV266,EMID!AV266,SWALES!AV266,SWEST!AV266,LPN!AV266,SPN!AV266,EPN!AV266,SPD!AV266,SPMW!AV266,SSEH!AV266,SSES!AV266)</f>
        <v>0</v>
      </c>
      <c r="AW266" s="184"/>
    </row>
    <row r="267" spans="1:49" ht="15">
      <c r="A267" s="82"/>
      <c r="B267" s="82"/>
      <c r="C267" s="82"/>
      <c r="D267" s="82"/>
      <c r="E267" s="82" t="s">
        <v>308</v>
      </c>
      <c r="F267" s="2"/>
      <c r="G267" s="82" t="s">
        <v>301</v>
      </c>
      <c r="H267" s="82" t="s">
        <v>309</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477">
        <f>CHOOSE($B$3,ENWL!AQ267,NPgN!AQ267,NPgY!AQ267,WMID!AQ267,EMID!AQ267,SWALES!AQ267,SWEST!AQ267,LPN!AQ267,SPN!AQ267,EPN!AQ267,SPD!AQ267,SPMW!AQ267,SSEH!AQ267,SSES!AQ267)</f>
        <v>0</v>
      </c>
      <c r="AR267" s="476">
        <f>CHOOSE($B$3,ENWL!AR267,NPgN!AR267,NPgY!AR267,WMID!AR267,EMID!AR267,SWALES!AR267,SWEST!AR267,LPN!AR267,SPN!AR267,EPN!AR267,SPD!AR267,SPMW!AR267,SSEH!AR267,SSES!AR267)</f>
        <v>0</v>
      </c>
      <c r="AS267" s="476">
        <f>CHOOSE($B$3,ENWL!AS267,NPgN!AS267,NPgY!AS267,WMID!AS267,EMID!AS267,SWALES!AS267,SWEST!AS267,LPN!AS267,SPN!AS267,EPN!AS267,SPD!AS267,SPMW!AS267,SSEH!AS267,SSES!AS267)</f>
        <v>0</v>
      </c>
      <c r="AT267" s="476">
        <f>CHOOSE($B$3,ENWL!AT267,NPgN!AT267,NPgY!AT267,WMID!AT267,EMID!AT267,SWALES!AT267,SWEST!AT267,LPN!AT267,SPN!AT267,EPN!AT267,SPD!AT267,SPMW!AT267,SSEH!AT267,SSES!AT267)</f>
        <v>0</v>
      </c>
      <c r="AU267" s="476">
        <f>CHOOSE($B$3,ENWL!AU267,NPgN!AU267,NPgY!AU267,WMID!AU267,EMID!AU267,SWALES!AU267,SWEST!AU267,LPN!AU267,SPN!AU267,EPN!AU267,SPD!AU267,SPMW!AU267,SSEH!AU267,SSES!AU267)</f>
        <v>0</v>
      </c>
      <c r="AV267" s="476">
        <f>CHOOSE($B$3,ENWL!AV267,NPgN!AV267,NPgY!AV267,WMID!AV267,EMID!AV267,SWALES!AV267,SWEST!AV267,LPN!AV267,SPN!AV267,EPN!AV267,SPD!AV267,SPMW!AV267,SSEH!AV267,SSES!AV267)</f>
        <v>0</v>
      </c>
      <c r="AW267" s="184"/>
    </row>
    <row r="268" spans="1:49" ht="15">
      <c r="A268" s="82"/>
      <c r="B268" s="82"/>
      <c r="C268" s="82"/>
      <c r="D268" s="82"/>
      <c r="E268" s="82" t="s">
        <v>310</v>
      </c>
      <c r="F268" s="82"/>
      <c r="G268" s="82" t="s">
        <v>304</v>
      </c>
      <c r="H268" s="82" t="s">
        <v>311</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f>CHOOSE($B$3,ENWL!AR268,NPgN!AR268,NPgY!AR268,WMID!AR268,EMID!AR268,SWALES!AR268,SWEST!AR268,LPN!AR268,SPN!AR268,EPN!AR268,SPD!AR268,SPMW!AR268,SSEH!AR268,SSES!AR268)</f>
        <v>0</v>
      </c>
      <c r="AS268" s="476">
        <f>CHOOSE($B$3,ENWL!AS268,NPgN!AS268,NPgY!AS268,WMID!AS268,EMID!AS268,SWALES!AS268,SWEST!AS268,LPN!AS268,SPN!AS268,EPN!AS268,SPD!AS268,SPMW!AS268,SSEH!AS268,SSES!AS268)</f>
        <v>0</v>
      </c>
      <c r="AT268" s="476">
        <f>CHOOSE($B$3,ENWL!AT268,NPgN!AT268,NPgY!AT268,WMID!AT268,EMID!AT268,SWALES!AT268,SWEST!AT268,LPN!AT268,SPN!AT268,EPN!AT268,SPD!AT268,SPMW!AT268,SSEH!AT268,SSES!AT268)</f>
        <v>0</v>
      </c>
      <c r="AU268" s="476">
        <f>CHOOSE($B$3,ENWL!AU268,NPgN!AU268,NPgY!AU268,WMID!AU268,EMID!AU268,SWALES!AU268,SWEST!AU268,LPN!AU268,SPN!AU268,EPN!AU268,SPD!AU268,SPMW!AU268,SSEH!AU268,SSES!AU268)</f>
        <v>0</v>
      </c>
      <c r="AV268" s="476">
        <f>CHOOSE($B$3,ENWL!AV268,NPgN!AV268,NPgY!AV268,WMID!AV268,EMID!AV268,SWALES!AV268,SWEST!AV268,LPN!AV268,SPN!AV268,EPN!AV268,SPD!AV268,SPMW!AV268,SSEH!AV268,SSES!AV268)</f>
        <v>0</v>
      </c>
      <c r="AW268" s="184"/>
    </row>
    <row r="269" spans="1:49" ht="15">
      <c r="A269" s="82"/>
      <c r="B269" s="82"/>
      <c r="C269" s="82"/>
      <c r="D269" s="82"/>
      <c r="E269" s="82" t="s">
        <v>312</v>
      </c>
      <c r="F269" s="82"/>
      <c r="G269" s="82" t="s">
        <v>304</v>
      </c>
      <c r="H269" s="82" t="s">
        <v>313</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244"/>
      <c r="AR269" s="476">
        <f>CHOOSE($B$3,ENWL!AR269,NPgN!AR269,NPgY!AR269,WMID!AR269,EMID!AR269,SWALES!AR269,SWEST!AR269,LPN!AR269,SPN!AR269,EPN!AR269,SPD!AR269,SPMW!AR269,SSEH!AR269,SSES!AR269)</f>
        <v>-3.2831683333333334E-2</v>
      </c>
      <c r="AS269" s="476">
        <f>CHOOSE($B$3,ENWL!AS269,NPgN!AS269,NPgY!AS269,WMID!AS269,EMID!AS269,SWALES!AS269,SWEST!AS269,LPN!AS269,SPN!AS269,EPN!AS269,SPD!AS269,SPMW!AS269,SSEH!AS269,SSES!AS269)</f>
        <v>0</v>
      </c>
      <c r="AT269" s="476">
        <f>CHOOSE($B$3,ENWL!AT269,NPgN!AT269,NPgY!AT269,WMID!AT269,EMID!AT269,SWALES!AT269,SWEST!AT269,LPN!AT269,SPN!AT269,EPN!AT269,SPD!AT269,SPMW!AT269,SSEH!AT269,SSES!AT269)</f>
        <v>0</v>
      </c>
      <c r="AU269" s="476">
        <f>CHOOSE($B$3,ENWL!AU269,NPgN!AU269,NPgY!AU269,WMID!AU269,EMID!AU269,SWALES!AU269,SWEST!AU269,LPN!AU269,SPN!AU269,EPN!AU269,SPD!AU269,SPMW!AU269,SSEH!AU269,SSES!AU269)</f>
        <v>0</v>
      </c>
      <c r="AV269" s="476">
        <f>CHOOSE($B$3,ENWL!AV269,NPgN!AV269,NPgY!AV269,WMID!AV269,EMID!AV269,SWALES!AV269,SWEST!AV269,LPN!AV269,SPN!AV269,EPN!AV269,SPD!AV269,SPMW!AV269,SSEH!AV269,SSES!AV269)</f>
        <v>0</v>
      </c>
      <c r="AW269" s="184"/>
    </row>
    <row r="270" spans="1:49" ht="15">
      <c r="A270" s="82"/>
      <c r="B270" s="82"/>
      <c r="C270" s="82"/>
      <c r="D270" s="82"/>
      <c r="E270" s="131" t="s">
        <v>314</v>
      </c>
      <c r="F270" s="34"/>
      <c r="G270" s="7" t="s">
        <v>315</v>
      </c>
      <c r="H270" s="34" t="s">
        <v>316</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CHOOSE($B$3,ENWL!AQ270,NPgN!AQ270,NPgY!AQ270,WMID!AQ270,EMID!AQ270,SWALES!AQ270,SWEST!AQ270,LPN!AQ270,SPN!AQ270,EPN!AQ270,SPD!AQ270,SPMW!AQ270,SSEH!AQ270,SSES!AQ270)</f>
        <v>0</v>
      </c>
      <c r="AR270" s="476">
        <f>CHOOSE($B$3,ENWL!AR270,NPgN!AR270,NPgY!AR270,WMID!AR270,EMID!AR270,SWALES!AR270,SWEST!AR270,LPN!AR270,SPN!AR270,EPN!AR270,SPD!AR270,SPMW!AR270,SSEH!AR270,SSES!AR270)</f>
        <v>0</v>
      </c>
      <c r="AS270" s="476">
        <f>CHOOSE($B$3,ENWL!AS270,NPgN!AS270,NPgY!AS270,WMID!AS270,EMID!AS270,SWALES!AS270,SWEST!AS270,LPN!AS270,SPN!AS270,EPN!AS270,SPD!AS270,SPMW!AS270,SSEH!AS270,SSES!AS270)</f>
        <v>0</v>
      </c>
      <c r="AT270" s="476">
        <f>CHOOSE($B$3,ENWL!AT270,NPgN!AT270,NPgY!AT270,WMID!AT270,EMID!AT270,SWALES!AT270,SWEST!AT270,LPN!AT270,SPN!AT270,EPN!AT270,SPD!AT270,SPMW!AT270,SSEH!AT270,SSES!AT270)</f>
        <v>0</v>
      </c>
      <c r="AU270" s="476">
        <f>CHOOSE($B$3,ENWL!AU270,NPgN!AU270,NPgY!AU270,WMID!AU270,EMID!AU270,SWALES!AU270,SWEST!AU270,LPN!AU270,SPN!AU270,EPN!AU270,SPD!AU270,SPMW!AU270,SSEH!AU270,SSES!AU270)</f>
        <v>0</v>
      </c>
      <c r="AV270" s="476">
        <f>CHOOSE($B$3,ENWL!AV270,NPgN!AV270,NPgY!AV270,WMID!AV270,EMID!AV270,SWALES!AV270,SWEST!AV270,LPN!AV270,SPN!AV270,EPN!AV270,SPD!AV270,SPMW!AV270,SSEH!AV270,SSES!AV270)</f>
        <v>0</v>
      </c>
      <c r="AW270" s="184"/>
    </row>
    <row r="271" spans="1:49" ht="15">
      <c r="A271" s="82"/>
      <c r="B271" s="82"/>
      <c r="C271" s="82"/>
      <c r="D271" s="82"/>
      <c r="E271" s="131" t="s">
        <v>317</v>
      </c>
      <c r="F271" s="34"/>
      <c r="G271" s="7" t="s">
        <v>315</v>
      </c>
      <c r="H271" s="34" t="s">
        <v>318</v>
      </c>
      <c r="I271" s="82"/>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477">
        <f>CHOOSE($B$3,ENWL!AQ271,NPgN!AQ271,NPgY!AQ271,WMID!AQ271,EMID!AQ271,SWALES!AQ271,SWEST!AQ271,LPN!AQ271,SPN!AQ271,EPN!AQ271,SPD!AQ271,SPMW!AQ271,SSEH!AQ271,SSES!AQ271)</f>
        <v>0</v>
      </c>
      <c r="AR271" s="476">
        <f>CHOOSE($B$3,ENWL!AR271,NPgN!AR271,NPgY!AR271,WMID!AR271,EMID!AR271,SWALES!AR271,SWEST!AR271,LPN!AR271,SPN!AR271,EPN!AR271,SPD!AR271,SPMW!AR271,SSEH!AR271,SSES!AR271)</f>
        <v>0</v>
      </c>
      <c r="AS271" s="476">
        <f>CHOOSE($B$3,ENWL!AS271,NPgN!AS271,NPgY!AS271,WMID!AS271,EMID!AS271,SWALES!AS271,SWEST!AS271,LPN!AS271,SPN!AS271,EPN!AS271,SPD!AS271,SPMW!AS271,SSEH!AS271,SSES!AS271)</f>
        <v>0</v>
      </c>
      <c r="AT271" s="476">
        <f>CHOOSE($B$3,ENWL!AT271,NPgN!AT271,NPgY!AT271,WMID!AT271,EMID!AT271,SWALES!AT271,SWEST!AT271,LPN!AT271,SPN!AT271,EPN!AT271,SPD!AT271,SPMW!AT271,SSEH!AT271,SSES!AT271)</f>
        <v>0</v>
      </c>
      <c r="AU271" s="476">
        <f>CHOOSE($B$3,ENWL!AU271,NPgN!AU271,NPgY!AU271,WMID!AU271,EMID!AU271,SWALES!AU271,SWEST!AU271,LPN!AU271,SPN!AU271,EPN!AU271,SPD!AU271,SPMW!AU271,SSEH!AU271,SSES!AU271)</f>
        <v>0</v>
      </c>
      <c r="AV271" s="476">
        <f>CHOOSE($B$3,ENWL!AV271,NPgN!AV271,NPgY!AV271,WMID!AV271,EMID!AV271,SWALES!AV271,SWEST!AV271,LPN!AV271,SPN!AV271,EPN!AV271,SPD!AV271,SPMW!AV271,SSEH!AV271,SSES!AV271)</f>
        <v>0</v>
      </c>
      <c r="AW271" s="184"/>
    </row>
    <row r="272" spans="1:49" ht="15">
      <c r="A272" s="82"/>
      <c r="B272" s="82"/>
      <c r="C272" s="82"/>
      <c r="D272" s="82"/>
      <c r="E272" s="82" t="s">
        <v>319</v>
      </c>
      <c r="F272" s="2"/>
      <c r="G272" s="82" t="s">
        <v>209</v>
      </c>
      <c r="H272" s="82"/>
      <c r="I272" s="409">
        <f>CHOOSE($B$3,ENWL!I272,NPgN!I272,NPgY!I272,WMID!I272,EMID!I272,SWALES!I272,SWEST!I272,LPN!I272,SPN!I272,EPN!I272,SPD!I272,SPMW!I272,SSEH!I272,SSES!I272)</f>
        <v>0.06</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320</v>
      </c>
      <c r="F273" s="2"/>
      <c r="G273" s="82" t="s">
        <v>209</v>
      </c>
      <c r="H273" s="82"/>
      <c r="I273" s="409">
        <f>CHOOSE($B$3,ENWL!I273,NPgN!I273,NPgY!I273,WMID!I273,EMID!I273,SWALES!I273,SWEST!I273,LPN!I273,SPN!I273,EPN!I273,SPD!I273,SPMW!I273,SSEH!I273,SSES!I273)</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t="s">
        <v>321</v>
      </c>
      <c r="F274" s="82"/>
      <c r="G274" s="82" t="s">
        <v>209</v>
      </c>
      <c r="H274" s="82"/>
      <c r="I274" s="409">
        <f>CHOOSE($B$3,ENWL!I274,NPgN!I274,NPgY!I274,WMID!I274,EMID!I274,SWALES!I274,SWEST!I274,LPN!I274,SPN!I274,EPN!I274,SPD!I274,SPMW!I274,SSEH!I274,SSES!I274)</f>
        <v>1.15E-2</v>
      </c>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4"/>
      <c r="AR274" s="207"/>
      <c r="AS274" s="207"/>
      <c r="AT274" s="207"/>
      <c r="AU274" s="207"/>
      <c r="AV274" s="207"/>
      <c r="AW274" s="184"/>
    </row>
    <row r="275" spans="1:49" ht="15">
      <c r="A275" s="82"/>
      <c r="B275" s="82"/>
      <c r="C275" s="82"/>
      <c r="D275" s="82"/>
      <c r="E275" s="82"/>
      <c r="F275" s="82"/>
      <c r="G275" s="82"/>
      <c r="H275" s="82"/>
      <c r="I275" s="82"/>
      <c r="J275" s="82"/>
      <c r="K275" s="82"/>
      <c r="L275" s="82"/>
      <c r="M275" s="82"/>
      <c r="N275" s="82"/>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43"/>
      <c r="AR275" s="145"/>
      <c r="AS275" s="184"/>
      <c r="AT275" s="184"/>
      <c r="AU275" s="184"/>
      <c r="AV275" s="184"/>
      <c r="AW275" s="184"/>
    </row>
    <row r="276" spans="1:49" ht="15">
      <c r="A276" s="82"/>
      <c r="B276" s="408" t="s">
        <v>322</v>
      </c>
      <c r="C276" s="408"/>
      <c r="D276" s="408"/>
      <c r="E276" s="408"/>
      <c r="F276" s="408"/>
      <c r="G276" s="408"/>
      <c r="H276" s="408"/>
      <c r="I276" s="408"/>
      <c r="J276" s="408"/>
      <c r="K276" s="408"/>
      <c r="L276" s="408"/>
      <c r="M276" s="408"/>
      <c r="N276" s="408"/>
      <c r="O276" s="405"/>
      <c r="P276" s="405"/>
      <c r="Q276" s="405"/>
      <c r="R276" s="405"/>
      <c r="S276" s="405"/>
      <c r="T276" s="405"/>
      <c r="U276" s="405"/>
      <c r="V276" s="405"/>
      <c r="W276" s="405"/>
      <c r="X276" s="405"/>
      <c r="Y276" s="405"/>
      <c r="Z276" s="405"/>
      <c r="AA276" s="405"/>
      <c r="AB276" s="405"/>
      <c r="AC276" s="405"/>
      <c r="AD276" s="405"/>
      <c r="AE276" s="405"/>
      <c r="AF276" s="405"/>
      <c r="AG276" s="405"/>
      <c r="AH276" s="405"/>
      <c r="AI276" s="405"/>
      <c r="AJ276" s="405"/>
      <c r="AK276" s="405"/>
      <c r="AL276" s="405"/>
      <c r="AM276" s="405"/>
      <c r="AN276" s="405"/>
      <c r="AO276" s="405"/>
      <c r="AP276" s="405"/>
      <c r="AQ276" s="407"/>
      <c r="AR276" s="406"/>
      <c r="AS276" s="405"/>
      <c r="AT276" s="405"/>
      <c r="AU276" s="405"/>
      <c r="AV276" s="405"/>
      <c r="AW276" s="184"/>
    </row>
    <row r="277" spans="1:49" ht="15">
      <c r="A277" s="82"/>
      <c r="B277" s="82"/>
      <c r="C277" s="82"/>
      <c r="D277" s="82"/>
      <c r="E277" s="82"/>
      <c r="F277" s="82"/>
      <c r="G277" s="82"/>
      <c r="H277" s="82"/>
      <c r="I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145"/>
      <c r="AS277" s="184"/>
      <c r="AT277" s="184"/>
      <c r="AU277" s="184"/>
      <c r="AV277" s="184"/>
      <c r="AW277" s="184"/>
    </row>
    <row r="278" spans="1:49" ht="15">
      <c r="A278" s="82"/>
      <c r="B278" s="82"/>
      <c r="C278" s="82"/>
      <c r="D278" s="82"/>
      <c r="E278" s="82" t="s">
        <v>323</v>
      </c>
      <c r="F278" s="82"/>
      <c r="G278" s="82" t="s">
        <v>105</v>
      </c>
      <c r="H278" s="82" t="s">
        <v>324</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f>CHOOSE($B$3,ENWL!AR278,NPgN!AR278,NPgY!AR278,WMID!AR278,EMID!AR278,SWALES!AR278,SWEST!AR278,LPN!AR278,SPN!AR278,EPN!AR278,SPD!AR278,SPMW!AR278,SSEH!AR278,SSES!AR278)</f>
        <v>-7.9935858132739916</v>
      </c>
      <c r="AS278" s="476">
        <f>CHOOSE($B$3,ENWL!AS278,NPgN!AS278,NPgY!AS278,WMID!AS278,EMID!AS278,SWALES!AS278,SWEST!AS278,LPN!AS278,SPN!AS278,EPN!AS278,SPD!AS278,SPMW!AS278,SSEH!AS278,SSES!AS278)</f>
        <v>-11.634130968728453</v>
      </c>
      <c r="AT278" s="476">
        <f>CHOOSE($B$3,ENWL!AT278,NPgN!AT278,NPgY!AT278,WMID!AT278,EMID!AT278,SWALES!AT278,SWEST!AT278,LPN!AT278,SPN!AT278,EPN!AT278,SPD!AT278,SPMW!AT278,SSEH!AT278,SSES!AT278)</f>
        <v>-12.361923422214995</v>
      </c>
      <c r="AU278" s="476">
        <f>CHOOSE($B$3,ENWL!AU278,NPgN!AU278,NPgY!AU278,WMID!AU278,EMID!AU278,SWALES!AU278,SWEST!AU278,LPN!AU278,SPN!AU278,EPN!AU278,SPD!AU278,SPMW!AU278,SSEH!AU278,SSES!AU278)</f>
        <v>0</v>
      </c>
      <c r="AV278" s="476">
        <f>CHOOSE($B$3,ENWL!AV278,NPgN!AV278,NPgY!AV278,WMID!AV278,EMID!AV278,SWALES!AV278,SWEST!AV278,LPN!AV278,SPN!AV278,EPN!AV278,SPD!AV278,SPMW!AV278,SSEH!AV278,SSES!AV278)</f>
        <v>0</v>
      </c>
      <c r="AW278" s="184"/>
    </row>
    <row r="279" spans="1:49" ht="15">
      <c r="A279" s="82"/>
      <c r="B279" s="82"/>
      <c r="C279" s="82"/>
      <c r="D279" s="82"/>
      <c r="E279" s="82" t="s">
        <v>325</v>
      </c>
      <c r="F279" s="82"/>
      <c r="G279" s="21" t="s">
        <v>304</v>
      </c>
      <c r="H279" s="82" t="s">
        <v>326</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f>CHOOSE($B$3,ENWL!AR279,NPgN!AR279,NPgY!AR279,WMID!AR279,EMID!AR279,SWALES!AR279,SWEST!AR279,LPN!AR279,SPN!AR279,EPN!AR279,SPD!AR279,SPMW!AR279,SSEH!AR279,SSES!AR279)</f>
        <v>0</v>
      </c>
      <c r="AS279" s="476">
        <f>CHOOSE($B$3,ENWL!AS279,NPgN!AS279,NPgY!AS279,WMID!AS279,EMID!AS279,SWALES!AS279,SWEST!AS279,LPN!AS279,SPN!AS279,EPN!AS279,SPD!AS279,SPMW!AS279,SSEH!AS279,SSES!AS279)</f>
        <v>0</v>
      </c>
      <c r="AT279" s="476">
        <f>CHOOSE($B$3,ENWL!AT279,NPgN!AT279,NPgY!AT279,WMID!AT279,EMID!AT279,SWALES!AT279,SWEST!AT279,LPN!AT279,SPN!AT279,EPN!AT279,SPD!AT279,SPMW!AT279,SSEH!AT279,SSES!AT279)</f>
        <v>0</v>
      </c>
      <c r="AU279" s="476">
        <f>CHOOSE($B$3,ENWL!AU279,NPgN!AU279,NPgY!AU279,WMID!AU279,EMID!AU279,SWALES!AU279,SWEST!AU279,LPN!AU279,SPN!AU279,EPN!AU279,SPD!AU279,SPMW!AU279,SSEH!AU279,SSES!AU279)</f>
        <v>0</v>
      </c>
      <c r="AV279" s="476">
        <f>CHOOSE($B$3,ENWL!AV279,NPgN!AV279,NPgY!AV279,WMID!AV279,EMID!AV279,SWALES!AV279,SWEST!AV279,LPN!AV279,SPN!AV279,EPN!AV279,SPD!AV279,SPMW!AV279,SSEH!AV279,SSES!AV279)</f>
        <v>0</v>
      </c>
      <c r="AW279" s="184"/>
    </row>
    <row r="280" spans="1:49" ht="15">
      <c r="A280" s="82"/>
      <c r="B280" s="82"/>
      <c r="C280" s="82"/>
      <c r="D280" s="82"/>
      <c r="E280" s="82" t="s">
        <v>327</v>
      </c>
      <c r="F280" s="82"/>
      <c r="G280" s="21" t="s">
        <v>304</v>
      </c>
      <c r="H280" s="82" t="s">
        <v>328</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f>CHOOSE($B$3,ENWL!AR280,NPgN!AR280,NPgY!AR280,WMID!AR280,EMID!AR280,SWALES!AR280,SWEST!AR280,LPN!AR280,SPN!AR280,EPN!AR280,SPD!AR280,SPMW!AR280,SSEH!AR280,SSES!AR280)</f>
        <v>0</v>
      </c>
      <c r="AS280" s="476">
        <f>CHOOSE($B$3,ENWL!AS280,NPgN!AS280,NPgY!AS280,WMID!AS280,EMID!AS280,SWALES!AS280,SWEST!AS280,LPN!AS280,SPN!AS280,EPN!AS280,SPD!AS280,SPMW!AS280,SSEH!AS280,SSES!AS280)</f>
        <v>0</v>
      </c>
      <c r="AT280" s="476">
        <f>CHOOSE($B$3,ENWL!AT280,NPgN!AT280,NPgY!AT280,WMID!AT280,EMID!AT280,SWALES!AT280,SWEST!AT280,LPN!AT280,SPN!AT280,EPN!AT280,SPD!AT280,SPMW!AT280,SSEH!AT280,SSES!AT280)</f>
        <v>0</v>
      </c>
      <c r="AU280" s="476">
        <f>CHOOSE($B$3,ENWL!AU280,NPgN!AU280,NPgY!AU280,WMID!AU280,EMID!AU280,SWALES!AU280,SWEST!AU280,LPN!AU280,SPN!AU280,EPN!AU280,SPD!AU280,SPMW!AU280,SSEH!AU280,SSES!AU280)</f>
        <v>0</v>
      </c>
      <c r="AV280" s="476">
        <f>CHOOSE($B$3,ENWL!AV280,NPgN!AV280,NPgY!AV280,WMID!AV280,EMID!AV280,SWALES!AV280,SWEST!AV280,LPN!AV280,SPN!AV280,EPN!AV280,SPD!AV280,SPMW!AV280,SSEH!AV280,SSES!AV280)</f>
        <v>0</v>
      </c>
      <c r="AW280" s="184"/>
    </row>
    <row r="281" spans="1:49" ht="15">
      <c r="A281" s="82"/>
      <c r="B281" s="82"/>
      <c r="C281" s="82"/>
      <c r="D281" s="82"/>
      <c r="E281" s="82" t="s">
        <v>329</v>
      </c>
      <c r="F281" s="82"/>
      <c r="G281" s="21" t="s">
        <v>304</v>
      </c>
      <c r="H281" s="82" t="s">
        <v>330</v>
      </c>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476">
        <f>CHOOSE($B$3,ENWL!AR281,NPgN!AR281,NPgY!AR281,WMID!AR281,EMID!AR281,SWALES!AR281,SWEST!AR281,LPN!AR281,SPN!AR281,EPN!AR281,SPD!AR281,SPMW!AR281,SSEH!AR281,SSES!AR281)</f>
        <v>0</v>
      </c>
      <c r="AS281" s="476">
        <f>CHOOSE($B$3,ENWL!AS281,NPgN!AS281,NPgY!AS281,WMID!AS281,EMID!AS281,SWALES!AS281,SWEST!AS281,LPN!AS281,SPN!AS281,EPN!AS281,SPD!AS281,SPMW!AS281,SSEH!AS281,SSES!AS281)</f>
        <v>0</v>
      </c>
      <c r="AT281" s="476">
        <f>CHOOSE($B$3,ENWL!AT281,NPgN!AT281,NPgY!AT281,WMID!AT281,EMID!AT281,SWALES!AT281,SWEST!AT281,LPN!AT281,SPN!AT281,EPN!AT281,SPD!AT281,SPMW!AT281,SSEH!AT281,SSES!AT281)</f>
        <v>0</v>
      </c>
      <c r="AU281" s="476">
        <f>CHOOSE($B$3,ENWL!AU281,NPgN!AU281,NPgY!AU281,WMID!AU281,EMID!AU281,SWALES!AU281,SWEST!AU281,LPN!AU281,SPN!AU281,EPN!AU281,SPD!AU281,SPMW!AU281,SSEH!AU281,SSES!AU281)</f>
        <v>0</v>
      </c>
      <c r="AV281" s="476">
        <f>CHOOSE($B$3,ENWL!AV281,NPgN!AV281,NPgY!AV281,WMID!AV281,EMID!AV281,SWALES!AV281,SWEST!AV281,LPN!AV281,SPN!AV281,EPN!AV281,SPD!AV281,SPMW!AV281,SSEH!AV281,SSES!AV281)</f>
        <v>0</v>
      </c>
      <c r="AW281" s="184"/>
    </row>
    <row r="282" spans="1:49" ht="15">
      <c r="A282" s="82"/>
      <c r="B282" s="82"/>
      <c r="C282" s="82"/>
      <c r="D282" s="82"/>
      <c r="E282" s="82"/>
      <c r="F282" s="82"/>
      <c r="G282" s="21"/>
      <c r="H282" s="82"/>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207"/>
      <c r="AS282" s="207"/>
      <c r="AT282" s="207"/>
      <c r="AU282" s="207"/>
      <c r="AV282" s="207"/>
      <c r="AW282" s="184"/>
    </row>
    <row r="283" spans="1:49" ht="15">
      <c r="A283" s="82"/>
      <c r="B283" s="82"/>
      <c r="C283" s="82"/>
      <c r="D283" s="82"/>
      <c r="E283" s="82" t="s">
        <v>331</v>
      </c>
      <c r="F283" s="82"/>
      <c r="G283" s="21" t="s">
        <v>304</v>
      </c>
      <c r="H283" s="82" t="s">
        <v>332</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f>CHOOSE($B$3,ENWL!AR283,NPgN!AR283,NPgY!AR283,WMID!AR283,EMID!AR283,SWALES!AR283,SWEST!AR283,LPN!AR283,SPN!AR283,EPN!AR283,SPD!AR283,SPMW!AR283,SSEH!AR283,SSES!AR283)</f>
        <v>0</v>
      </c>
      <c r="AS283" s="476">
        <f>CHOOSE($B$3,ENWL!AS283,NPgN!AS283,NPgY!AS283,WMID!AS283,EMID!AS283,SWALES!AS283,SWEST!AS283,LPN!AS283,SPN!AS283,EPN!AS283,SPD!AS283,SPMW!AS283,SSEH!AS283,SSES!AS283)</f>
        <v>-14.218782134167178</v>
      </c>
      <c r="AT283" s="476">
        <f>CHOOSE($B$3,ENWL!AT283,NPgN!AT283,NPgY!AT283,WMID!AT283,EMID!AT283,SWALES!AT283,SWEST!AT283,LPN!AT283,SPN!AT283,EPN!AT283,SPD!AT283,SPMW!AT283,SSEH!AT283,SSES!AT283)</f>
        <v>-18.927396656876439</v>
      </c>
      <c r="AU283" s="476">
        <f>CHOOSE($B$3,ENWL!AU283,NPgN!AU283,NPgY!AU283,WMID!AU283,EMID!AU283,SWALES!AU283,SWEST!AU283,LPN!AU283,SPN!AU283,EPN!AU283,SPD!AU283,SPMW!AU283,SSEH!AU283,SSES!AU283)</f>
        <v>-22.966508902510938</v>
      </c>
      <c r="AV283" s="476">
        <f>CHOOSE($B$3,ENWL!AV283,NPgN!AV283,NPgY!AV283,WMID!AV283,EMID!AV283,SWALES!AV283,SWEST!AV283,LPN!AV283,SPN!AV283,EPN!AV283,SPD!AV283,SPMW!AV283,SSEH!AV283,SSES!AV283)</f>
        <v>0</v>
      </c>
      <c r="AW283" s="184"/>
    </row>
    <row r="284" spans="1:49" ht="15">
      <c r="A284" s="82"/>
      <c r="B284" s="82"/>
      <c r="C284" s="82"/>
      <c r="D284" s="82"/>
      <c r="E284" s="82" t="s">
        <v>333</v>
      </c>
      <c r="F284" s="82"/>
      <c r="G284" s="21" t="s">
        <v>304</v>
      </c>
      <c r="H284" s="82" t="s">
        <v>334</v>
      </c>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476">
        <f>CHOOSE($B$3,ENWL!AR284,NPgN!AR284,NPgY!AR284,WMID!AR284,EMID!AR284,SWALES!AR284,SWEST!AR284,LPN!AR284,SPN!AR284,EPN!AR284,SPD!AR284,SPMW!AR284,SSEH!AR284,SSES!AR284)</f>
        <v>0</v>
      </c>
      <c r="AS284" s="476">
        <f>CHOOSE($B$3,ENWL!AS284,NPgN!AS284,NPgY!AS284,WMID!AS284,EMID!AS284,SWALES!AS284,SWEST!AS284,LPN!AS284,SPN!AS284,EPN!AS284,SPD!AS284,SPMW!AS284,SSEH!AS284,SSES!AS284)</f>
        <v>-16.696026047804605</v>
      </c>
      <c r="AT284" s="476">
        <f>CHOOSE($B$3,ENWL!AT284,NPgN!AT284,NPgY!AT284,WMID!AT284,EMID!AT284,SWALES!AT284,SWEST!AT284,LPN!AT284,SPN!AT284,EPN!AT284,SPD!AT284,SPMW!AT284,SSEH!AT284,SSES!AT284)</f>
        <v>-27.438203410875573</v>
      </c>
      <c r="AU284" s="476">
        <f>CHOOSE($B$3,ENWL!AU284,NPgN!AU284,NPgY!AU284,WMID!AU284,EMID!AU284,SWALES!AU284,SWEST!AU284,LPN!AU284,SPN!AU284,EPN!AU284,SPD!AU284,SPMW!AU284,SSEH!AU284,SSES!AU284)</f>
        <v>-27.142104708419637</v>
      </c>
      <c r="AV284" s="476">
        <f>CHOOSE($B$3,ENWL!AV284,NPgN!AV284,NPgY!AV284,WMID!AV284,EMID!AV284,SWALES!AV284,SWEST!AV284,LPN!AV284,SPN!AV284,EPN!AV284,SPD!AV284,SPMW!AV284,SSEH!AV284,SSES!AV284)</f>
        <v>0</v>
      </c>
      <c r="AW284" s="184"/>
    </row>
    <row r="285" spans="1:49" ht="15">
      <c r="A285" s="82"/>
      <c r="B285" s="82"/>
      <c r="C285" s="82"/>
      <c r="D285" s="82"/>
      <c r="E285" s="82"/>
      <c r="F285" s="82"/>
      <c r="G285" s="82"/>
      <c r="H285" s="82"/>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145"/>
      <c r="AS285" s="184"/>
      <c r="AT285" s="184"/>
      <c r="AU285" s="184"/>
      <c r="AV285" s="184"/>
      <c r="AW285" s="184"/>
    </row>
    <row r="286" spans="1:49" ht="15">
      <c r="A286" s="82"/>
      <c r="B286" s="82"/>
      <c r="C286" s="82"/>
      <c r="D286" s="82"/>
      <c r="E286" s="7" t="s">
        <v>335</v>
      </c>
      <c r="F286" s="86"/>
      <c r="G286" s="82" t="s">
        <v>209</v>
      </c>
      <c r="H286" s="2" t="s">
        <v>336</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f>CHOOSE($B$3,ENWL!AR286,NPgN!AR286,NPgY!AR286,WMID!AR286,EMID!AR286,SWALES!AR286,SWEST!AR286,LPN!AR286,SPN!AR286,EPN!AR286,SPD!AR286,SPMW!AR286,SSEH!AR286,SSES!AR286)</f>
        <v>0.25</v>
      </c>
      <c r="AS286" s="420">
        <f>CHOOSE($B$3,ENWL!AS286,NPgN!AS286,NPgY!AS286,WMID!AS286,EMID!AS286,SWALES!AS286,SWEST!AS286,LPN!AS286,SPN!AS286,EPN!AS286,SPD!AS286,SPMW!AS286,SSEH!AS286,SSES!AS286)</f>
        <v>0.25</v>
      </c>
      <c r="AT286" s="420">
        <f>CHOOSE($B$3,ENWL!AT286,NPgN!AT286,NPgY!AT286,WMID!AT286,EMID!AT286,SWALES!AT286,SWEST!AT286,LPN!AT286,SPN!AT286,EPN!AT286,SPD!AT286,SPMW!AT286,SSEH!AT286,SSES!AT286)</f>
        <v>0.25</v>
      </c>
      <c r="AU286" s="420">
        <f>CHOOSE($B$3,ENWL!AU286,NPgN!AU286,NPgY!AU286,WMID!AU286,EMID!AU286,SWALES!AU286,SWEST!AU286,LPN!AU286,SPN!AU286,EPN!AU286,SPD!AU286,SPMW!AU286,SSEH!AU286,SSES!AU286)</f>
        <v>0.25</v>
      </c>
      <c r="AV286" s="420">
        <f>CHOOSE($B$3,ENWL!AV286,NPgN!AV286,NPgY!AV286,WMID!AV286,EMID!AV286,SWALES!AV286,SWEST!AV286,LPN!AV286,SPN!AV286,EPN!AV286,SPD!AV286,SPMW!AV286,SSEH!AV286,SSES!AV286)</f>
        <v>0.25</v>
      </c>
      <c r="AW286" s="184"/>
    </row>
    <row r="287" spans="1:49" ht="15">
      <c r="A287" s="82"/>
      <c r="B287" s="82"/>
      <c r="C287" s="82"/>
      <c r="D287" s="82"/>
      <c r="E287" s="7" t="s">
        <v>337</v>
      </c>
      <c r="F287" s="86"/>
      <c r="G287" s="82" t="s">
        <v>209</v>
      </c>
      <c r="H287" s="7" t="s">
        <v>338</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f>CHOOSE($B$3,ENWL!AR287,NPgN!AR287,NPgY!AR287,WMID!AR287,EMID!AR287,SWALES!AR287,SWEST!AR287,LPN!AR287,SPN!AR287,EPN!AR287,SPD!AR287,SPMW!AR287,SSEH!AR287,SSES!AR287)</f>
        <v>0.18</v>
      </c>
      <c r="AS287" s="420">
        <f>CHOOSE($B$3,ENWL!AS287,NPgN!AS287,NPgY!AS287,WMID!AS287,EMID!AS287,SWALES!AS287,SWEST!AS287,LPN!AS287,SPN!AS287,EPN!AS287,SPD!AS287,SPMW!AS287,SSEH!AS287,SSES!AS287)</f>
        <v>0.18</v>
      </c>
      <c r="AT287" s="420">
        <f>CHOOSE($B$3,ENWL!AT287,NPgN!AT287,NPgY!AT287,WMID!AT287,EMID!AT287,SWALES!AT287,SWEST!AT287,LPN!AT287,SPN!AT287,EPN!AT287,SPD!AT287,SPMW!AT287,SSEH!AT287,SSES!AT287)</f>
        <v>0.18</v>
      </c>
      <c r="AU287" s="420">
        <f>CHOOSE($B$3,ENWL!AU287,NPgN!AU287,NPgY!AU287,WMID!AU287,EMID!AU287,SWALES!AU287,SWEST!AU287,LPN!AU287,SPN!AU287,EPN!AU287,SPD!AU287,SPMW!AU287,SSEH!AU287,SSES!AU287)</f>
        <v>0.18</v>
      </c>
      <c r="AV287" s="420">
        <f>CHOOSE($B$3,ENWL!AV287,NPgN!AV287,NPgY!AV287,WMID!AV287,EMID!AV287,SWALES!AV287,SWEST!AV287,LPN!AV287,SPN!AV287,EPN!AV287,SPD!AV287,SPMW!AV287,SSEH!AV287,SSES!AV287)</f>
        <v>0.18</v>
      </c>
      <c r="AW287" s="184"/>
    </row>
    <row r="288" spans="1:49" ht="15">
      <c r="A288" s="82"/>
      <c r="B288" s="82"/>
      <c r="C288" s="82"/>
      <c r="D288" s="82"/>
      <c r="E288" s="7" t="s">
        <v>339</v>
      </c>
      <c r="F288" s="86"/>
      <c r="G288" s="82" t="s">
        <v>209</v>
      </c>
      <c r="H288" s="7" t="s">
        <v>340</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f>CHOOSE($B$3,ENWL!AR288,NPgN!AR288,NPgY!AR288,WMID!AR288,EMID!AR288,SWALES!AR288,SWEST!AR288,LPN!AR288,SPN!AR288,EPN!AR288,SPD!AR288,SPMW!AR288,SSEH!AR288,SSES!AR288)</f>
        <v>0.06</v>
      </c>
      <c r="AS288" s="420">
        <f>CHOOSE($B$3,ENWL!AS288,NPgN!AS288,NPgY!AS288,WMID!AS288,EMID!AS288,SWALES!AS288,SWEST!AS288,LPN!AS288,SPN!AS288,EPN!AS288,SPD!AS288,SPMW!AS288,SSEH!AS288,SSES!AS288)</f>
        <v>0.06</v>
      </c>
      <c r="AT288" s="420">
        <f>CHOOSE($B$3,ENWL!AT288,NPgN!AT288,NPgY!AT288,WMID!AT288,EMID!AT288,SWALES!AT288,SWEST!AT288,LPN!AT288,SPN!AT288,EPN!AT288,SPD!AT288,SPMW!AT288,SSEH!AT288,SSES!AT288)</f>
        <v>0.06</v>
      </c>
      <c r="AU288" s="420">
        <f>CHOOSE($B$3,ENWL!AU288,NPgN!AU288,NPgY!AU288,WMID!AU288,EMID!AU288,SWALES!AU288,SWEST!AU288,LPN!AU288,SPN!AU288,EPN!AU288,SPD!AU288,SPMW!AU288,SSEH!AU288,SSES!AU288)</f>
        <v>0.06</v>
      </c>
      <c r="AV288" s="420">
        <f>CHOOSE($B$3,ENWL!AV288,NPgN!AV288,NPgY!AV288,WMID!AV288,EMID!AV288,SWALES!AV288,SWEST!AV288,LPN!AV288,SPN!AV288,EPN!AV288,SPD!AV288,SPMW!AV288,SSEH!AV288,SSES!AV288)</f>
        <v>0.06</v>
      </c>
      <c r="AW288" s="184"/>
    </row>
    <row r="289" spans="1:49" ht="15">
      <c r="A289" s="82"/>
      <c r="B289" s="82"/>
      <c r="C289" s="82"/>
      <c r="D289" s="82"/>
      <c r="E289" s="7" t="s">
        <v>341</v>
      </c>
      <c r="F289" s="86"/>
      <c r="G289" s="82" t="s">
        <v>209</v>
      </c>
      <c r="H289" s="7" t="s">
        <v>342</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f>CHOOSE($B$3,ENWL!AR289,NPgN!AR289,NPgY!AR289,WMID!AR289,EMID!AR289,SWALES!AR289,SWEST!AR289,LPN!AR289,SPN!AR289,EPN!AR289,SPD!AR289,SPMW!AR289,SSEH!AR289,SSES!AR289)</f>
        <v>0.03</v>
      </c>
      <c r="AS289" s="420">
        <f>CHOOSE($B$3,ENWL!AS289,NPgN!AS289,NPgY!AS289,WMID!AS289,EMID!AS289,SWALES!AS289,SWEST!AS289,LPN!AS289,SPN!AS289,EPN!AS289,SPD!AS289,SPMW!AS289,SSEH!AS289,SSES!AS289)</f>
        <v>0.03</v>
      </c>
      <c r="AT289" s="420">
        <f>CHOOSE($B$3,ENWL!AT289,NPgN!AT289,NPgY!AT289,WMID!AT289,EMID!AT289,SWALES!AT289,SWEST!AT289,LPN!AT289,SPN!AT289,EPN!AT289,SPD!AT289,SPMW!AT289,SSEH!AT289,SSES!AT289)</f>
        <v>0.03</v>
      </c>
      <c r="AU289" s="420">
        <f>CHOOSE($B$3,ENWL!AU289,NPgN!AU289,NPgY!AU289,WMID!AU289,EMID!AU289,SWALES!AU289,SWEST!AU289,LPN!AU289,SPN!AU289,EPN!AU289,SPD!AU289,SPMW!AU289,SSEH!AU289,SSES!AU289)</f>
        <v>0.03</v>
      </c>
      <c r="AV289" s="420">
        <f>CHOOSE($B$3,ENWL!AV289,NPgN!AV289,NPgY!AV289,WMID!AV289,EMID!AV289,SWALES!AV289,SWEST!AV289,LPN!AV289,SPN!AV289,EPN!AV289,SPD!AV289,SPMW!AV289,SSEH!AV289,SSES!AV289)</f>
        <v>0.03</v>
      </c>
      <c r="AW289" s="184"/>
    </row>
    <row r="290" spans="1:49" ht="15">
      <c r="A290" s="82"/>
      <c r="B290" s="82"/>
      <c r="C290" s="82"/>
      <c r="D290" s="82"/>
      <c r="E290" s="7" t="s">
        <v>343</v>
      </c>
      <c r="F290" s="86"/>
      <c r="G290" s="82" t="s">
        <v>209</v>
      </c>
      <c r="H290" s="7" t="s">
        <v>344</v>
      </c>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420">
        <f>CHOOSE($B$3,ENWL!AR290,NPgN!AR290,NPgY!AR290,WMID!AR290,EMID!AR290,SWALES!AR290,SWEST!AR290,LPN!AR290,SPN!AR290,EPN!AR290,SPD!AR290,SPMW!AR290,SSEH!AR290,SSES!AR290)</f>
        <v>2.2200000000000001E-2</v>
      </c>
      <c r="AS290" s="420">
        <f>CHOOSE($B$3,ENWL!AS290,NPgN!AS290,NPgY!AS290,WMID!AS290,EMID!AS290,SWALES!AS290,SWEST!AS290,LPN!AS290,SPN!AS290,EPN!AS290,SPD!AS290,SPMW!AS290,SSEH!AS290,SSES!AS290)</f>
        <v>2.2200000000000001E-2</v>
      </c>
      <c r="AT290" s="420">
        <f>CHOOSE($B$3,ENWL!AT290,NPgN!AT290,NPgY!AT290,WMID!AT290,EMID!AT290,SWALES!AT290,SWEST!AT290,LPN!AT290,SPN!AT290,EPN!AT290,SPD!AT290,SPMW!AT290,SSEH!AT290,SSES!AT290)</f>
        <v>2.2200000000000001E-2</v>
      </c>
      <c r="AU290" s="420">
        <f>CHOOSE($B$3,ENWL!AU290,NPgN!AU290,NPgY!AU290,WMID!AU290,EMID!AU290,SWALES!AU290,SWEST!AU290,LPN!AU290,SPN!AU290,EPN!AU290,SPD!AU290,SPMW!AU290,SSEH!AU290,SSES!AU290)</f>
        <v>2.2200000000000001E-2</v>
      </c>
      <c r="AV290" s="420">
        <f>CHOOSE($B$3,ENWL!AV290,NPgN!AV290,NPgY!AV290,WMID!AV290,EMID!AV290,SWALES!AV290,SWEST!AV290,LPN!AV290,SPN!AV290,EPN!AV290,SPD!AV290,SPMW!AV290,SSEH!AV290,SSES!AV290)</f>
        <v>2.2200000000000001E-2</v>
      </c>
      <c r="AW290" s="184"/>
    </row>
    <row r="291" spans="1:49" ht="15">
      <c r="A291" s="82"/>
      <c r="B291" s="82"/>
      <c r="C291" s="82"/>
      <c r="D291" s="82"/>
      <c r="E291" s="82"/>
      <c r="F291" s="82"/>
      <c r="G291" s="82"/>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145"/>
      <c r="AS291" s="184"/>
      <c r="AT291" s="184"/>
      <c r="AU291" s="184"/>
      <c r="AV291" s="184"/>
      <c r="AW291" s="184"/>
    </row>
    <row r="292" spans="1:49" ht="15">
      <c r="A292" s="82"/>
      <c r="B292" s="82"/>
      <c r="C292" s="82"/>
      <c r="D292" s="82"/>
      <c r="E292" s="82" t="s">
        <v>345</v>
      </c>
      <c r="F292" s="82"/>
      <c r="G292" s="82" t="s">
        <v>105</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528">
        <f>CHOOSE($B$3,ENWL!AR292,NPgN!AR292,NPgY!AR292,WMID!AR292,EMID!AR292,SWALES!AR292,SWEST!AR292,LPN!AR292,SPN!AR292,EPN!AR292,SPD!AR292,SPMW!AR292,SSEH!AR292,SSES!AR292)</f>
        <v>1.368578491828039</v>
      </c>
      <c r="AS292" s="528">
        <f>CHOOSE($B$3,ENWL!AS292,NPgN!AS292,NPgY!AS292,WMID!AS292,EMID!AS292,SWALES!AS292,SWEST!AS292,LPN!AS292,SPN!AS292,EPN!AS292,SPD!AS292,SPMW!AS292,SSEH!AS292,SSES!AS292)</f>
        <v>1.4008338175049104</v>
      </c>
      <c r="AT292" s="528">
        <f>CHOOSE($B$3,ENWL!AT292,NPgN!AT292,NPgY!AT292,WMID!AT292,EMID!AT292,SWALES!AT292,SWEST!AT292,LPN!AT292,SPN!AT292,EPN!AT292,SPD!AT292,SPMW!AT292,SSEH!AT292,SSES!AT292)</f>
        <v>1.2944169556388054</v>
      </c>
      <c r="AU292" s="528">
        <f>CHOOSE($B$3,ENWL!AU292,NPgN!AU292,NPgY!AU292,WMID!AU292,EMID!AU292,SWALES!AU292,SWEST!AU292,LPN!AU292,SPN!AU292,EPN!AU292,SPD!AU292,SPMW!AU292,SSEH!AU292,SSES!AU292)</f>
        <v>1.1615288221705597</v>
      </c>
      <c r="AV292" s="528">
        <f>CHOOSE($B$3,ENWL!AV292,NPgN!AV292,NPgY!AV292,WMID!AV292,EMID!AV292,SWALES!AV292,SWEST!AV292,LPN!AV292,SPN!AV292,EPN!AV292,SPD!AV292,SPMW!AV292,SSEH!AV292,SSES!AV292)</f>
        <v>1.0171476978779488</v>
      </c>
      <c r="AW292" s="184"/>
    </row>
    <row r="293" spans="1:49" ht="15">
      <c r="A293" s="82"/>
      <c r="B293" s="82"/>
      <c r="C293" s="82"/>
      <c r="D293" s="82"/>
      <c r="E293" s="82" t="s">
        <v>346</v>
      </c>
      <c r="F293" s="82"/>
      <c r="G293" s="82" t="s">
        <v>209</v>
      </c>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410">
        <f>CHOOSE($B$3,ENWL!AR293,NPgN!AR293,NPgY!AR293,WMID!AR293,EMID!AR293,SWALES!AR293,SWEST!AR293,LPN!AR293,SPN!AR293,EPN!AR293,SPD!AR293,SPMW!AR293,SSEH!AR293,SSES!AR293)</f>
        <v>0.65</v>
      </c>
      <c r="AS293" s="410">
        <f>CHOOSE($B$3,ENWL!AS293,NPgN!AS293,NPgY!AS293,WMID!AS293,EMID!AS293,SWALES!AS293,SWEST!AS293,LPN!AS293,SPN!AS293,EPN!AS293,SPD!AS293,SPMW!AS293,SSEH!AS293,SSES!AS293)</f>
        <v>0.64</v>
      </c>
      <c r="AT293" s="410">
        <f>CHOOSE($B$3,ENWL!AT293,NPgN!AT293,NPgY!AT293,WMID!AT293,EMID!AT293,SWALES!AT293,SWEST!AT293,LPN!AT293,SPN!AT293,EPN!AT293,SPD!AT293,SPMW!AT293,SSEH!AT293,SSES!AT293)</f>
        <v>0.63</v>
      </c>
      <c r="AU293" s="410">
        <f>CHOOSE($B$3,ENWL!AU293,NPgN!AU293,NPgY!AU293,WMID!AU293,EMID!AU293,SWALES!AU293,SWEST!AU293,LPN!AU293,SPN!AU293,EPN!AU293,SPD!AU293,SPMW!AU293,SSEH!AU293,SSES!AU293)</f>
        <v>0.61</v>
      </c>
      <c r="AV293" s="410">
        <f>CHOOSE($B$3,ENWL!AV293,NPgN!AV293,NPgY!AV293,WMID!AV293,EMID!AV293,SWALES!AV293,SWEST!AV293,LPN!AV293,SPN!AV293,EPN!AV293,SPD!AV293,SPMW!AV293,SSEH!AV293,SSES!AV293)</f>
        <v>0.6</v>
      </c>
      <c r="AW293" s="184"/>
    </row>
    <row r="294" spans="1:49" ht="15">
      <c r="A294" s="82"/>
      <c r="B294" s="82"/>
      <c r="C294" s="82"/>
      <c r="D294" s="82"/>
      <c r="E294" s="82"/>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145"/>
      <c r="AS294" s="184"/>
      <c r="AT294" s="184"/>
      <c r="AU294" s="184"/>
      <c r="AV294" s="184"/>
      <c r="AW294" s="184"/>
    </row>
    <row r="295" spans="1:49" ht="15">
      <c r="A295" s="82"/>
      <c r="B295" s="82"/>
      <c r="C295" s="82"/>
      <c r="D295" s="351" t="s">
        <v>347</v>
      </c>
      <c r="E295" s="351"/>
      <c r="F295" s="82"/>
      <c r="G295" s="82"/>
      <c r="H295" s="82"/>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364"/>
      <c r="AS295" s="184"/>
      <c r="AT295" s="184"/>
      <c r="AU295" s="184"/>
      <c r="AV295" s="184"/>
      <c r="AW295" s="184"/>
    </row>
    <row r="296" spans="1:49" ht="15">
      <c r="A296" s="82"/>
      <c r="B296" s="82"/>
      <c r="C296" s="82"/>
      <c r="D296" s="82"/>
      <c r="E296" s="82" t="s">
        <v>348</v>
      </c>
      <c r="F296" s="82"/>
      <c r="G296" s="82" t="s">
        <v>209</v>
      </c>
      <c r="H296" s="82" t="s">
        <v>349</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f>CHOOSE($B$3,ENWL!AR296,NPgN!AR296,NPgY!AR296,WMID!AR296,EMID!AR296,SWALES!AR296,SWEST!AR296,LPN!AR296,SPN!AR296,EPN!AR296,SPD!AR296,SPMW!AR296,SSEH!AR296,SSES!AR296)</f>
        <v>0</v>
      </c>
      <c r="AS296" s="508">
        <f>CHOOSE($B$3,ENWL!AS296,NPgN!AS296,NPgY!AS296,WMID!AS296,EMID!AS296,SWALES!AS296,SWEST!AS296,LPN!AS296,SPN!AS296,EPN!AS296,SPD!AS296,SPMW!AS296,SSEH!AS296,SSES!AS296)</f>
        <v>0</v>
      </c>
      <c r="AT296" s="508">
        <f>CHOOSE($B$3,ENWL!AT296,NPgN!AT296,NPgY!AT296,WMID!AT296,EMID!AT296,SWALES!AT296,SWEST!AT296,LPN!AT296,SPN!AT296,EPN!AT296,SPD!AT296,SPMW!AT296,SSEH!AT296,SSES!AT296)</f>
        <v>0</v>
      </c>
      <c r="AU296" s="508">
        <f>CHOOSE($B$3,ENWL!AU296,NPgN!AU296,NPgY!AU296,WMID!AU296,EMID!AU296,SWALES!AU296,SWEST!AU296,LPN!AU296,SPN!AU296,EPN!AU296,SPD!AU296,SPMW!AU296,SSEH!AU296,SSES!AU296)</f>
        <v>0</v>
      </c>
      <c r="AV296" s="508">
        <f>CHOOSE($B$3,ENWL!AV296,NPgN!AV296,NPgY!AV296,WMID!AV296,EMID!AV296,SWALES!AV296,SWEST!AV296,LPN!AV296,SPN!AV296,EPN!AV296,SPD!AV296,SPMW!AV296,SSEH!AV296,SSES!AV296)</f>
        <v>0</v>
      </c>
      <c r="AW296" s="184"/>
    </row>
    <row r="297" spans="1:49" ht="15">
      <c r="A297" s="82"/>
      <c r="B297" s="82"/>
      <c r="C297" s="82"/>
      <c r="D297" s="82"/>
      <c r="E297" s="82" t="s">
        <v>350</v>
      </c>
      <c r="F297" s="82"/>
      <c r="G297" s="82" t="s">
        <v>209</v>
      </c>
      <c r="H297" s="82" t="s">
        <v>349</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f>CHOOSE($B$3,ENWL!AR297,NPgN!AR297,NPgY!AR297,WMID!AR297,EMID!AR297,SWALES!AR297,SWEST!AR297,LPN!AR297,SPN!AR297,EPN!AR297,SPD!AR297,SPMW!AR297,SSEH!AR297,SSES!AR297)</f>
        <v>0</v>
      </c>
      <c r="AS297" s="508">
        <f>CHOOSE($B$3,ENWL!AS297,NPgN!AS297,NPgY!AS297,WMID!AS297,EMID!AS297,SWALES!AS297,SWEST!AS297,LPN!AS297,SPN!AS297,EPN!AS297,SPD!AS297,SPMW!AS297,SSEH!AS297,SSES!AS297)</f>
        <v>0</v>
      </c>
      <c r="AT297" s="508">
        <f>CHOOSE($B$3,ENWL!AT297,NPgN!AT297,NPgY!AT297,WMID!AT297,EMID!AT297,SWALES!AT297,SWEST!AT297,LPN!AT297,SPN!AT297,EPN!AT297,SPD!AT297,SPMW!AT297,SSEH!AT297,SSES!AT297)</f>
        <v>0</v>
      </c>
      <c r="AU297" s="508">
        <f>CHOOSE($B$3,ENWL!AU297,NPgN!AU297,NPgY!AU297,WMID!AU297,EMID!AU297,SWALES!AU297,SWEST!AU297,LPN!AU297,SPN!AU297,EPN!AU297,SPD!AU297,SPMW!AU297,SSEH!AU297,SSES!AU297)</f>
        <v>0</v>
      </c>
      <c r="AV297" s="508">
        <f>CHOOSE($B$3,ENWL!AV297,NPgN!AV297,NPgY!AV297,WMID!AV297,EMID!AV297,SWALES!AV297,SWEST!AV297,LPN!AV297,SPN!AV297,EPN!AV297,SPD!AV297,SPMW!AV297,SSEH!AV297,SSES!AV297)</f>
        <v>0</v>
      </c>
      <c r="AW297" s="184"/>
    </row>
    <row r="298" spans="1:49" ht="15">
      <c r="A298" s="82"/>
      <c r="B298" s="82"/>
      <c r="C298" s="82"/>
      <c r="D298" s="82"/>
      <c r="E298" s="82" t="s">
        <v>351</v>
      </c>
      <c r="F298" s="82"/>
      <c r="G298" s="82" t="s">
        <v>209</v>
      </c>
      <c r="H298" s="82" t="s">
        <v>349</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f>CHOOSE($B$3,ENWL!AR298,NPgN!AR298,NPgY!AR298,WMID!AR298,EMID!AR298,SWALES!AR298,SWEST!AR298,LPN!AR298,SPN!AR298,EPN!AR298,SPD!AR298,SPMW!AR298,SSEH!AR298,SSES!AR298)</f>
        <v>0.55574653918249073</v>
      </c>
      <c r="AS298" s="508">
        <f>CHOOSE($B$3,ENWL!AS298,NPgN!AS298,NPgY!AS298,WMID!AS298,EMID!AS298,SWALES!AS298,SWEST!AS298,LPN!AS298,SPN!AS298,EPN!AS298,SPD!AS298,SPMW!AS298,SSEH!AS298,SSES!AS298)</f>
        <v>0.48081865554122877</v>
      </c>
      <c r="AT298" s="508">
        <f>CHOOSE($B$3,ENWL!AT298,NPgN!AT298,NPgY!AT298,WMID!AT298,EMID!AT298,SWALES!AT298,SWEST!AT298,LPN!AT298,SPN!AT298,EPN!AT298,SPD!AT298,SPMW!AT298,SSEH!AT298,SSES!AT298)</f>
        <v>0.51988175725456021</v>
      </c>
      <c r="AU298" s="508">
        <f>CHOOSE($B$3,ENWL!AU298,NPgN!AU298,NPgY!AU298,WMID!AU298,EMID!AU298,SWALES!AU298,SWEST!AU298,LPN!AU298,SPN!AU298,EPN!AU298,SPD!AU298,SPMW!AU298,SSEH!AU298,SSES!AU298)</f>
        <v>0.51625751298308531</v>
      </c>
      <c r="AV298" s="508">
        <f>CHOOSE($B$3,ENWL!AV298,NPgN!AV298,NPgY!AV298,WMID!AV298,EMID!AV298,SWALES!AV298,SWEST!AV298,LPN!AV298,SPN!AV298,EPN!AV298,SPD!AV298,SPMW!AV298,SSEH!AV298,SSES!AV298)</f>
        <v>0.54885426554035799</v>
      </c>
      <c r="AW298" s="184"/>
    </row>
    <row r="299" spans="1:49" ht="15">
      <c r="A299" s="82"/>
      <c r="B299" s="82"/>
      <c r="C299" s="82"/>
      <c r="D299" s="82"/>
      <c r="E299" s="82" t="s">
        <v>352</v>
      </c>
      <c r="F299" s="82"/>
      <c r="G299" s="82" t="s">
        <v>209</v>
      </c>
      <c r="H299" s="82" t="s">
        <v>349</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f>CHOOSE($B$3,ENWL!AR299,NPgN!AR299,NPgY!AR299,WMID!AR299,EMID!AR299,SWALES!AR299,SWEST!AR299,LPN!AR299,SPN!AR299,EPN!AR299,SPD!AR299,SPMW!AR299,SSEH!AR299,SSES!AR299)</f>
        <v>0</v>
      </c>
      <c r="AS299" s="508">
        <f>CHOOSE($B$3,ENWL!AS299,NPgN!AS299,NPgY!AS299,WMID!AS299,EMID!AS299,SWALES!AS299,SWEST!AS299,LPN!AS299,SPN!AS299,EPN!AS299,SPD!AS299,SPMW!AS299,SSEH!AS299,SSES!AS299)</f>
        <v>0</v>
      </c>
      <c r="AT299" s="508">
        <f>CHOOSE($B$3,ENWL!AT299,NPgN!AT299,NPgY!AT299,WMID!AT299,EMID!AT299,SWALES!AT299,SWEST!AT299,LPN!AT299,SPN!AT299,EPN!AT299,SPD!AT299,SPMW!AT299,SSEH!AT299,SSES!AT299)</f>
        <v>0</v>
      </c>
      <c r="AU299" s="508">
        <f>CHOOSE($B$3,ENWL!AU299,NPgN!AU299,NPgY!AU299,WMID!AU299,EMID!AU299,SWALES!AU299,SWEST!AU299,LPN!AU299,SPN!AU299,EPN!AU299,SPD!AU299,SPMW!AU299,SSEH!AU299,SSES!AU299)</f>
        <v>0</v>
      </c>
      <c r="AV299" s="508">
        <f>CHOOSE($B$3,ENWL!AV299,NPgN!AV299,NPgY!AV299,WMID!AV299,EMID!AV299,SWALES!AV299,SWEST!AV299,LPN!AV299,SPN!AV299,EPN!AV299,SPD!AV299,SPMW!AV299,SSEH!AV299,SSES!AV299)</f>
        <v>0</v>
      </c>
      <c r="AW299" s="184"/>
    </row>
    <row r="300" spans="1:49" ht="15">
      <c r="A300" s="82"/>
      <c r="B300" s="82"/>
      <c r="C300" s="82"/>
      <c r="D300" s="82"/>
      <c r="E300" s="82" t="s">
        <v>353</v>
      </c>
      <c r="F300" s="82"/>
      <c r="G300" s="82" t="s">
        <v>209</v>
      </c>
      <c r="H300" s="82" t="s">
        <v>349</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f>CHOOSE($B$3,ENWL!AR300,NPgN!AR300,NPgY!AR300,WMID!AR300,EMID!AR300,SWALES!AR300,SWEST!AR300,LPN!AR300,SPN!AR300,EPN!AR300,SPD!AR300,SPMW!AR300,SSEH!AR300,SSES!AR300)</f>
        <v>0</v>
      </c>
      <c r="AS300" s="508">
        <f>CHOOSE($B$3,ENWL!AS300,NPgN!AS300,NPgY!AS300,WMID!AS300,EMID!AS300,SWALES!AS300,SWEST!AS300,LPN!AS300,SPN!AS300,EPN!AS300,SPD!AS300,SPMW!AS300,SSEH!AS300,SSES!AS300)</f>
        <v>0</v>
      </c>
      <c r="AT300" s="508">
        <f>CHOOSE($B$3,ENWL!AT300,NPgN!AT300,NPgY!AT300,WMID!AT300,EMID!AT300,SWALES!AT300,SWEST!AT300,LPN!AT300,SPN!AT300,EPN!AT300,SPD!AT300,SPMW!AT300,SSEH!AT300,SSES!AT300)</f>
        <v>0</v>
      </c>
      <c r="AU300" s="508">
        <f>CHOOSE($B$3,ENWL!AU300,NPgN!AU300,NPgY!AU300,WMID!AU300,EMID!AU300,SWALES!AU300,SWEST!AU300,LPN!AU300,SPN!AU300,EPN!AU300,SPD!AU300,SPMW!AU300,SSEH!AU300,SSES!AU300)</f>
        <v>0</v>
      </c>
      <c r="AV300" s="508">
        <f>CHOOSE($B$3,ENWL!AV300,NPgN!AV300,NPgY!AV300,WMID!AV300,EMID!AV300,SWALES!AV300,SWEST!AV300,LPN!AV300,SPN!AV300,EPN!AV300,SPD!AV300,SPMW!AV300,SSEH!AV300,SSES!AV300)</f>
        <v>0</v>
      </c>
      <c r="AW300" s="184"/>
    </row>
    <row r="301" spans="1:49" ht="15">
      <c r="A301" s="82"/>
      <c r="B301" s="82"/>
      <c r="C301" s="82"/>
      <c r="D301" s="82"/>
      <c r="E301" s="82" t="s">
        <v>354</v>
      </c>
      <c r="F301" s="82"/>
      <c r="G301" s="82" t="s">
        <v>209</v>
      </c>
      <c r="H301" s="82" t="s">
        <v>349</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f>CHOOSE($B$3,ENWL!AR301,NPgN!AR301,NPgY!AR301,WMID!AR301,EMID!AR301,SWALES!AR301,SWEST!AR301,LPN!AR301,SPN!AR301,EPN!AR301,SPD!AR301,SPMW!AR301,SSEH!AR301,SSES!AR301)</f>
        <v>0</v>
      </c>
      <c r="AS301" s="508">
        <f>CHOOSE($B$3,ENWL!AS301,NPgN!AS301,NPgY!AS301,WMID!AS301,EMID!AS301,SWALES!AS301,SWEST!AS301,LPN!AS301,SPN!AS301,EPN!AS301,SPD!AS301,SPMW!AS301,SSEH!AS301,SSES!AS301)</f>
        <v>0</v>
      </c>
      <c r="AT301" s="508">
        <f>CHOOSE($B$3,ENWL!AT301,NPgN!AT301,NPgY!AT301,WMID!AT301,EMID!AT301,SWALES!AT301,SWEST!AT301,LPN!AT301,SPN!AT301,EPN!AT301,SPD!AT301,SPMW!AT301,SSEH!AT301,SSES!AT301)</f>
        <v>0</v>
      </c>
      <c r="AU301" s="508">
        <f>CHOOSE($B$3,ENWL!AU301,NPgN!AU301,NPgY!AU301,WMID!AU301,EMID!AU301,SWALES!AU301,SWEST!AU301,LPN!AU301,SPN!AU301,EPN!AU301,SPD!AU301,SPMW!AU301,SSEH!AU301,SSES!AU301)</f>
        <v>0</v>
      </c>
      <c r="AV301" s="508">
        <f>CHOOSE($B$3,ENWL!AV301,NPgN!AV301,NPgY!AV301,WMID!AV301,EMID!AV301,SWALES!AV301,SWEST!AV301,LPN!AV301,SPN!AV301,EPN!AV301,SPD!AV301,SPMW!AV301,SSEH!AV301,SSES!AV301)</f>
        <v>0</v>
      </c>
      <c r="AW301" s="184"/>
    </row>
    <row r="302" spans="1:49" ht="15">
      <c r="A302" s="82"/>
      <c r="B302" s="82"/>
      <c r="C302" s="82"/>
      <c r="D302" s="82"/>
      <c r="E302" s="82" t="s">
        <v>355</v>
      </c>
      <c r="F302" s="82"/>
      <c r="G302" s="82" t="s">
        <v>209</v>
      </c>
      <c r="H302" s="82" t="s">
        <v>349</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f>CHOOSE($B$3,ENWL!AR302,NPgN!AR302,NPgY!AR302,WMID!AR302,EMID!AR302,SWALES!AR302,SWEST!AR302,LPN!AR302,SPN!AR302,EPN!AR302,SPD!AR302,SPMW!AR302,SSEH!AR302,SSES!AR302)</f>
        <v>6.1481795939682726E-2</v>
      </c>
      <c r="AS302" s="508">
        <f>CHOOSE($B$3,ENWL!AS302,NPgN!AS302,NPgY!AS302,WMID!AS302,EMID!AS302,SWALES!AS302,SWEST!AS302,LPN!AS302,SPN!AS302,EPN!AS302,SPD!AS302,SPMW!AS302,SSEH!AS302,SSES!AS302)</f>
        <v>5.7750421065792715E-2</v>
      </c>
      <c r="AT302" s="508">
        <f>CHOOSE($B$3,ENWL!AT302,NPgN!AT302,NPgY!AT302,WMID!AT302,EMID!AT302,SWALES!AT302,SWEST!AT302,LPN!AT302,SPN!AT302,EPN!AT302,SPD!AT302,SPMW!AT302,SSEH!AT302,SSES!AT302)</f>
        <v>6.1419491483458988E-2</v>
      </c>
      <c r="AU302" s="508">
        <f>CHOOSE($B$3,ENWL!AU302,NPgN!AU302,NPgY!AU302,WMID!AU302,EMID!AU302,SWALES!AU302,SWEST!AU302,LPN!AU302,SPN!AU302,EPN!AU302,SPD!AU302,SPMW!AU302,SSEH!AU302,SSES!AU302)</f>
        <v>5.5368591274214847E-2</v>
      </c>
      <c r="AV302" s="508">
        <f>CHOOSE($B$3,ENWL!AV302,NPgN!AV302,NPgY!AV302,WMID!AV302,EMID!AV302,SWALES!AV302,SWEST!AV302,LPN!AV302,SPN!AV302,EPN!AV302,SPD!AV302,SPMW!AV302,SSEH!AV302,SSES!AV302)</f>
        <v>4.4185155140046277E-2</v>
      </c>
      <c r="AW302" s="184"/>
    </row>
    <row r="303" spans="1:49" ht="15">
      <c r="A303" s="82"/>
      <c r="B303" s="82"/>
      <c r="C303" s="82"/>
      <c r="D303" s="82"/>
      <c r="E303" s="82" t="s">
        <v>356</v>
      </c>
      <c r="F303" s="82"/>
      <c r="G303" s="82" t="s">
        <v>209</v>
      </c>
      <c r="H303" s="82" t="s">
        <v>357</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f>CHOOSE($B$3,ENWL!AR303,NPgN!AR303,NPgY!AR303,WMID!AR303,EMID!AR303,SWALES!AR303,SWEST!AR303,LPN!AR303,SPN!AR303,EPN!AR303,SPD!AR303,SPMW!AR303,SSEH!AR303,SSES!AR303)</f>
        <v>0.93986808700581914</v>
      </c>
      <c r="AS303" s="508">
        <f>CHOOSE($B$3,ENWL!AS303,NPgN!AS303,NPgY!AS303,WMID!AS303,EMID!AS303,SWALES!AS303,SWEST!AS303,LPN!AS303,SPN!AS303,EPN!AS303,SPD!AS303,SPMW!AS303,SSEH!AS303,SSES!AS303)</f>
        <v>0.96481628590185897</v>
      </c>
      <c r="AT303" s="508">
        <f>CHOOSE($B$3,ENWL!AT303,NPgN!AT303,NPgY!AT303,WMID!AT303,EMID!AT303,SWALES!AT303,SWEST!AT303,LPN!AT303,SPN!AT303,EPN!AT303,SPD!AT303,SPMW!AT303,SSEH!AT303,SSES!AT303)</f>
        <v>0.96680659142513647</v>
      </c>
      <c r="AU303" s="508">
        <f>CHOOSE($B$3,ENWL!AU303,NPgN!AU303,NPgY!AU303,WMID!AU303,EMID!AU303,SWALES!AU303,SWEST!AU303,LPN!AU303,SPN!AU303,EPN!AU303,SPD!AU303,SPMW!AU303,SSEH!AU303,SSES!AU303)</f>
        <v>0.96963311900969584</v>
      </c>
      <c r="AV303" s="508">
        <f>CHOOSE($B$3,ENWL!AV303,NPgN!AV303,NPgY!AV303,WMID!AV303,EMID!AV303,SWALES!AV303,SWEST!AV303,LPN!AV303,SPN!AV303,EPN!AV303,SPD!AV303,SPMW!AV303,SSEH!AV303,SSES!AV303)</f>
        <v>0.95810421960377123</v>
      </c>
      <c r="AW303" s="184"/>
    </row>
    <row r="304" spans="1:49" ht="15">
      <c r="A304" s="82"/>
      <c r="B304" s="82"/>
      <c r="C304" s="82"/>
      <c r="D304" s="82"/>
      <c r="E304" s="82" t="s">
        <v>358</v>
      </c>
      <c r="F304" s="82"/>
      <c r="G304" s="82" t="s">
        <v>209</v>
      </c>
      <c r="H304" s="82" t="s">
        <v>357</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f>CHOOSE($B$3,ENWL!AR304,NPgN!AR304,NPgY!AR304,WMID!AR304,EMID!AR304,SWALES!AR304,SWEST!AR304,LPN!AR304,SPN!AR304,EPN!AR304,SPD!AR304,SPMW!AR304,SSEH!AR304,SSES!AR304)</f>
        <v>0.13970159936123508</v>
      </c>
      <c r="AS304" s="508">
        <f>CHOOSE($B$3,ENWL!AS304,NPgN!AS304,NPgY!AS304,WMID!AS304,EMID!AS304,SWALES!AS304,SWEST!AS304,LPN!AS304,SPN!AS304,EPN!AS304,SPD!AS304,SPMW!AS304,SSEH!AS304,SSES!AS304)</f>
        <v>0.15485397499171774</v>
      </c>
      <c r="AT304" s="508">
        <f>CHOOSE($B$3,ENWL!AT304,NPgN!AT304,NPgY!AT304,WMID!AT304,EMID!AT304,SWALES!AT304,SWEST!AT304,LPN!AT304,SPN!AT304,EPN!AT304,SPD!AT304,SPMW!AT304,SSEH!AT304,SSES!AT304)</f>
        <v>0.10516058410539117</v>
      </c>
      <c r="AU304" s="508">
        <f>CHOOSE($B$3,ENWL!AU304,NPgN!AU304,NPgY!AU304,WMID!AU304,EMID!AU304,SWALES!AU304,SWEST!AU304,LPN!AU304,SPN!AU304,EPN!AU304,SPD!AU304,SPMW!AU304,SSEH!AU304,SSES!AU304)</f>
        <v>3.6697914942998046E-2</v>
      </c>
      <c r="AV304" s="508">
        <f>CHOOSE($B$3,ENWL!AV304,NPgN!AV304,NPgY!AV304,WMID!AV304,EMID!AV304,SWALES!AV304,SWEST!AV304,LPN!AV304,SPN!AV304,EPN!AV304,SPD!AV304,SPMW!AV304,SSEH!AV304,SSES!AV304)</f>
        <v>2.7136494214915343E-2</v>
      </c>
      <c r="AW304" s="184"/>
    </row>
    <row r="305" spans="1:49" ht="15">
      <c r="A305" s="82"/>
      <c r="B305" s="82"/>
      <c r="C305" s="82"/>
      <c r="D305" s="82"/>
      <c r="E305" s="82" t="s">
        <v>359</v>
      </c>
      <c r="F305" s="82"/>
      <c r="G305" s="82" t="s">
        <v>209</v>
      </c>
      <c r="H305" s="82" t="s">
        <v>357</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f>CHOOSE($B$3,ENWL!AR305,NPgN!AR305,NPgY!AR305,WMID!AR305,EMID!AR305,SWALES!AR305,SWEST!AR305,LPN!AR305,SPN!AR305,EPN!AR305,SPD!AR305,SPMW!AR305,SSEH!AR305,SSES!AR305)</f>
        <v>6.5391447442296399E-3</v>
      </c>
      <c r="AS305" s="508">
        <f>CHOOSE($B$3,ENWL!AS305,NPgN!AS305,NPgY!AS305,WMID!AS305,EMID!AS305,SWALES!AS305,SWEST!AS305,LPN!AS305,SPN!AS305,EPN!AS305,SPD!AS305,SPMW!AS305,SSEH!AS305,SSES!AS305)</f>
        <v>4.3425136394023341E-3</v>
      </c>
      <c r="AT305" s="508">
        <f>CHOOSE($B$3,ENWL!AT305,NPgN!AT305,NPgY!AT305,WMID!AT305,EMID!AT305,SWALES!AT305,SWEST!AT305,LPN!AT305,SPN!AT305,EPN!AT305,SPD!AT305,SPMW!AT305,SSEH!AT305,SSES!AT305)</f>
        <v>4.088497780003455E-3</v>
      </c>
      <c r="AU305" s="508">
        <f>CHOOSE($B$3,ENWL!AU305,NPgN!AU305,NPgY!AU305,WMID!AU305,EMID!AU305,SWALES!AU305,SWEST!AU305,LPN!AU305,SPN!AU305,EPN!AU305,SPD!AU305,SPMW!AU305,SSEH!AU305,SSES!AU305)</f>
        <v>5.0346823142526764E-3</v>
      </c>
      <c r="AV305" s="508">
        <f>CHOOSE($B$3,ENWL!AV305,NPgN!AV305,NPgY!AV305,WMID!AV305,EMID!AV305,SWALES!AV305,SWEST!AV305,LPN!AV305,SPN!AV305,EPN!AV305,SPD!AV305,SPMW!AV305,SSEH!AV305,SSES!AV305)</f>
        <v>8.080523684580147E-3</v>
      </c>
      <c r="AW305" s="184"/>
    </row>
    <row r="306" spans="1:49" ht="15">
      <c r="A306" s="82"/>
      <c r="B306" s="82"/>
      <c r="C306" s="82"/>
      <c r="D306" s="82"/>
      <c r="E306" s="82" t="s">
        <v>360</v>
      </c>
      <c r="F306" s="82"/>
      <c r="G306" s="82" t="s">
        <v>209</v>
      </c>
      <c r="H306" s="82" t="s">
        <v>357</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f>CHOOSE($B$3,ENWL!AR306,NPgN!AR306,NPgY!AR306,WMID!AR306,EMID!AR306,SWALES!AR306,SWEST!AR306,LPN!AR306,SPN!AR306,EPN!AR306,SPD!AR306,SPMW!AR306,SSEH!AR306,SSES!AR306)</f>
        <v>0</v>
      </c>
      <c r="AS306" s="508">
        <f>CHOOSE($B$3,ENWL!AS306,NPgN!AS306,NPgY!AS306,WMID!AS306,EMID!AS306,SWALES!AS306,SWEST!AS306,LPN!AS306,SPN!AS306,EPN!AS306,SPD!AS306,SPMW!AS306,SSEH!AS306,SSES!AS306)</f>
        <v>0</v>
      </c>
      <c r="AT306" s="508">
        <f>CHOOSE($B$3,ENWL!AT306,NPgN!AT306,NPgY!AT306,WMID!AT306,EMID!AT306,SWALES!AT306,SWEST!AT306,LPN!AT306,SPN!AT306,EPN!AT306,SPD!AT306,SPMW!AT306,SSEH!AT306,SSES!AT306)</f>
        <v>0</v>
      </c>
      <c r="AU306" s="508">
        <f>CHOOSE($B$3,ENWL!AU306,NPgN!AU306,NPgY!AU306,WMID!AU306,EMID!AU306,SWALES!AU306,SWEST!AU306,LPN!AU306,SPN!AU306,EPN!AU306,SPD!AU306,SPMW!AU306,SSEH!AU306,SSES!AU306)</f>
        <v>0</v>
      </c>
      <c r="AV306" s="508">
        <f>CHOOSE($B$3,ENWL!AV306,NPgN!AV306,NPgY!AV306,WMID!AV306,EMID!AV306,SWALES!AV306,SWEST!AV306,LPN!AV306,SPN!AV306,EPN!AV306,SPD!AV306,SPMW!AV306,SSEH!AV306,SSES!AV306)</f>
        <v>0</v>
      </c>
      <c r="AW306" s="184"/>
    </row>
    <row r="307" spans="1:49" ht="15">
      <c r="A307" s="82"/>
      <c r="B307" s="82"/>
      <c r="C307" s="82"/>
      <c r="D307" s="82"/>
      <c r="E307" s="82" t="s">
        <v>361</v>
      </c>
      <c r="F307" s="82"/>
      <c r="G307" s="82" t="s">
        <v>209</v>
      </c>
      <c r="H307" s="82" t="s">
        <v>357</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f>CHOOSE($B$3,ENWL!AR307,NPgN!AR307,NPgY!AR307,WMID!AR307,EMID!AR307,SWALES!AR307,SWEST!AR307,LPN!AR307,SPN!AR307,EPN!AR307,SPD!AR307,SPMW!AR307,SSEH!AR307,SSES!AR307)</f>
        <v>0</v>
      </c>
      <c r="AS307" s="508">
        <f>CHOOSE($B$3,ENWL!AS307,NPgN!AS307,NPgY!AS307,WMID!AS307,EMID!AS307,SWALES!AS307,SWEST!AS307,LPN!AS307,SPN!AS307,EPN!AS307,SPD!AS307,SPMW!AS307,SSEH!AS307,SSES!AS307)</f>
        <v>0</v>
      </c>
      <c r="AT307" s="508">
        <f>CHOOSE($B$3,ENWL!AT307,NPgN!AT307,NPgY!AT307,WMID!AT307,EMID!AT307,SWALES!AT307,SWEST!AT307,LPN!AT307,SPN!AT307,EPN!AT307,SPD!AT307,SPMW!AT307,SSEH!AT307,SSES!AT307)</f>
        <v>0</v>
      </c>
      <c r="AU307" s="508">
        <f>CHOOSE($B$3,ENWL!AU307,NPgN!AU307,NPgY!AU307,WMID!AU307,EMID!AU307,SWALES!AU307,SWEST!AU307,LPN!AU307,SPN!AU307,EPN!AU307,SPD!AU307,SPMW!AU307,SSEH!AU307,SSES!AU307)</f>
        <v>0</v>
      </c>
      <c r="AV307" s="508">
        <f>CHOOSE($B$3,ENWL!AV307,NPgN!AV307,NPgY!AV307,WMID!AV307,EMID!AV307,SWALES!AV307,SWEST!AV307,LPN!AV307,SPN!AV307,EPN!AV307,SPD!AV307,SPMW!AV307,SSEH!AV307,SSES!AV307)</f>
        <v>0</v>
      </c>
      <c r="AW307" s="184"/>
    </row>
    <row r="308" spans="1:49" ht="15">
      <c r="A308" s="82"/>
      <c r="B308" s="82"/>
      <c r="C308" s="82"/>
      <c r="D308" s="82"/>
      <c r="E308" s="82" t="s">
        <v>362</v>
      </c>
      <c r="F308" s="82"/>
      <c r="G308" s="82" t="s">
        <v>209</v>
      </c>
      <c r="H308" s="82" t="s">
        <v>357</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f>CHOOSE($B$3,ENWL!AR308,NPgN!AR308,NPgY!AR308,WMID!AR308,EMID!AR308,SWALES!AR308,SWEST!AR308,LPN!AR308,SPN!AR308,EPN!AR308,SPD!AR308,SPMW!AR308,SSEH!AR308,SSES!AR308)</f>
        <v>0</v>
      </c>
      <c r="AS308" s="508">
        <f>CHOOSE($B$3,ENWL!AS308,NPgN!AS308,NPgY!AS308,WMID!AS308,EMID!AS308,SWALES!AS308,SWEST!AS308,LPN!AS308,SPN!AS308,EPN!AS308,SPD!AS308,SPMW!AS308,SSEH!AS308,SSES!AS308)</f>
        <v>0</v>
      </c>
      <c r="AT308" s="508">
        <f>CHOOSE($B$3,ENWL!AT308,NPgN!AT308,NPgY!AT308,WMID!AT308,EMID!AT308,SWALES!AT308,SWEST!AT308,LPN!AT308,SPN!AT308,EPN!AT308,SPD!AT308,SPMW!AT308,SSEH!AT308,SSES!AT308)</f>
        <v>0</v>
      </c>
      <c r="AU308" s="508">
        <f>CHOOSE($B$3,ENWL!AU308,NPgN!AU308,NPgY!AU308,WMID!AU308,EMID!AU308,SWALES!AU308,SWEST!AU308,LPN!AU308,SPN!AU308,EPN!AU308,SPD!AU308,SPMW!AU308,SSEH!AU308,SSES!AU308)</f>
        <v>0</v>
      </c>
      <c r="AV308" s="508">
        <f>CHOOSE($B$3,ENWL!AV308,NPgN!AV308,NPgY!AV308,WMID!AV308,EMID!AV308,SWALES!AV308,SWEST!AV308,LPN!AV308,SPN!AV308,EPN!AV308,SPD!AV308,SPMW!AV308,SSEH!AV308,SSES!AV308)</f>
        <v>0</v>
      </c>
      <c r="AW308" s="184"/>
    </row>
    <row r="309" spans="1:49" ht="15">
      <c r="A309" s="82"/>
      <c r="B309" s="82"/>
      <c r="C309" s="82"/>
      <c r="D309" s="82"/>
      <c r="E309" s="82" t="s">
        <v>363</v>
      </c>
      <c r="F309" s="82"/>
      <c r="G309" s="82" t="s">
        <v>209</v>
      </c>
      <c r="H309" s="82" t="s">
        <v>357</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f>CHOOSE($B$3,ENWL!AR309,NPgN!AR309,NPgY!AR309,WMID!AR309,EMID!AR309,SWALES!AR309,SWEST!AR309,LPN!AR309,SPN!AR309,EPN!AR309,SPD!AR309,SPMW!AR309,SSEH!AR309,SSES!AR309)</f>
        <v>0.10939432957639103</v>
      </c>
      <c r="AS309" s="508">
        <f>CHOOSE($B$3,ENWL!AS309,NPgN!AS309,NPgY!AS309,WMID!AS309,EMID!AS309,SWALES!AS309,SWEST!AS309,LPN!AS309,SPN!AS309,EPN!AS309,SPD!AS309,SPMW!AS309,SSEH!AS309,SSES!AS309)</f>
        <v>0.12601323242261098</v>
      </c>
      <c r="AT309" s="508">
        <f>CHOOSE($B$3,ENWL!AT309,NPgN!AT309,NPgY!AT309,WMID!AT309,EMID!AT309,SWALES!AT309,SWEST!AT309,LPN!AT309,SPN!AT309,EPN!AT309,SPD!AT309,SPMW!AT309,SSEH!AT309,SSES!AT309)</f>
        <v>0.10939375095165546</v>
      </c>
      <c r="AU309" s="508">
        <f>CHOOSE($B$3,ENWL!AU309,NPgN!AU309,NPgY!AU309,WMID!AU309,EMID!AU309,SWALES!AU309,SWEST!AU309,LPN!AU309,SPN!AU309,EPN!AU309,SPD!AU309,SPMW!AU309,SSEH!AU309,SSES!AU309)</f>
        <v>0.10612667636190133</v>
      </c>
      <c r="AV309" s="508">
        <f>CHOOSE($B$3,ENWL!AV309,NPgN!AV309,NPgY!AV309,WMID!AV309,EMID!AV309,SWALES!AV309,SWEST!AV309,LPN!AV309,SPN!AV309,EPN!AV309,SPD!AV309,SPMW!AV309,SSEH!AV309,SSES!AV309)</f>
        <v>9.1228309643191952E-2</v>
      </c>
      <c r="AW309" s="184"/>
    </row>
    <row r="310" spans="1:49" ht="15">
      <c r="A310" s="82"/>
      <c r="B310" s="82"/>
      <c r="C310" s="82"/>
      <c r="D310" s="82"/>
      <c r="E310" s="82" t="s">
        <v>364</v>
      </c>
      <c r="F310" s="82"/>
      <c r="G310" s="82" t="s">
        <v>209</v>
      </c>
      <c r="H310" s="82" t="s">
        <v>365</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f>CHOOSE($B$3,ENWL!AR310,NPgN!AR310,NPgY!AR310,WMID!AR310,EMID!AR310,SWALES!AR310,SWEST!AR310,LPN!AR310,SPN!AR310,EPN!AR310,SPD!AR310,SPMW!AR310,SSEH!AR310,SSES!AR310)</f>
        <v>0</v>
      </c>
      <c r="AS310" s="508">
        <f>CHOOSE($B$3,ENWL!AS310,NPgN!AS310,NPgY!AS310,WMID!AS310,EMID!AS310,SWALES!AS310,SWEST!AS310,LPN!AS310,SPN!AS310,EPN!AS310,SPD!AS310,SPMW!AS310,SSEH!AS310,SSES!AS310)</f>
        <v>0</v>
      </c>
      <c r="AT310" s="508">
        <f>CHOOSE($B$3,ENWL!AT310,NPgN!AT310,NPgY!AT310,WMID!AT310,EMID!AT310,SWALES!AT310,SWEST!AT310,LPN!AT310,SPN!AT310,EPN!AT310,SPD!AT310,SPMW!AT310,SSEH!AT310,SSES!AT310)</f>
        <v>0</v>
      </c>
      <c r="AU310" s="508">
        <f>CHOOSE($B$3,ENWL!AU310,NPgN!AU310,NPgY!AU310,WMID!AU310,EMID!AU310,SWALES!AU310,SWEST!AU310,LPN!AU310,SPN!AU310,EPN!AU310,SPD!AU310,SPMW!AU310,SSEH!AU310,SSES!AU310)</f>
        <v>0</v>
      </c>
      <c r="AV310" s="508">
        <f>CHOOSE($B$3,ENWL!AV310,NPgN!AV310,NPgY!AV310,WMID!AV310,EMID!AV310,SWALES!AV310,SWEST!AV310,LPN!AV310,SPN!AV310,EPN!AV310,SPD!AV310,SPMW!AV310,SSEH!AV310,SSES!AV310)</f>
        <v>0</v>
      </c>
      <c r="AW310" s="184"/>
    </row>
    <row r="311" spans="1:49" ht="15">
      <c r="A311" s="82"/>
      <c r="B311" s="82"/>
      <c r="C311" s="82"/>
      <c r="D311" s="82"/>
      <c r="E311" s="82" t="s">
        <v>366</v>
      </c>
      <c r="F311" s="82"/>
      <c r="G311" s="82" t="s">
        <v>209</v>
      </c>
      <c r="H311" s="82" t="s">
        <v>365</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f>CHOOSE($B$3,ENWL!AR311,NPgN!AR311,NPgY!AR311,WMID!AR311,EMID!AR311,SWALES!AR311,SWEST!AR311,LPN!AR311,SPN!AR311,EPN!AR311,SPD!AR311,SPMW!AR311,SSEH!AR311,SSES!AR311)</f>
        <v>0.79956323702903542</v>
      </c>
      <c r="AS311" s="508">
        <f>CHOOSE($B$3,ENWL!AS311,NPgN!AS311,NPgY!AS311,WMID!AS311,EMID!AS311,SWALES!AS311,SWEST!AS311,LPN!AS311,SPN!AS311,EPN!AS311,SPD!AS311,SPMW!AS311,SSEH!AS311,SSES!AS311)</f>
        <v>0.8131606159669198</v>
      </c>
      <c r="AT311" s="508">
        <f>CHOOSE($B$3,ENWL!AT311,NPgN!AT311,NPgY!AT311,WMID!AT311,EMID!AT311,SWALES!AT311,SWEST!AT311,LPN!AT311,SPN!AT311,EPN!AT311,SPD!AT311,SPMW!AT311,SSEH!AT311,SSES!AT311)</f>
        <v>0.84700174047170917</v>
      </c>
      <c r="AU311" s="508">
        <f>CHOOSE($B$3,ENWL!AU311,NPgN!AU311,NPgY!AU311,WMID!AU311,EMID!AU311,SWALES!AU311,SWEST!AU311,LPN!AU311,SPN!AU311,EPN!AU311,SPD!AU311,SPMW!AU311,SSEH!AU311,SSES!AU311)</f>
        <v>0.91338519596929624</v>
      </c>
      <c r="AV311" s="508">
        <f>CHOOSE($B$3,ENWL!AV311,NPgN!AV311,NPgY!AV311,WMID!AV311,EMID!AV311,SWALES!AV311,SWEST!AV311,LPN!AV311,SPN!AV311,EPN!AV311,SPD!AV311,SPMW!AV311,SSEH!AV311,SSES!AV311)</f>
        <v>0.92051621604386114</v>
      </c>
      <c r="AW311" s="184"/>
    </row>
    <row r="312" spans="1:49" ht="15">
      <c r="A312" s="82"/>
      <c r="B312" s="82"/>
      <c r="C312" s="82"/>
      <c r="D312" s="82"/>
      <c r="E312" s="82" t="s">
        <v>367</v>
      </c>
      <c r="F312" s="82"/>
      <c r="G312" s="82" t="s">
        <v>209</v>
      </c>
      <c r="H312" s="82" t="s">
        <v>365</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f>CHOOSE($B$3,ENWL!AR312,NPgN!AR312,NPgY!AR312,WMID!AR312,EMID!AR312,SWALES!AR312,SWEST!AR312,LPN!AR312,SPN!AR312,EPN!AR312,SPD!AR312,SPMW!AR312,SSEH!AR312,SSES!AR312)</f>
        <v>0.40564068524285379</v>
      </c>
      <c r="AS312" s="508">
        <f>CHOOSE($B$3,ENWL!AS312,NPgN!AS312,NPgY!AS312,WMID!AS312,EMID!AS312,SWALES!AS312,SWEST!AS312,LPN!AS312,SPN!AS312,EPN!AS312,SPD!AS312,SPMW!AS312,SSEH!AS312,SSES!AS312)</f>
        <v>0.4676356284466972</v>
      </c>
      <c r="AT312" s="508">
        <f>CHOOSE($B$3,ENWL!AT312,NPgN!AT312,NPgY!AT312,WMID!AT312,EMID!AT312,SWALES!AT312,SWEST!AT312,LPN!AT312,SPN!AT312,EPN!AT312,SPD!AT312,SPMW!AT312,SSEH!AT312,SSES!AT312)</f>
        <v>0.30857529410140527</v>
      </c>
      <c r="AU312" s="508">
        <f>CHOOSE($B$3,ENWL!AU312,NPgN!AU312,NPgY!AU312,WMID!AU312,EMID!AU312,SWALES!AU312,SWEST!AU312,LPN!AU312,SPN!AU312,EPN!AU312,SPD!AU312,SPMW!AU312,SSEH!AU312,SSES!AU312)</f>
        <v>0.290186940770357</v>
      </c>
      <c r="AV312" s="508">
        <f>CHOOSE($B$3,ENWL!AV312,NPgN!AV312,NPgY!AV312,WMID!AV312,EMID!AV312,SWALES!AV312,SWEST!AV312,LPN!AV312,SPN!AV312,EPN!AV312,SPD!AV312,SPMW!AV312,SSEH!AV312,SSES!AV312)</f>
        <v>0.3990462828865074</v>
      </c>
      <c r="AW312" s="184"/>
    </row>
    <row r="313" spans="1:49" ht="15">
      <c r="A313" s="82"/>
      <c r="B313" s="82"/>
      <c r="C313" s="82"/>
      <c r="D313" s="82"/>
      <c r="E313" s="82" t="s">
        <v>368</v>
      </c>
      <c r="F313" s="82"/>
      <c r="G313" s="82" t="s">
        <v>209</v>
      </c>
      <c r="H313" s="82" t="s">
        <v>365</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f>CHOOSE($B$3,ENWL!AR313,NPgN!AR313,NPgY!AR313,WMID!AR313,EMID!AR313,SWALES!AR313,SWEST!AR313,LPN!AR313,SPN!AR313,EPN!AR313,SPD!AR313,SPMW!AR313,SSEH!AR313,SSES!AR313)</f>
        <v>0.84075588495266662</v>
      </c>
      <c r="AS313" s="508">
        <f>CHOOSE($B$3,ENWL!AS313,NPgN!AS313,NPgY!AS313,WMID!AS313,EMID!AS313,SWALES!AS313,SWEST!AS313,LPN!AS313,SPN!AS313,EPN!AS313,SPD!AS313,SPMW!AS313,SSEH!AS313,SSES!AS313)</f>
        <v>0.84075588495266662</v>
      </c>
      <c r="AT313" s="508">
        <f>CHOOSE($B$3,ENWL!AT313,NPgN!AT313,NPgY!AT313,WMID!AT313,EMID!AT313,SWALES!AT313,SWEST!AT313,LPN!AT313,SPN!AT313,EPN!AT313,SPD!AT313,SPMW!AT313,SSEH!AT313,SSES!AT313)</f>
        <v>0.84075588495266662</v>
      </c>
      <c r="AU313" s="508">
        <f>CHOOSE($B$3,ENWL!AU313,NPgN!AU313,NPgY!AU313,WMID!AU313,EMID!AU313,SWALES!AU313,SWEST!AU313,LPN!AU313,SPN!AU313,EPN!AU313,SPD!AU313,SPMW!AU313,SSEH!AU313,SSES!AU313)</f>
        <v>0.84075588495266662</v>
      </c>
      <c r="AV313" s="508">
        <f>CHOOSE($B$3,ENWL!AV313,NPgN!AV313,NPgY!AV313,WMID!AV313,EMID!AV313,SWALES!AV313,SWEST!AV313,LPN!AV313,SPN!AV313,EPN!AV313,SPD!AV313,SPMW!AV313,SSEH!AV313,SSES!AV313)</f>
        <v>0.84075588495266662</v>
      </c>
      <c r="AW313" s="184"/>
    </row>
    <row r="314" spans="1:49" ht="15">
      <c r="A314" s="82"/>
      <c r="B314" s="82"/>
      <c r="C314" s="82"/>
      <c r="D314" s="82"/>
      <c r="E314" s="82" t="s">
        <v>369</v>
      </c>
      <c r="F314" s="82"/>
      <c r="G314" s="82" t="s">
        <v>209</v>
      </c>
      <c r="H314" s="82" t="s">
        <v>365</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f>CHOOSE($B$3,ENWL!AR314,NPgN!AR314,NPgY!AR314,WMID!AR314,EMID!AR314,SWALES!AR314,SWEST!AR314,LPN!AR314,SPN!AR314,EPN!AR314,SPD!AR314,SPMW!AR314,SSEH!AR314,SSES!AR314)</f>
        <v>4.2902237475974138E-2</v>
      </c>
      <c r="AS314" s="508">
        <f>CHOOSE($B$3,ENWL!AS314,NPgN!AS314,NPgY!AS314,WMID!AS314,EMID!AS314,SWALES!AS314,SWEST!AS314,LPN!AS314,SPN!AS314,EPN!AS314,SPD!AS314,SPMW!AS314,SSEH!AS314,SSES!AS314)</f>
        <v>4.2902237475974138E-2</v>
      </c>
      <c r="AT314" s="508">
        <f>CHOOSE($B$3,ENWL!AT314,NPgN!AT314,NPgY!AT314,WMID!AT314,EMID!AT314,SWALES!AT314,SWEST!AT314,LPN!AT314,SPN!AT314,EPN!AT314,SPD!AT314,SPMW!AT314,SSEH!AT314,SSES!AT314)</f>
        <v>4.2902237475974145E-2</v>
      </c>
      <c r="AU314" s="508">
        <f>CHOOSE($B$3,ENWL!AU314,NPgN!AU314,NPgY!AU314,WMID!AU314,EMID!AU314,SWALES!AU314,SWEST!AU314,LPN!AU314,SPN!AU314,EPN!AU314,SPD!AU314,SPMW!AU314,SSEH!AU314,SSES!AU314)</f>
        <v>4.2902237475974145E-2</v>
      </c>
      <c r="AV314" s="508">
        <f>CHOOSE($B$3,ENWL!AV314,NPgN!AV314,NPgY!AV314,WMID!AV314,EMID!AV314,SWALES!AV314,SWEST!AV314,LPN!AV314,SPN!AV314,EPN!AV314,SPD!AV314,SPMW!AV314,SSEH!AV314,SSES!AV314)</f>
        <v>4.2902237475974145E-2</v>
      </c>
      <c r="AW314" s="184"/>
    </row>
    <row r="315" spans="1:49" ht="15">
      <c r="A315" s="82"/>
      <c r="B315" s="82"/>
      <c r="C315" s="82"/>
      <c r="D315" s="82"/>
      <c r="E315" s="82" t="s">
        <v>370</v>
      </c>
      <c r="F315" s="82"/>
      <c r="G315" s="82" t="s">
        <v>209</v>
      </c>
      <c r="H315" s="82" t="s">
        <v>365</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f>CHOOSE($B$3,ENWL!AR315,NPgN!AR315,NPgY!AR315,WMID!AR315,EMID!AR315,SWALES!AR315,SWEST!AR315,LPN!AR315,SPN!AR315,EPN!AR315,SPD!AR315,SPMW!AR315,SSEH!AR315,SSES!AR315)</f>
        <v>0</v>
      </c>
      <c r="AS315" s="508">
        <f>CHOOSE($B$3,ENWL!AS315,NPgN!AS315,NPgY!AS315,WMID!AS315,EMID!AS315,SWALES!AS315,SWEST!AS315,LPN!AS315,SPN!AS315,EPN!AS315,SPD!AS315,SPMW!AS315,SSEH!AS315,SSES!AS315)</f>
        <v>0</v>
      </c>
      <c r="AT315" s="508">
        <f>CHOOSE($B$3,ENWL!AT315,NPgN!AT315,NPgY!AT315,WMID!AT315,EMID!AT315,SWALES!AT315,SWEST!AT315,LPN!AT315,SPN!AT315,EPN!AT315,SPD!AT315,SPMW!AT315,SSEH!AT315,SSES!AT315)</f>
        <v>0</v>
      </c>
      <c r="AU315" s="508">
        <f>CHOOSE($B$3,ENWL!AU315,NPgN!AU315,NPgY!AU315,WMID!AU315,EMID!AU315,SWALES!AU315,SWEST!AU315,LPN!AU315,SPN!AU315,EPN!AU315,SPD!AU315,SPMW!AU315,SSEH!AU315,SSES!AU315)</f>
        <v>0</v>
      </c>
      <c r="AV315" s="508">
        <f>CHOOSE($B$3,ENWL!AV315,NPgN!AV315,NPgY!AV315,WMID!AV315,EMID!AV315,SWALES!AV315,SWEST!AV315,LPN!AV315,SPN!AV315,EPN!AV315,SPD!AV315,SPMW!AV315,SSEH!AV315,SSES!AV315)</f>
        <v>0</v>
      </c>
      <c r="AW315" s="184"/>
    </row>
    <row r="316" spans="1:49" ht="15">
      <c r="A316" s="82"/>
      <c r="B316" s="82"/>
      <c r="C316" s="82"/>
      <c r="D316" s="82"/>
      <c r="E316" s="82" t="s">
        <v>371</v>
      </c>
      <c r="F316" s="82"/>
      <c r="G316" s="82" t="s">
        <v>209</v>
      </c>
      <c r="H316" s="82" t="s">
        <v>365</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f>CHOOSE($B$3,ENWL!AR316,NPgN!AR316,NPgY!AR316,WMID!AR316,EMID!AR316,SWALES!AR316,SWEST!AR316,LPN!AR316,SPN!AR316,EPN!AR316,SPD!AR316,SPMW!AR316,SSEH!AR316,SSES!AR316)</f>
        <v>0.37806366439630779</v>
      </c>
      <c r="AS316" s="508">
        <f>CHOOSE($B$3,ENWL!AS316,NPgN!AS316,NPgY!AS316,WMID!AS316,EMID!AS316,SWALES!AS316,SWEST!AS316,LPN!AS316,SPN!AS316,EPN!AS316,SPD!AS316,SPMW!AS316,SSEH!AS316,SSES!AS316)</f>
        <v>0.35209193810275663</v>
      </c>
      <c r="AT316" s="508">
        <f>CHOOSE($B$3,ENWL!AT316,NPgN!AT316,NPgY!AT316,WMID!AT316,EMID!AT316,SWALES!AT316,SWEST!AT316,LPN!AT316,SPN!AT316,EPN!AT316,SPD!AT316,SPMW!AT316,SSEH!AT316,SSES!AT316)</f>
        <v>0.33967394097018822</v>
      </c>
      <c r="AU316" s="508">
        <f>CHOOSE($B$3,ENWL!AU316,NPgN!AU316,NPgY!AU316,WMID!AU316,EMID!AU316,SWALES!AU316,SWEST!AU316,LPN!AU316,SPN!AU316,EPN!AU316,SPD!AU316,SPMW!AU316,SSEH!AU316,SSES!AU316)</f>
        <v>0.34533422526877711</v>
      </c>
      <c r="AV316" s="508">
        <f>CHOOSE($B$3,ENWL!AV316,NPgN!AV316,NPgY!AV316,WMID!AV316,EMID!AV316,SWALES!AV316,SWEST!AV316,LPN!AV316,SPN!AV316,EPN!AV316,SPD!AV316,SPMW!AV316,SSEH!AV316,SSES!AV316)</f>
        <v>0.38891263441623708</v>
      </c>
      <c r="AW316" s="184"/>
    </row>
    <row r="317" spans="1:49" ht="15">
      <c r="A317" s="82"/>
      <c r="B317" s="82"/>
      <c r="C317" s="82"/>
      <c r="D317" s="82"/>
      <c r="E317" s="82" t="s">
        <v>372</v>
      </c>
      <c r="F317" s="82"/>
      <c r="G317" s="82" t="s">
        <v>209</v>
      </c>
      <c r="H317" s="82" t="s">
        <v>373</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f>CHOOSE($B$3,ENWL!AR317,NPgN!AR317,NPgY!AR317,WMID!AR317,EMID!AR317,SWALES!AR317,SWEST!AR317,LPN!AR317,SPN!AR317,EPN!AR317,SPD!AR317,SPMW!AR317,SSEH!AR317,SSES!AR317)</f>
        <v>0</v>
      </c>
      <c r="AS317" s="508">
        <f>CHOOSE($B$3,ENWL!AS317,NPgN!AS317,NPgY!AS317,WMID!AS317,EMID!AS317,SWALES!AS317,SWEST!AS317,LPN!AS317,SPN!AS317,EPN!AS317,SPD!AS317,SPMW!AS317,SSEH!AS317,SSES!AS317)</f>
        <v>0</v>
      </c>
      <c r="AT317" s="508">
        <f>CHOOSE($B$3,ENWL!AT317,NPgN!AT317,NPgY!AT317,WMID!AT317,EMID!AT317,SWALES!AT317,SWEST!AT317,LPN!AT317,SPN!AT317,EPN!AT317,SPD!AT317,SPMW!AT317,SSEH!AT317,SSES!AT317)</f>
        <v>0</v>
      </c>
      <c r="AU317" s="508">
        <f>CHOOSE($B$3,ENWL!AU317,NPgN!AU317,NPgY!AU317,WMID!AU317,EMID!AU317,SWALES!AU317,SWEST!AU317,LPN!AU317,SPN!AU317,EPN!AU317,SPD!AU317,SPMW!AU317,SSEH!AU317,SSES!AU317)</f>
        <v>0</v>
      </c>
      <c r="AV317" s="508">
        <f>CHOOSE($B$3,ENWL!AV317,NPgN!AV317,NPgY!AV317,WMID!AV317,EMID!AV317,SWALES!AV317,SWEST!AV317,LPN!AV317,SPN!AV317,EPN!AV317,SPD!AV317,SPMW!AV317,SSEH!AV317,SSES!AV317)</f>
        <v>0</v>
      </c>
      <c r="AW317" s="184"/>
    </row>
    <row r="318" spans="1:49" ht="15">
      <c r="A318" s="82"/>
      <c r="B318" s="82"/>
      <c r="C318" s="82"/>
      <c r="D318" s="82"/>
      <c r="E318" s="82" t="s">
        <v>374</v>
      </c>
      <c r="F318" s="82"/>
      <c r="G318" s="82" t="s">
        <v>209</v>
      </c>
      <c r="H318" s="82" t="s">
        <v>373</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f>CHOOSE($B$3,ENWL!AR318,NPgN!AR318,NPgY!AR318,WMID!AR318,EMID!AR318,SWALES!AR318,SWEST!AR318,LPN!AR318,SPN!AR318,EPN!AR318,SPD!AR318,SPMW!AR318,SSEH!AR318,SSES!AR318)</f>
        <v>0</v>
      </c>
      <c r="AS318" s="508">
        <f>CHOOSE($B$3,ENWL!AS318,NPgN!AS318,NPgY!AS318,WMID!AS318,EMID!AS318,SWALES!AS318,SWEST!AS318,LPN!AS318,SPN!AS318,EPN!AS318,SPD!AS318,SPMW!AS318,SSEH!AS318,SSES!AS318)</f>
        <v>0</v>
      </c>
      <c r="AT318" s="508">
        <f>CHOOSE($B$3,ENWL!AT318,NPgN!AT318,NPgY!AT318,WMID!AT318,EMID!AT318,SWALES!AT318,SWEST!AT318,LPN!AT318,SPN!AT318,EPN!AT318,SPD!AT318,SPMW!AT318,SSEH!AT318,SSES!AT318)</f>
        <v>0</v>
      </c>
      <c r="AU318" s="508">
        <f>CHOOSE($B$3,ENWL!AU318,NPgN!AU318,NPgY!AU318,WMID!AU318,EMID!AU318,SWALES!AU318,SWEST!AU318,LPN!AU318,SPN!AU318,EPN!AU318,SPD!AU318,SPMW!AU318,SSEH!AU318,SSES!AU318)</f>
        <v>0</v>
      </c>
      <c r="AV318" s="508">
        <f>CHOOSE($B$3,ENWL!AV318,NPgN!AV318,NPgY!AV318,WMID!AV318,EMID!AV318,SWALES!AV318,SWEST!AV318,LPN!AV318,SPN!AV318,EPN!AV318,SPD!AV318,SPMW!AV318,SSEH!AV318,SSES!AV318)</f>
        <v>0</v>
      </c>
      <c r="AW318" s="184"/>
    </row>
    <row r="319" spans="1:49" ht="15">
      <c r="A319" s="82"/>
      <c r="B319" s="82"/>
      <c r="C319" s="82"/>
      <c r="D319" s="82"/>
      <c r="E319" s="82" t="s">
        <v>375</v>
      </c>
      <c r="F319" s="82"/>
      <c r="G319" s="82" t="s">
        <v>209</v>
      </c>
      <c r="H319" s="82" t="s">
        <v>373</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f>CHOOSE($B$3,ENWL!AR319,NPgN!AR319,NPgY!AR319,WMID!AR319,EMID!AR319,SWALES!AR319,SWEST!AR319,LPN!AR319,SPN!AR319,EPN!AR319,SPD!AR319,SPMW!AR319,SSEH!AR319,SSES!AR319)</f>
        <v>0</v>
      </c>
      <c r="AS319" s="508">
        <f>CHOOSE($B$3,ENWL!AS319,NPgN!AS319,NPgY!AS319,WMID!AS319,EMID!AS319,SWALES!AS319,SWEST!AS319,LPN!AS319,SPN!AS319,EPN!AS319,SPD!AS319,SPMW!AS319,SSEH!AS319,SSES!AS319)</f>
        <v>0</v>
      </c>
      <c r="AT319" s="508">
        <f>CHOOSE($B$3,ENWL!AT319,NPgN!AT319,NPgY!AT319,WMID!AT319,EMID!AT319,SWALES!AT319,SWEST!AT319,LPN!AT319,SPN!AT319,EPN!AT319,SPD!AT319,SPMW!AT319,SSEH!AT319,SSES!AT319)</f>
        <v>0</v>
      </c>
      <c r="AU319" s="508">
        <f>CHOOSE($B$3,ENWL!AU319,NPgN!AU319,NPgY!AU319,WMID!AU319,EMID!AU319,SWALES!AU319,SWEST!AU319,LPN!AU319,SPN!AU319,EPN!AU319,SPD!AU319,SPMW!AU319,SSEH!AU319,SSES!AU319)</f>
        <v>0</v>
      </c>
      <c r="AV319" s="508">
        <f>CHOOSE($B$3,ENWL!AV319,NPgN!AV319,NPgY!AV319,WMID!AV319,EMID!AV319,SWALES!AV319,SWEST!AV319,LPN!AV319,SPN!AV319,EPN!AV319,SPD!AV319,SPMW!AV319,SSEH!AV319,SSES!AV319)</f>
        <v>0</v>
      </c>
      <c r="AW319" s="184"/>
    </row>
    <row r="320" spans="1:49" ht="15">
      <c r="A320" s="82"/>
      <c r="B320" s="82"/>
      <c r="C320" s="82"/>
      <c r="D320" s="82"/>
      <c r="E320" s="82" t="s">
        <v>376</v>
      </c>
      <c r="F320" s="82"/>
      <c r="G320" s="82" t="s">
        <v>209</v>
      </c>
      <c r="H320" s="82" t="s">
        <v>373</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f>CHOOSE($B$3,ENWL!AR320,NPgN!AR320,NPgY!AR320,WMID!AR320,EMID!AR320,SWALES!AR320,SWEST!AR320,LPN!AR320,SPN!AR320,EPN!AR320,SPD!AR320,SPMW!AR320,SSEH!AR320,SSES!AR320)</f>
        <v>0</v>
      </c>
      <c r="AS320" s="508">
        <f>CHOOSE($B$3,ENWL!AS320,NPgN!AS320,NPgY!AS320,WMID!AS320,EMID!AS320,SWALES!AS320,SWEST!AS320,LPN!AS320,SPN!AS320,EPN!AS320,SPD!AS320,SPMW!AS320,SSEH!AS320,SSES!AS320)</f>
        <v>0</v>
      </c>
      <c r="AT320" s="508">
        <f>CHOOSE($B$3,ENWL!AT320,NPgN!AT320,NPgY!AT320,WMID!AT320,EMID!AT320,SWALES!AT320,SWEST!AT320,LPN!AT320,SPN!AT320,EPN!AT320,SPD!AT320,SPMW!AT320,SSEH!AT320,SSES!AT320)</f>
        <v>0</v>
      </c>
      <c r="AU320" s="508">
        <f>CHOOSE($B$3,ENWL!AU320,NPgN!AU320,NPgY!AU320,WMID!AU320,EMID!AU320,SWALES!AU320,SWEST!AU320,LPN!AU320,SPN!AU320,EPN!AU320,SPD!AU320,SPMW!AU320,SSEH!AU320,SSES!AU320)</f>
        <v>0</v>
      </c>
      <c r="AV320" s="508">
        <f>CHOOSE($B$3,ENWL!AV320,NPgN!AV320,NPgY!AV320,WMID!AV320,EMID!AV320,SWALES!AV320,SWEST!AV320,LPN!AV320,SPN!AV320,EPN!AV320,SPD!AV320,SPMW!AV320,SSEH!AV320,SSES!AV320)</f>
        <v>0</v>
      </c>
      <c r="AW320" s="184"/>
    </row>
    <row r="321" spans="1:49" ht="15">
      <c r="A321" s="82"/>
      <c r="B321" s="82"/>
      <c r="C321" s="82"/>
      <c r="D321" s="82"/>
      <c r="E321" s="82" t="s">
        <v>377</v>
      </c>
      <c r="F321" s="82"/>
      <c r="G321" s="82" t="s">
        <v>209</v>
      </c>
      <c r="H321" s="82" t="s">
        <v>373</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f>CHOOSE($B$3,ENWL!AR321,NPgN!AR321,NPgY!AR321,WMID!AR321,EMID!AR321,SWALES!AR321,SWEST!AR321,LPN!AR321,SPN!AR321,EPN!AR321,SPD!AR321,SPMW!AR321,SSEH!AR321,SSES!AR321)</f>
        <v>0</v>
      </c>
      <c r="AS321" s="508">
        <f>CHOOSE($B$3,ENWL!AS321,NPgN!AS321,NPgY!AS321,WMID!AS321,EMID!AS321,SWALES!AS321,SWEST!AS321,LPN!AS321,SPN!AS321,EPN!AS321,SPD!AS321,SPMW!AS321,SSEH!AS321,SSES!AS321)</f>
        <v>0</v>
      </c>
      <c r="AT321" s="508">
        <f>CHOOSE($B$3,ENWL!AT321,NPgN!AT321,NPgY!AT321,WMID!AT321,EMID!AT321,SWALES!AT321,SWEST!AT321,LPN!AT321,SPN!AT321,EPN!AT321,SPD!AT321,SPMW!AT321,SSEH!AT321,SSES!AT321)</f>
        <v>0</v>
      </c>
      <c r="AU321" s="508">
        <f>CHOOSE($B$3,ENWL!AU321,NPgN!AU321,NPgY!AU321,WMID!AU321,EMID!AU321,SWALES!AU321,SWEST!AU321,LPN!AU321,SPN!AU321,EPN!AU321,SPD!AU321,SPMW!AU321,SSEH!AU321,SSES!AU321)</f>
        <v>0</v>
      </c>
      <c r="AV321" s="508">
        <f>CHOOSE($B$3,ENWL!AV321,NPgN!AV321,NPgY!AV321,WMID!AV321,EMID!AV321,SWALES!AV321,SWEST!AV321,LPN!AV321,SPN!AV321,EPN!AV321,SPD!AV321,SPMW!AV321,SSEH!AV321,SSES!AV321)</f>
        <v>0</v>
      </c>
      <c r="AW321" s="184"/>
    </row>
    <row r="322" spans="1:49" ht="15">
      <c r="A322" s="82"/>
      <c r="B322" s="82"/>
      <c r="C322" s="82"/>
      <c r="D322" s="82"/>
      <c r="E322" s="82" t="s">
        <v>378</v>
      </c>
      <c r="F322" s="82"/>
      <c r="G322" s="82" t="s">
        <v>209</v>
      </c>
      <c r="H322" s="82" t="s">
        <v>373</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f>CHOOSE($B$3,ENWL!AR322,NPgN!AR322,NPgY!AR322,WMID!AR322,EMID!AR322,SWALES!AR322,SWEST!AR322,LPN!AR322,SPN!AR322,EPN!AR322,SPD!AR322,SPMW!AR322,SSEH!AR322,SSES!AR322)</f>
        <v>0</v>
      </c>
      <c r="AS322" s="508">
        <f>CHOOSE($B$3,ENWL!AS322,NPgN!AS322,NPgY!AS322,WMID!AS322,EMID!AS322,SWALES!AS322,SWEST!AS322,LPN!AS322,SPN!AS322,EPN!AS322,SPD!AS322,SPMW!AS322,SSEH!AS322,SSES!AS322)</f>
        <v>0</v>
      </c>
      <c r="AT322" s="508">
        <f>CHOOSE($B$3,ENWL!AT322,NPgN!AT322,NPgY!AT322,WMID!AT322,EMID!AT322,SWALES!AT322,SWEST!AT322,LPN!AT322,SPN!AT322,EPN!AT322,SPD!AT322,SPMW!AT322,SSEH!AT322,SSES!AT322)</f>
        <v>0</v>
      </c>
      <c r="AU322" s="508">
        <f>CHOOSE($B$3,ENWL!AU322,NPgN!AU322,NPgY!AU322,WMID!AU322,EMID!AU322,SWALES!AU322,SWEST!AU322,LPN!AU322,SPN!AU322,EPN!AU322,SPD!AU322,SPMW!AU322,SSEH!AU322,SSES!AU322)</f>
        <v>0</v>
      </c>
      <c r="AV322" s="508">
        <f>CHOOSE($B$3,ENWL!AV322,NPgN!AV322,NPgY!AV322,WMID!AV322,EMID!AV322,SWALES!AV322,SWEST!AV322,LPN!AV322,SPN!AV322,EPN!AV322,SPD!AV322,SPMW!AV322,SSEH!AV322,SSES!AV322)</f>
        <v>0</v>
      </c>
      <c r="AW322" s="184"/>
    </row>
    <row r="323" spans="1:49" ht="15">
      <c r="A323" s="82"/>
      <c r="B323" s="82"/>
      <c r="C323" s="82"/>
      <c r="D323" s="82"/>
      <c r="E323" s="82" t="s">
        <v>379</v>
      </c>
      <c r="F323" s="82"/>
      <c r="G323" s="82" t="s">
        <v>209</v>
      </c>
      <c r="H323" s="82" t="s">
        <v>373</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f>CHOOSE($B$3,ENWL!AR323,NPgN!AR323,NPgY!AR323,WMID!AR323,EMID!AR323,SWALES!AR323,SWEST!AR323,LPN!AR323,SPN!AR323,EPN!AR323,SPD!AR323,SPMW!AR323,SSEH!AR323,SSES!AR323)</f>
        <v>0</v>
      </c>
      <c r="AS323" s="508">
        <f>CHOOSE($B$3,ENWL!AS323,NPgN!AS323,NPgY!AS323,WMID!AS323,EMID!AS323,SWALES!AS323,SWEST!AS323,LPN!AS323,SPN!AS323,EPN!AS323,SPD!AS323,SPMW!AS323,SSEH!AS323,SSES!AS323)</f>
        <v>0</v>
      </c>
      <c r="AT323" s="508">
        <f>CHOOSE($B$3,ENWL!AT323,NPgN!AT323,NPgY!AT323,WMID!AT323,EMID!AT323,SWALES!AT323,SWEST!AT323,LPN!AT323,SPN!AT323,EPN!AT323,SPD!AT323,SPMW!AT323,SSEH!AT323,SSES!AT323)</f>
        <v>0</v>
      </c>
      <c r="AU323" s="508">
        <f>CHOOSE($B$3,ENWL!AU323,NPgN!AU323,NPgY!AU323,WMID!AU323,EMID!AU323,SWALES!AU323,SWEST!AU323,LPN!AU323,SPN!AU323,EPN!AU323,SPD!AU323,SPMW!AU323,SSEH!AU323,SSES!AU323)</f>
        <v>0</v>
      </c>
      <c r="AV323" s="508">
        <f>CHOOSE($B$3,ENWL!AV323,NPgN!AV323,NPgY!AV323,WMID!AV323,EMID!AV323,SWALES!AV323,SWEST!AV323,LPN!AV323,SPN!AV323,EPN!AV323,SPD!AV323,SPMW!AV323,SSEH!AV323,SSES!AV323)</f>
        <v>0</v>
      </c>
      <c r="AW323" s="184"/>
    </row>
    <row r="324" spans="1:49" ht="15">
      <c r="A324" s="82"/>
      <c r="B324" s="82"/>
      <c r="C324" s="82"/>
      <c r="D324" s="82"/>
      <c r="E324" s="82" t="s">
        <v>380</v>
      </c>
      <c r="F324" s="82"/>
      <c r="G324" s="82" t="s">
        <v>209</v>
      </c>
      <c r="H324" s="82" t="s">
        <v>381</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f>CHOOSE($B$3,ENWL!AR324,NPgN!AR324,NPgY!AR324,WMID!AR324,EMID!AR324,SWALES!AR324,SWEST!AR324,LPN!AR324,SPN!AR324,EPN!AR324,SPD!AR324,SPMW!AR324,SSEH!AR324,SSES!AR324)</f>
        <v>0</v>
      </c>
      <c r="AS324" s="508">
        <f>CHOOSE($B$3,ENWL!AS324,NPgN!AS324,NPgY!AS324,WMID!AS324,EMID!AS324,SWALES!AS324,SWEST!AS324,LPN!AS324,SPN!AS324,EPN!AS324,SPD!AS324,SPMW!AS324,SSEH!AS324,SSES!AS324)</f>
        <v>0</v>
      </c>
      <c r="AT324" s="508">
        <f>CHOOSE($B$3,ENWL!AT324,NPgN!AT324,NPgY!AT324,WMID!AT324,EMID!AT324,SWALES!AT324,SWEST!AT324,LPN!AT324,SPN!AT324,EPN!AT324,SPD!AT324,SPMW!AT324,SSEH!AT324,SSES!AT324)</f>
        <v>0</v>
      </c>
      <c r="AU324" s="508">
        <f>CHOOSE($B$3,ENWL!AU324,NPgN!AU324,NPgY!AU324,WMID!AU324,EMID!AU324,SWALES!AU324,SWEST!AU324,LPN!AU324,SPN!AU324,EPN!AU324,SPD!AU324,SPMW!AU324,SSEH!AU324,SSES!AU324)</f>
        <v>0</v>
      </c>
      <c r="AV324" s="508">
        <f>CHOOSE($B$3,ENWL!AV324,NPgN!AV324,NPgY!AV324,WMID!AV324,EMID!AV324,SWALES!AV324,SWEST!AV324,LPN!AV324,SPN!AV324,EPN!AV324,SPD!AV324,SPMW!AV324,SSEH!AV324,SSES!AV324)</f>
        <v>0</v>
      </c>
      <c r="AW324" s="184"/>
    </row>
    <row r="325" spans="1:49" ht="15">
      <c r="A325" s="82"/>
      <c r="B325" s="82"/>
      <c r="C325" s="82"/>
      <c r="D325" s="82"/>
      <c r="E325" s="82" t="s">
        <v>382</v>
      </c>
      <c r="F325" s="82"/>
      <c r="G325" s="82" t="s">
        <v>209</v>
      </c>
      <c r="H325" s="82" t="s">
        <v>381</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f>CHOOSE($B$3,ENWL!AR325,NPgN!AR325,NPgY!AR325,WMID!AR325,EMID!AR325,SWALES!AR325,SWEST!AR325,LPN!AR325,SPN!AR325,EPN!AR325,SPD!AR325,SPMW!AR325,SSEH!AR325,SSES!AR325)</f>
        <v>0</v>
      </c>
      <c r="AS325" s="508">
        <f>CHOOSE($B$3,ENWL!AS325,NPgN!AS325,NPgY!AS325,WMID!AS325,EMID!AS325,SWALES!AS325,SWEST!AS325,LPN!AS325,SPN!AS325,EPN!AS325,SPD!AS325,SPMW!AS325,SSEH!AS325,SSES!AS325)</f>
        <v>0</v>
      </c>
      <c r="AT325" s="508">
        <f>CHOOSE($B$3,ENWL!AT325,NPgN!AT325,NPgY!AT325,WMID!AT325,EMID!AT325,SWALES!AT325,SWEST!AT325,LPN!AT325,SPN!AT325,EPN!AT325,SPD!AT325,SPMW!AT325,SSEH!AT325,SSES!AT325)</f>
        <v>0</v>
      </c>
      <c r="AU325" s="508">
        <f>CHOOSE($B$3,ENWL!AU325,NPgN!AU325,NPgY!AU325,WMID!AU325,EMID!AU325,SWALES!AU325,SWEST!AU325,LPN!AU325,SPN!AU325,EPN!AU325,SPD!AU325,SPMW!AU325,SSEH!AU325,SSES!AU325)</f>
        <v>0</v>
      </c>
      <c r="AV325" s="508">
        <f>CHOOSE($B$3,ENWL!AV325,NPgN!AV325,NPgY!AV325,WMID!AV325,EMID!AV325,SWALES!AV325,SWEST!AV325,LPN!AV325,SPN!AV325,EPN!AV325,SPD!AV325,SPMW!AV325,SSEH!AV325,SSES!AV325)</f>
        <v>0</v>
      </c>
      <c r="AW325" s="184"/>
    </row>
    <row r="326" spans="1:49" ht="15">
      <c r="A326" s="82"/>
      <c r="B326" s="82"/>
      <c r="C326" s="82"/>
      <c r="D326" s="82"/>
      <c r="E326" s="82" t="s">
        <v>383</v>
      </c>
      <c r="F326" s="82"/>
      <c r="G326" s="82" t="s">
        <v>209</v>
      </c>
      <c r="H326" s="82" t="s">
        <v>381</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f>CHOOSE($B$3,ENWL!AR326,NPgN!AR326,NPgY!AR326,WMID!AR326,EMID!AR326,SWALES!AR326,SWEST!AR326,LPN!AR326,SPN!AR326,EPN!AR326,SPD!AR326,SPMW!AR326,SSEH!AR326,SSES!AR326)</f>
        <v>0</v>
      </c>
      <c r="AS326" s="508">
        <f>CHOOSE($B$3,ENWL!AS326,NPgN!AS326,NPgY!AS326,WMID!AS326,EMID!AS326,SWALES!AS326,SWEST!AS326,LPN!AS326,SPN!AS326,EPN!AS326,SPD!AS326,SPMW!AS326,SSEH!AS326,SSES!AS326)</f>
        <v>0</v>
      </c>
      <c r="AT326" s="508">
        <f>CHOOSE($B$3,ENWL!AT326,NPgN!AT326,NPgY!AT326,WMID!AT326,EMID!AT326,SWALES!AT326,SWEST!AT326,LPN!AT326,SPN!AT326,EPN!AT326,SPD!AT326,SPMW!AT326,SSEH!AT326,SSES!AT326)</f>
        <v>0</v>
      </c>
      <c r="AU326" s="508">
        <f>CHOOSE($B$3,ENWL!AU326,NPgN!AU326,NPgY!AU326,WMID!AU326,EMID!AU326,SWALES!AU326,SWEST!AU326,LPN!AU326,SPN!AU326,EPN!AU326,SPD!AU326,SPMW!AU326,SSEH!AU326,SSES!AU326)</f>
        <v>0</v>
      </c>
      <c r="AV326" s="508">
        <f>CHOOSE($B$3,ENWL!AV326,NPgN!AV326,NPgY!AV326,WMID!AV326,EMID!AV326,SWALES!AV326,SWEST!AV326,LPN!AV326,SPN!AV326,EPN!AV326,SPD!AV326,SPMW!AV326,SSEH!AV326,SSES!AV326)</f>
        <v>0</v>
      </c>
      <c r="AW326" s="184"/>
    </row>
    <row r="327" spans="1:49" ht="15">
      <c r="A327" s="82"/>
      <c r="B327" s="82"/>
      <c r="C327" s="82"/>
      <c r="D327" s="82"/>
      <c r="E327" s="82" t="s">
        <v>384</v>
      </c>
      <c r="F327" s="82"/>
      <c r="G327" s="82" t="s">
        <v>209</v>
      </c>
      <c r="H327" s="82" t="s">
        <v>381</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f>CHOOSE($B$3,ENWL!AR327,NPgN!AR327,NPgY!AR327,WMID!AR327,EMID!AR327,SWALES!AR327,SWEST!AR327,LPN!AR327,SPN!AR327,EPN!AR327,SPD!AR327,SPMW!AR327,SSEH!AR327,SSES!AR327)</f>
        <v>0.15924411504733338</v>
      </c>
      <c r="AS327" s="508">
        <f>CHOOSE($B$3,ENWL!AS327,NPgN!AS327,NPgY!AS327,WMID!AS327,EMID!AS327,SWALES!AS327,SWEST!AS327,LPN!AS327,SPN!AS327,EPN!AS327,SPD!AS327,SPMW!AS327,SSEH!AS327,SSES!AS327)</f>
        <v>0.15924411504733338</v>
      </c>
      <c r="AT327" s="508">
        <f>CHOOSE($B$3,ENWL!AT327,NPgN!AT327,NPgY!AT327,WMID!AT327,EMID!AT327,SWALES!AT327,SWEST!AT327,LPN!AT327,SPN!AT327,EPN!AT327,SPD!AT327,SPMW!AT327,SSEH!AT327,SSES!AT327)</f>
        <v>0.15924411504733338</v>
      </c>
      <c r="AU327" s="508">
        <f>CHOOSE($B$3,ENWL!AU327,NPgN!AU327,NPgY!AU327,WMID!AU327,EMID!AU327,SWALES!AU327,SWEST!AU327,LPN!AU327,SPN!AU327,EPN!AU327,SPD!AU327,SPMW!AU327,SSEH!AU327,SSES!AU327)</f>
        <v>0.15924411504733341</v>
      </c>
      <c r="AV327" s="508">
        <f>CHOOSE($B$3,ENWL!AV327,NPgN!AV327,NPgY!AV327,WMID!AV327,EMID!AV327,SWALES!AV327,SWEST!AV327,LPN!AV327,SPN!AV327,EPN!AV327,SPD!AV327,SPMW!AV327,SSEH!AV327,SSES!AV327)</f>
        <v>0.15924411504733338</v>
      </c>
      <c r="AW327" s="184"/>
    </row>
    <row r="328" spans="1:49" ht="15">
      <c r="A328" s="82"/>
      <c r="B328" s="82"/>
      <c r="C328" s="82"/>
      <c r="D328" s="82"/>
      <c r="E328" s="82" t="s">
        <v>385</v>
      </c>
      <c r="F328" s="82"/>
      <c r="G328" s="82" t="s">
        <v>209</v>
      </c>
      <c r="H328" s="82" t="s">
        <v>381</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f>CHOOSE($B$3,ENWL!AR328,NPgN!AR328,NPgY!AR328,WMID!AR328,EMID!AR328,SWALES!AR328,SWEST!AR328,LPN!AR328,SPN!AR328,EPN!AR328,SPD!AR328,SPMW!AR328,SSEH!AR328,SSES!AR328)</f>
        <v>0.95709776252402579</v>
      </c>
      <c r="AS328" s="508">
        <f>CHOOSE($B$3,ENWL!AS328,NPgN!AS328,NPgY!AS328,WMID!AS328,EMID!AS328,SWALES!AS328,SWEST!AS328,LPN!AS328,SPN!AS328,EPN!AS328,SPD!AS328,SPMW!AS328,SSEH!AS328,SSES!AS328)</f>
        <v>0.95709776252402579</v>
      </c>
      <c r="AT328" s="508">
        <f>CHOOSE($B$3,ENWL!AT328,NPgN!AT328,NPgY!AT328,WMID!AT328,EMID!AT328,SWALES!AT328,SWEST!AT328,LPN!AT328,SPN!AT328,EPN!AT328,SPD!AT328,SPMW!AT328,SSEH!AT328,SSES!AT328)</f>
        <v>0.95709776252402579</v>
      </c>
      <c r="AU328" s="508">
        <f>CHOOSE($B$3,ENWL!AU328,NPgN!AU328,NPgY!AU328,WMID!AU328,EMID!AU328,SWALES!AU328,SWEST!AU328,LPN!AU328,SPN!AU328,EPN!AU328,SPD!AU328,SPMW!AU328,SSEH!AU328,SSES!AU328)</f>
        <v>0.9570977625240259</v>
      </c>
      <c r="AV328" s="508">
        <f>CHOOSE($B$3,ENWL!AV328,NPgN!AV328,NPgY!AV328,WMID!AV328,EMID!AV328,SWALES!AV328,SWEST!AV328,LPN!AV328,SPN!AV328,EPN!AV328,SPD!AV328,SPMW!AV328,SSEH!AV328,SSES!AV328)</f>
        <v>0.9570977625240259</v>
      </c>
      <c r="AW328" s="184"/>
    </row>
    <row r="329" spans="1:49" ht="15">
      <c r="A329" s="82"/>
      <c r="B329" s="82"/>
      <c r="C329" s="82"/>
      <c r="D329" s="82"/>
      <c r="E329" s="82" t="s">
        <v>386</v>
      </c>
      <c r="F329" s="82"/>
      <c r="G329" s="82" t="s">
        <v>209</v>
      </c>
      <c r="H329" s="82" t="s">
        <v>381</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f>CHOOSE($B$3,ENWL!AR329,NPgN!AR329,NPgY!AR329,WMID!AR329,EMID!AR329,SWALES!AR329,SWEST!AR329,LPN!AR329,SPN!AR329,EPN!AR329,SPD!AR329,SPMW!AR329,SSEH!AR329,SSES!AR329)</f>
        <v>1</v>
      </c>
      <c r="AS329" s="508">
        <f>CHOOSE($B$3,ENWL!AS329,NPgN!AS329,NPgY!AS329,WMID!AS329,EMID!AS329,SWALES!AS329,SWEST!AS329,LPN!AS329,SPN!AS329,EPN!AS329,SPD!AS329,SPMW!AS329,SSEH!AS329,SSES!AS329)</f>
        <v>1</v>
      </c>
      <c r="AT329" s="508">
        <f>CHOOSE($B$3,ENWL!AT329,NPgN!AT329,NPgY!AT329,WMID!AT329,EMID!AT329,SWALES!AT329,SWEST!AT329,LPN!AT329,SPN!AT329,EPN!AT329,SPD!AT329,SPMW!AT329,SSEH!AT329,SSES!AT329)</f>
        <v>1</v>
      </c>
      <c r="AU329" s="508">
        <f>CHOOSE($B$3,ENWL!AU329,NPgN!AU329,NPgY!AU329,WMID!AU329,EMID!AU329,SWALES!AU329,SWEST!AU329,LPN!AU329,SPN!AU329,EPN!AU329,SPD!AU329,SPMW!AU329,SSEH!AU329,SSES!AU329)</f>
        <v>1</v>
      </c>
      <c r="AV329" s="508">
        <f>CHOOSE($B$3,ENWL!AV329,NPgN!AV329,NPgY!AV329,WMID!AV329,EMID!AV329,SWALES!AV329,SWEST!AV329,LPN!AV329,SPN!AV329,EPN!AV329,SPD!AV329,SPMW!AV329,SSEH!AV329,SSES!AV329)</f>
        <v>1</v>
      </c>
      <c r="AW329" s="184"/>
    </row>
    <row r="330" spans="1:49" ht="15">
      <c r="A330" s="82"/>
      <c r="B330" s="82"/>
      <c r="C330" s="82"/>
      <c r="D330" s="82"/>
      <c r="E330" s="82" t="s">
        <v>387</v>
      </c>
      <c r="F330" s="82"/>
      <c r="G330" s="82" t="s">
        <v>209</v>
      </c>
      <c r="H330" s="82" t="s">
        <v>381</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f>CHOOSE($B$3,ENWL!AR330,NPgN!AR330,NPgY!AR330,WMID!AR330,EMID!AR330,SWALES!AR330,SWEST!AR330,LPN!AR330,SPN!AR330,EPN!AR330,SPD!AR330,SPMW!AR330,SSEH!AR330,SSES!AR330)</f>
        <v>0.43447958626077993</v>
      </c>
      <c r="AS330" s="508">
        <f>CHOOSE($B$3,ENWL!AS330,NPgN!AS330,NPgY!AS330,WMID!AS330,EMID!AS330,SWALES!AS330,SWEST!AS330,LPN!AS330,SPN!AS330,EPN!AS330,SPD!AS330,SPMW!AS330,SSEH!AS330,SSES!AS330)</f>
        <v>0.45188979117983274</v>
      </c>
      <c r="AT330" s="508">
        <f>CHOOSE($B$3,ENWL!AT330,NPgN!AT330,NPgY!AT330,WMID!AT330,EMID!AT330,SWALES!AT330,SWEST!AT330,LPN!AT330,SPN!AT330,EPN!AT330,SPD!AT330,SPMW!AT330,SSEH!AT330,SSES!AT330)</f>
        <v>0.45952727704347068</v>
      </c>
      <c r="AU330" s="508">
        <f>CHOOSE($B$3,ENWL!AU330,NPgN!AU330,NPgY!AU330,WMID!AU330,EMID!AU330,SWALES!AU330,SWEST!AU330,LPN!AU330,SPN!AU330,EPN!AU330,SPD!AU330,SPMW!AU330,SSEH!AU330,SSES!AU330)</f>
        <v>0.46224540828438559</v>
      </c>
      <c r="AV330" s="508">
        <f>CHOOSE($B$3,ENWL!AV330,NPgN!AV330,NPgY!AV330,WMID!AV330,EMID!AV330,SWALES!AV330,SWEST!AV330,LPN!AV330,SPN!AV330,EPN!AV330,SPD!AV330,SPMW!AV330,SSEH!AV330,SSES!AV330)</f>
        <v>0.45932050834908228</v>
      </c>
      <c r="AW330" s="184"/>
    </row>
    <row r="331" spans="1:49" ht="15">
      <c r="A331" s="82"/>
      <c r="B331" s="82"/>
      <c r="C331" s="82"/>
      <c r="D331" s="82"/>
      <c r="E331" s="82" t="s">
        <v>388</v>
      </c>
      <c r="F331" s="82"/>
      <c r="G331" s="82" t="s">
        <v>209</v>
      </c>
      <c r="H331" s="82" t="s">
        <v>389</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f>CHOOSE($B$3,ENWL!AR331,NPgN!AR331,NPgY!AR331,WMID!AR331,EMID!AR331,SWALES!AR331,SWEST!AR331,LPN!AR331,SPN!AR331,EPN!AR331,SPD!AR331,SPMW!AR331,SSEH!AR331,SSES!AR331)</f>
        <v>6.0131912994180838E-2</v>
      </c>
      <c r="AS331" s="508">
        <f>CHOOSE($B$3,ENWL!AS331,NPgN!AS331,NPgY!AS331,WMID!AS331,EMID!AS331,SWALES!AS331,SWEST!AS331,LPN!AS331,SPN!AS331,EPN!AS331,SPD!AS331,SPMW!AS331,SSEH!AS331,SSES!AS331)</f>
        <v>3.5183714098141007E-2</v>
      </c>
      <c r="AT331" s="508">
        <f>CHOOSE($B$3,ENWL!AT331,NPgN!AT331,NPgY!AT331,WMID!AT331,EMID!AT331,SWALES!AT331,SWEST!AT331,LPN!AT331,SPN!AT331,EPN!AT331,SPD!AT331,SPMW!AT331,SSEH!AT331,SSES!AT331)</f>
        <v>3.3193408574863491E-2</v>
      </c>
      <c r="AU331" s="508">
        <f>CHOOSE($B$3,ENWL!AU331,NPgN!AU331,NPgY!AU331,WMID!AU331,EMID!AU331,SWALES!AU331,SWEST!AU331,LPN!AU331,SPN!AU331,EPN!AU331,SPD!AU331,SPMW!AU331,SSEH!AU331,SSES!AU331)</f>
        <v>3.0366880990304265E-2</v>
      </c>
      <c r="AV331" s="508">
        <f>CHOOSE($B$3,ENWL!AV331,NPgN!AV331,NPgY!AV331,WMID!AV331,EMID!AV331,SWALES!AV331,SWEST!AV331,LPN!AV331,SPN!AV331,EPN!AV331,SPD!AV331,SPMW!AV331,SSEH!AV331,SSES!AV331)</f>
        <v>4.1895780396228745E-2</v>
      </c>
      <c r="AW331" s="184"/>
    </row>
    <row r="332" spans="1:49" ht="15">
      <c r="A332" s="82"/>
      <c r="B332" s="82"/>
      <c r="C332" s="82"/>
      <c r="D332" s="82"/>
      <c r="E332" s="82" t="s">
        <v>390</v>
      </c>
      <c r="F332" s="82"/>
      <c r="G332" s="82" t="s">
        <v>209</v>
      </c>
      <c r="H332" s="82" t="s">
        <v>389</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f>CHOOSE($B$3,ENWL!AR332,NPgN!AR332,NPgY!AR332,WMID!AR332,EMID!AR332,SWALES!AR332,SWEST!AR332,LPN!AR332,SPN!AR332,EPN!AR332,SPD!AR332,SPMW!AR332,SSEH!AR332,SSES!AR332)</f>
        <v>6.0735163609729456E-2</v>
      </c>
      <c r="AS332" s="508">
        <f>CHOOSE($B$3,ENWL!AS332,NPgN!AS332,NPgY!AS332,WMID!AS332,EMID!AS332,SWALES!AS332,SWEST!AS332,LPN!AS332,SPN!AS332,EPN!AS332,SPD!AS332,SPMW!AS332,SSEH!AS332,SSES!AS332)</f>
        <v>3.198540904136242E-2</v>
      </c>
      <c r="AT332" s="508">
        <f>CHOOSE($B$3,ENWL!AT332,NPgN!AT332,NPgY!AT332,WMID!AT332,EMID!AT332,SWALES!AT332,SWEST!AT332,LPN!AT332,SPN!AT332,EPN!AT332,SPD!AT332,SPMW!AT332,SSEH!AT332,SSES!AT332)</f>
        <v>4.7837675422899767E-2</v>
      </c>
      <c r="AU332" s="508">
        <f>CHOOSE($B$3,ENWL!AU332,NPgN!AU332,NPgY!AU332,WMID!AU332,EMID!AU332,SWALES!AU332,SWEST!AU332,LPN!AU332,SPN!AU332,EPN!AU332,SPD!AU332,SPMW!AU332,SSEH!AU332,SSES!AU332)</f>
        <v>4.9916889087705744E-2</v>
      </c>
      <c r="AV332" s="508">
        <f>CHOOSE($B$3,ENWL!AV332,NPgN!AV332,NPgY!AV332,WMID!AV332,EMID!AV332,SWALES!AV332,SWEST!AV332,LPN!AV332,SPN!AV332,EPN!AV332,SPD!AV332,SPMW!AV332,SSEH!AV332,SSES!AV332)</f>
        <v>5.2347289741223497E-2</v>
      </c>
      <c r="AW332" s="184"/>
    </row>
    <row r="333" spans="1:49" ht="15">
      <c r="A333" s="82"/>
      <c r="B333" s="82"/>
      <c r="C333" s="82"/>
      <c r="D333" s="82"/>
      <c r="E333" s="82" t="s">
        <v>391</v>
      </c>
      <c r="F333" s="82"/>
      <c r="G333" s="82" t="s">
        <v>209</v>
      </c>
      <c r="H333" s="82" t="s">
        <v>389</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f>CHOOSE($B$3,ENWL!AR333,NPgN!AR333,NPgY!AR333,WMID!AR333,EMID!AR333,SWALES!AR333,SWEST!AR333,LPN!AR333,SPN!AR333,EPN!AR333,SPD!AR333,SPMW!AR333,SSEH!AR333,SSES!AR333)</f>
        <v>3.2073630830425887E-2</v>
      </c>
      <c r="AS333" s="508">
        <f>CHOOSE($B$3,ENWL!AS333,NPgN!AS333,NPgY!AS333,WMID!AS333,EMID!AS333,SWALES!AS333,SWEST!AS333,LPN!AS333,SPN!AS333,EPN!AS333,SPD!AS333,SPMW!AS333,SSEH!AS333,SSES!AS333)</f>
        <v>4.7203202372671643E-2</v>
      </c>
      <c r="AT333" s="508">
        <f>CHOOSE($B$3,ENWL!AT333,NPgN!AT333,NPgY!AT333,WMID!AT333,EMID!AT333,SWALES!AT333,SWEST!AT333,LPN!AT333,SPN!AT333,EPN!AT333,SPD!AT333,SPMW!AT333,SSEH!AT333,SSES!AT333)</f>
        <v>0.16745445086403113</v>
      </c>
      <c r="AU333" s="508">
        <f>CHOOSE($B$3,ENWL!AU333,NPgN!AU333,NPgY!AU333,WMID!AU333,EMID!AU333,SWALES!AU333,SWEST!AU333,LPN!AU333,SPN!AU333,EPN!AU333,SPD!AU333,SPMW!AU333,SSEH!AU333,SSES!AU333)</f>
        <v>0.18852086393230502</v>
      </c>
      <c r="AV333" s="508">
        <f>CHOOSE($B$3,ENWL!AV333,NPgN!AV333,NPgY!AV333,WMID!AV333,EMID!AV333,SWALES!AV333,SWEST!AV333,LPN!AV333,SPN!AV333,EPN!AV333,SPD!AV333,SPMW!AV333,SSEH!AV333,SSES!AV333)</f>
        <v>4.4018927888554528E-2</v>
      </c>
      <c r="AW333" s="184"/>
    </row>
    <row r="334" spans="1:49" ht="15">
      <c r="A334" s="82"/>
      <c r="B334" s="82"/>
      <c r="C334" s="82"/>
      <c r="D334" s="82"/>
      <c r="E334" s="82" t="s">
        <v>392</v>
      </c>
      <c r="F334" s="82"/>
      <c r="G334" s="82" t="s">
        <v>209</v>
      </c>
      <c r="H334" s="82" t="s">
        <v>389</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f>CHOOSE($B$3,ENWL!AR334,NPgN!AR334,NPgY!AR334,WMID!AR334,EMID!AR334,SWALES!AR334,SWEST!AR334,LPN!AR334,SPN!AR334,EPN!AR334,SPD!AR334,SPMW!AR334,SSEH!AR334,SSES!AR334)</f>
        <v>0</v>
      </c>
      <c r="AS334" s="508">
        <f>CHOOSE($B$3,ENWL!AS334,NPgN!AS334,NPgY!AS334,WMID!AS334,EMID!AS334,SWALES!AS334,SWEST!AS334,LPN!AS334,SPN!AS334,EPN!AS334,SPD!AS334,SPMW!AS334,SSEH!AS334,SSES!AS334)</f>
        <v>0</v>
      </c>
      <c r="AT334" s="508">
        <f>CHOOSE($B$3,ENWL!AT334,NPgN!AT334,NPgY!AT334,WMID!AT334,EMID!AT334,SWALES!AT334,SWEST!AT334,LPN!AT334,SPN!AT334,EPN!AT334,SPD!AT334,SPMW!AT334,SSEH!AT334,SSES!AT334)</f>
        <v>0</v>
      </c>
      <c r="AU334" s="508">
        <f>CHOOSE($B$3,ENWL!AU334,NPgN!AU334,NPgY!AU334,WMID!AU334,EMID!AU334,SWALES!AU334,SWEST!AU334,LPN!AU334,SPN!AU334,EPN!AU334,SPD!AU334,SPMW!AU334,SSEH!AU334,SSES!AU334)</f>
        <v>0</v>
      </c>
      <c r="AV334" s="508">
        <f>CHOOSE($B$3,ENWL!AV334,NPgN!AV334,NPgY!AV334,WMID!AV334,EMID!AV334,SWALES!AV334,SWEST!AV334,LPN!AV334,SPN!AV334,EPN!AV334,SPD!AV334,SPMW!AV334,SSEH!AV334,SSES!AV334)</f>
        <v>0</v>
      </c>
      <c r="AW334" s="184"/>
    </row>
    <row r="335" spans="1:49" ht="15">
      <c r="A335" s="82"/>
      <c r="B335" s="82"/>
      <c r="C335" s="82"/>
      <c r="D335" s="82"/>
      <c r="E335" s="82" t="s">
        <v>393</v>
      </c>
      <c r="F335" s="82"/>
      <c r="G335" s="82" t="s">
        <v>209</v>
      </c>
      <c r="H335" s="82" t="s">
        <v>389</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f>CHOOSE($B$3,ENWL!AR335,NPgN!AR335,NPgY!AR335,WMID!AR335,EMID!AR335,SWALES!AR335,SWEST!AR335,LPN!AR335,SPN!AR335,EPN!AR335,SPD!AR335,SPMW!AR335,SSEH!AR335,SSES!AR335)</f>
        <v>0</v>
      </c>
      <c r="AS335" s="508">
        <f>CHOOSE($B$3,ENWL!AS335,NPgN!AS335,NPgY!AS335,WMID!AS335,EMID!AS335,SWALES!AS335,SWEST!AS335,LPN!AS335,SPN!AS335,EPN!AS335,SPD!AS335,SPMW!AS335,SSEH!AS335,SSES!AS335)</f>
        <v>0</v>
      </c>
      <c r="AT335" s="508">
        <f>CHOOSE($B$3,ENWL!AT335,NPgN!AT335,NPgY!AT335,WMID!AT335,EMID!AT335,SWALES!AT335,SWEST!AT335,LPN!AT335,SPN!AT335,EPN!AT335,SPD!AT335,SPMW!AT335,SSEH!AT335,SSES!AT335)</f>
        <v>0</v>
      </c>
      <c r="AU335" s="508">
        <f>CHOOSE($B$3,ENWL!AU335,NPgN!AU335,NPgY!AU335,WMID!AU335,EMID!AU335,SWALES!AU335,SWEST!AU335,LPN!AU335,SPN!AU335,EPN!AU335,SPD!AU335,SPMW!AU335,SSEH!AU335,SSES!AU335)</f>
        <v>0</v>
      </c>
      <c r="AV335" s="508">
        <f>CHOOSE($B$3,ENWL!AV335,NPgN!AV335,NPgY!AV335,WMID!AV335,EMID!AV335,SWALES!AV335,SWEST!AV335,LPN!AV335,SPN!AV335,EPN!AV335,SPD!AV335,SPMW!AV335,SSEH!AV335,SSES!AV335)</f>
        <v>0</v>
      </c>
      <c r="AW335" s="184"/>
    </row>
    <row r="336" spans="1:49" ht="15">
      <c r="A336" s="82"/>
      <c r="B336" s="82"/>
      <c r="C336" s="82"/>
      <c r="D336" s="82"/>
      <c r="E336" s="82" t="s">
        <v>394</v>
      </c>
      <c r="F336" s="82"/>
      <c r="G336" s="82" t="s">
        <v>209</v>
      </c>
      <c r="H336" s="82" t="s">
        <v>389</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f>CHOOSE($B$3,ENWL!AR336,NPgN!AR336,NPgY!AR336,WMID!AR336,EMID!AR336,SWALES!AR336,SWEST!AR336,LPN!AR336,SPN!AR336,EPN!AR336,SPD!AR336,SPMW!AR336,SSEH!AR336,SSES!AR336)</f>
        <v>0</v>
      </c>
      <c r="AS336" s="508">
        <f>CHOOSE($B$3,ENWL!AS336,NPgN!AS336,NPgY!AS336,WMID!AS336,EMID!AS336,SWALES!AS336,SWEST!AS336,LPN!AS336,SPN!AS336,EPN!AS336,SPD!AS336,SPMW!AS336,SSEH!AS336,SSES!AS336)</f>
        <v>0</v>
      </c>
      <c r="AT336" s="508">
        <f>CHOOSE($B$3,ENWL!AT336,NPgN!AT336,NPgY!AT336,WMID!AT336,EMID!AT336,SWALES!AT336,SWEST!AT336,LPN!AT336,SPN!AT336,EPN!AT336,SPD!AT336,SPMW!AT336,SSEH!AT336,SSES!AT336)</f>
        <v>0</v>
      </c>
      <c r="AU336" s="508">
        <f>CHOOSE($B$3,ENWL!AU336,NPgN!AU336,NPgY!AU336,WMID!AU336,EMID!AU336,SWALES!AU336,SWEST!AU336,LPN!AU336,SPN!AU336,EPN!AU336,SPD!AU336,SPMW!AU336,SSEH!AU336,SSES!AU336)</f>
        <v>0</v>
      </c>
      <c r="AV336" s="508">
        <f>CHOOSE($B$3,ENWL!AV336,NPgN!AV336,NPgY!AV336,WMID!AV336,EMID!AV336,SWALES!AV336,SWEST!AV336,LPN!AV336,SPN!AV336,EPN!AV336,SPD!AV336,SPMW!AV336,SSEH!AV336,SSES!AV336)</f>
        <v>0</v>
      </c>
      <c r="AW336" s="184"/>
    </row>
    <row r="337" spans="1:49" ht="15">
      <c r="A337" s="82"/>
      <c r="B337" s="82"/>
      <c r="C337" s="82"/>
      <c r="D337" s="82"/>
      <c r="E337" s="82" t="s">
        <v>395</v>
      </c>
      <c r="F337" s="82"/>
      <c r="G337" s="82" t="s">
        <v>209</v>
      </c>
      <c r="H337" s="82" t="s">
        <v>389</v>
      </c>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508">
        <f>CHOOSE($B$3,ENWL!AR337,NPgN!AR337,NPgY!AR337,WMID!AR337,EMID!AR337,SWALES!AR337,SWEST!AR337,LPN!AR337,SPN!AR337,EPN!AR337,SPD!AR337,SPMW!AR337,SSEH!AR337,SSES!AR337)</f>
        <v>1.6580623826838566E-2</v>
      </c>
      <c r="AS337" s="508">
        <f>CHOOSE($B$3,ENWL!AS337,NPgN!AS337,NPgY!AS337,WMID!AS337,EMID!AS337,SWALES!AS337,SWEST!AS337,LPN!AS337,SPN!AS337,EPN!AS337,SPD!AS337,SPMW!AS337,SSEH!AS337,SSES!AS337)</f>
        <v>1.2254617229006975E-2</v>
      </c>
      <c r="AT337" s="508">
        <f>CHOOSE($B$3,ENWL!AT337,NPgN!AT337,NPgY!AT337,WMID!AT337,EMID!AT337,SWALES!AT337,SWEST!AT337,LPN!AT337,SPN!AT337,EPN!AT337,SPD!AT337,SPMW!AT337,SSEH!AT337,SSES!AT337)</f>
        <v>2.9985539551226729E-2</v>
      </c>
      <c r="AU337" s="508">
        <f>CHOOSE($B$3,ENWL!AU337,NPgN!AU337,NPgY!AU337,WMID!AU337,EMID!AU337,SWALES!AU337,SWEST!AU337,LPN!AU337,SPN!AU337,EPN!AU337,SPD!AU337,SPMW!AU337,SSEH!AU337,SSES!AU337)</f>
        <v>3.0925098810720957E-2</v>
      </c>
      <c r="AV337" s="508">
        <f>CHOOSE($B$3,ENWL!AV337,NPgN!AV337,NPgY!AV337,WMID!AV337,EMID!AV337,SWALES!AV337,SWEST!AV337,LPN!AV337,SPN!AV337,EPN!AV337,SPD!AV337,SPMW!AV337,SSEH!AV337,SSES!AV337)</f>
        <v>1.6353392451442461E-2</v>
      </c>
      <c r="AW337" s="184"/>
    </row>
    <row r="338" spans="1:49" ht="15">
      <c r="A338" s="82"/>
      <c r="B338" s="82"/>
      <c r="C338" s="82"/>
      <c r="D338" s="82"/>
      <c r="E338" s="82"/>
      <c r="F338" s="82"/>
      <c r="G338" s="82"/>
      <c r="H338" s="82"/>
      <c r="I338" s="82"/>
      <c r="J338" s="82"/>
      <c r="K338" s="82"/>
      <c r="L338" s="82"/>
      <c r="M338" s="82"/>
      <c r="N338" s="82"/>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243"/>
      <c r="AR338" s="145"/>
      <c r="AS338" s="184"/>
      <c r="AT338" s="184"/>
      <c r="AU338" s="184"/>
      <c r="AV338" s="184"/>
      <c r="AW338" s="184"/>
    </row>
    <row r="339" spans="1:49" ht="15">
      <c r="A339" s="82"/>
      <c r="B339" s="408" t="s">
        <v>396</v>
      </c>
      <c r="C339" s="408"/>
      <c r="D339" s="408"/>
      <c r="E339" s="408"/>
      <c r="F339" s="408"/>
      <c r="G339" s="408"/>
      <c r="H339" s="408"/>
      <c r="I339" s="408"/>
      <c r="J339" s="408"/>
      <c r="K339" s="408"/>
      <c r="L339" s="408"/>
      <c r="M339" s="408"/>
      <c r="N339" s="408"/>
      <c r="O339" s="405"/>
      <c r="P339" s="405"/>
      <c r="Q339" s="405"/>
      <c r="R339" s="405"/>
      <c r="S339" s="405"/>
      <c r="T339" s="405"/>
      <c r="U339" s="405"/>
      <c r="V339" s="405"/>
      <c r="W339" s="405"/>
      <c r="X339" s="405"/>
      <c r="Y339" s="405"/>
      <c r="Z339" s="405"/>
      <c r="AA339" s="405"/>
      <c r="AB339" s="405"/>
      <c r="AC339" s="405"/>
      <c r="AD339" s="405"/>
      <c r="AE339" s="405"/>
      <c r="AF339" s="405"/>
      <c r="AG339" s="405"/>
      <c r="AH339" s="405"/>
      <c r="AI339" s="405"/>
      <c r="AJ339" s="405"/>
      <c r="AK339" s="405"/>
      <c r="AL339" s="405"/>
      <c r="AM339" s="405"/>
      <c r="AN339" s="405"/>
      <c r="AO339" s="405"/>
      <c r="AP339" s="405"/>
      <c r="AQ339" s="407"/>
      <c r="AR339" s="406"/>
      <c r="AS339" s="405"/>
      <c r="AT339" s="405"/>
      <c r="AU339" s="405"/>
      <c r="AV339" s="405"/>
      <c r="AW339" s="184"/>
    </row>
    <row r="340" spans="1:49" ht="15">
      <c r="A340" s="82"/>
      <c r="B340" s="82"/>
      <c r="C340" s="82"/>
      <c r="D340" s="82"/>
      <c r="E340" s="82"/>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10" t="s">
        <v>397</v>
      </c>
      <c r="E341" s="351"/>
      <c r="F341" s="82"/>
      <c r="G341" s="82"/>
      <c r="H341" s="82"/>
      <c r="I341" s="82"/>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364"/>
      <c r="AS341" s="184"/>
      <c r="AT341" s="184"/>
      <c r="AU341" s="184"/>
      <c r="AV341" s="184"/>
      <c r="AW341" s="184"/>
    </row>
    <row r="342" spans="1:49" ht="15">
      <c r="A342" s="82"/>
      <c r="B342" s="82"/>
      <c r="C342" s="82"/>
      <c r="D342" s="82"/>
      <c r="E342" s="346" t="s">
        <v>398</v>
      </c>
      <c r="F342" s="82"/>
      <c r="G342" s="82" t="s">
        <v>399</v>
      </c>
      <c r="H342" s="82" t="s">
        <v>400</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243"/>
      <c r="AR342" s="476">
        <f>CHOOSE($B$3,ENWL!AR342,NPgN!AR342,NPgY!AR342,WMID!AR342,EMID!AR342,SWALES!AR342,SWEST!AR342,LPN!AR342,SPN!AR342,EPN!AR342,SPD!AR342,SPMW!AR342,SSEH!AR342,SSES!AR342)</f>
        <v>5.9067877879569908</v>
      </c>
      <c r="AS342" s="184"/>
      <c r="AT342" s="184"/>
      <c r="AU342" s="184"/>
      <c r="AV342" s="184"/>
      <c r="AW342" s="184"/>
    </row>
    <row r="343" spans="1:49" ht="15">
      <c r="A343" s="82"/>
      <c r="B343" s="82"/>
      <c r="C343" s="82"/>
      <c r="D343" s="82"/>
      <c r="E343" s="346" t="s">
        <v>401</v>
      </c>
      <c r="F343" s="82"/>
      <c r="G343" s="82" t="s">
        <v>399</v>
      </c>
      <c r="H343" s="82" t="s">
        <v>402</v>
      </c>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476">
        <f>CHOOSE($B$3,ENWL!AJ343,NPgN!AJ343,NPgY!AJ343,WMID!AJ343,EMID!AJ343,SWALES!AJ343,SWEST!AJ343,LPN!AJ343,SPN!AJ343,EPN!AJ343,SPD!AJ343,SPMW!AJ343,SSEH!AJ343,SSES!AJ343)</f>
        <v>126.58775840512381</v>
      </c>
      <c r="AK343" s="476">
        <f>CHOOSE($B$3,ENWL!AK343,NPgN!AK343,NPgY!AK343,WMID!AK343,EMID!AK343,SWALES!AK343,SWEST!AK343,LPN!AK343,SPN!AK343,EPN!AK343,SPD!AK343,SPMW!AK343,SSEH!AK343,SSES!AK343)</f>
        <v>124.17844099711739</v>
      </c>
      <c r="AL343" s="476">
        <f>CHOOSE($B$3,ENWL!AL343,NPgN!AL343,NPgY!AL343,WMID!AL343,EMID!AL343,SWALES!AL343,SWEST!AL343,LPN!AL343,SPN!AL343,EPN!AL343,SPD!AL343,SPMW!AL343,SSEH!AL343,SSES!AL343)</f>
        <v>114.28422728217147</v>
      </c>
      <c r="AM343" s="476">
        <f>CHOOSE($B$3,ENWL!AM343,NPgN!AM343,NPgY!AM343,WMID!AM343,EMID!AM343,SWALES!AM343,SWEST!AM343,LPN!AM343,SPN!AM343,EPN!AM343,SPD!AM343,SPMW!AM343,SSEH!AM343,SSES!AM343)</f>
        <v>114.63324579607378</v>
      </c>
      <c r="AN343" s="476">
        <f>CHOOSE($B$3,ENWL!AN343,NPgN!AN343,NPgY!AN343,WMID!AN343,EMID!AN343,SWALES!AN343,SWEST!AN343,LPN!AN343,SPN!AN343,EPN!AN343,SPD!AN343,SPMW!AN343,SSEH!AN343,SSES!AN343)</f>
        <v>120.43227595041046</v>
      </c>
      <c r="AO343" s="476">
        <f>CHOOSE($B$3,ENWL!AO343,NPgN!AO343,NPgY!AO343,WMID!AO343,EMID!AO343,SWALES!AO343,SWEST!AO343,LPN!AO343,SPN!AO343,EPN!AO343,SPD!AO343,SPMW!AO343,SSEH!AO343,SSES!AO343)</f>
        <v>114.56142393659987</v>
      </c>
      <c r="AP343" s="476">
        <f>CHOOSE($B$3,ENWL!AP343,NPgN!AP343,NPgY!AP343,WMID!AP343,EMID!AP343,SWALES!AP343,SWEST!AP343,LPN!AP343,SPN!AP343,EPN!AP343,SPD!AP343,SPMW!AP343,SSEH!AP343,SSES!AP343)</f>
        <v>105.97958728853853</v>
      </c>
      <c r="AQ343" s="477">
        <f>CHOOSE($B$3,ENWL!AQ343,NPgN!AQ343,NPgY!AQ343,WMID!AQ343,EMID!AQ343,SWALES!AQ343,SWEST!AQ343,LPN!AQ343,SPN!AQ343,EPN!AQ343,SPD!AQ343,SPMW!AQ343,SSEH!AQ343,SSES!AQ343)</f>
        <v>95.840515696749875</v>
      </c>
      <c r="AR343" s="184"/>
      <c r="AS343" s="184"/>
      <c r="AT343" s="184"/>
      <c r="AU343" s="184"/>
      <c r="AV343" s="184"/>
      <c r="AW343" s="184"/>
    </row>
    <row r="344" spans="1:49" ht="15">
      <c r="A344" s="82"/>
      <c r="B344" s="82"/>
      <c r="C344" s="82"/>
      <c r="D344" s="82"/>
      <c r="E344" s="293" t="s">
        <v>403</v>
      </c>
      <c r="F344" s="82"/>
      <c r="G344" s="82"/>
      <c r="H344" s="82"/>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364"/>
      <c r="AS344" s="184"/>
      <c r="AT344" s="184"/>
      <c r="AU344" s="184"/>
      <c r="AV344" s="184"/>
      <c r="AW344" s="184"/>
    </row>
    <row r="345" spans="1:49" ht="15">
      <c r="A345" s="82"/>
      <c r="B345" s="82"/>
      <c r="C345" s="82"/>
      <c r="D345" s="82"/>
      <c r="E345" s="346" t="s">
        <v>404</v>
      </c>
      <c r="F345" s="82"/>
      <c r="G345" s="82" t="s">
        <v>304</v>
      </c>
      <c r="H345" s="82" t="s">
        <v>405</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f>CHOOSE($B$3,ENWL!AR345,NPgN!AR345,NPgY!AR345,WMID!AR345,EMID!AR345,SWALES!AR345,SWEST!AR345,LPN!AR345,SPN!AR345,EPN!AR345,SPD!AR345,SPMW!AR345,SSEH!AR345,SSES!AR345)</f>
        <v>52.108534054652672</v>
      </c>
      <c r="AS345" s="184"/>
      <c r="AT345" s="184"/>
      <c r="AU345" s="184"/>
      <c r="AV345" s="184"/>
      <c r="AW345" s="184"/>
    </row>
    <row r="346" spans="1:49" ht="15">
      <c r="A346" s="82"/>
      <c r="B346" s="82"/>
      <c r="C346" s="82"/>
      <c r="D346" s="82"/>
      <c r="E346" s="346" t="s">
        <v>406</v>
      </c>
      <c r="F346" s="82"/>
      <c r="G346" s="82" t="s">
        <v>304</v>
      </c>
      <c r="H346" s="82" t="s">
        <v>407</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f>CHOOSE($B$3,ENWL!AR346,NPgN!AR346,NPgY!AR346,WMID!AR346,EMID!AR346,SWALES!AR346,SWEST!AR346,LPN!AR346,SPN!AR346,EPN!AR346,SPD!AR346,SPMW!AR346,SSEH!AR346,SSES!AR346)</f>
        <v>257.11796666810397</v>
      </c>
      <c r="AS346" s="184"/>
      <c r="AT346" s="184"/>
      <c r="AU346" s="184"/>
      <c r="AV346" s="184"/>
      <c r="AW346" s="184"/>
    </row>
    <row r="347" spans="1:49" ht="15">
      <c r="A347" s="82"/>
      <c r="B347" s="82"/>
      <c r="C347" s="82"/>
      <c r="D347" s="82"/>
      <c r="E347" s="346" t="s">
        <v>408</v>
      </c>
      <c r="F347" s="82"/>
      <c r="G347" s="82" t="s">
        <v>304</v>
      </c>
      <c r="H347" s="82" t="s">
        <v>409</v>
      </c>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243"/>
      <c r="AR347" s="476">
        <f>CHOOSE($B$3,ENWL!AR347,NPgN!AR347,NPgY!AR347,WMID!AR347,EMID!AR347,SWALES!AR347,SWEST!AR347,LPN!AR347,SPN!AR347,EPN!AR347,SPD!AR347,SPMW!AR347,SSEH!AR347,SSES!AR347)</f>
        <v>1369.3486602701878</v>
      </c>
      <c r="AS347" s="184"/>
      <c r="AT347" s="184"/>
      <c r="AU347" s="184"/>
      <c r="AV347" s="184"/>
      <c r="AW347" s="184"/>
    </row>
    <row r="348" spans="1:49" ht="15">
      <c r="A348" s="82"/>
      <c r="B348" s="82"/>
      <c r="C348" s="82"/>
      <c r="D348" s="82"/>
      <c r="E348" s="346" t="s">
        <v>410</v>
      </c>
      <c r="F348" s="82"/>
      <c r="G348" s="82" t="s">
        <v>304</v>
      </c>
      <c r="H348" s="82" t="s">
        <v>411</v>
      </c>
      <c r="I348" s="82"/>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477">
        <f>CHOOSE($B$3,ENWL!AQ348,NPgN!AQ348,NPgY!AQ348,WMID!AQ348,EMID!AQ348,SWALES!AQ348,SWEST!AQ348,LPN!AQ348,SPN!AQ348,EPN!AQ348,SPD!AQ348,SPMW!AQ348,SSEH!AQ348,SSES!AQ348)</f>
        <v>1697.8640410247963</v>
      </c>
      <c r="AR348" s="455"/>
      <c r="AS348" s="184"/>
      <c r="AT348" s="184"/>
      <c r="AU348" s="184"/>
      <c r="AV348" s="184"/>
      <c r="AW348" s="184"/>
    </row>
    <row r="349" spans="1:49" ht="15">
      <c r="A349" s="82"/>
      <c r="B349" s="82"/>
      <c r="C349" s="82"/>
      <c r="D349" s="82"/>
      <c r="E349" s="346" t="s">
        <v>412</v>
      </c>
      <c r="F349" s="82"/>
      <c r="G349" s="82" t="s">
        <v>304</v>
      </c>
      <c r="H349" s="82" t="s">
        <v>413</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f>CHOOSE($B$3,ENWL!AR349,NPgN!AR349,NPgY!AR349,WMID!AR349,EMID!AR349,SWALES!AR349,SWEST!AR349,LPN!AR349,SPN!AR349,EPN!AR349,SPD!AR349,SPMW!AR349,SSEH!AR349,SSES!AR349)</f>
        <v>0</v>
      </c>
      <c r="AS349" s="184"/>
      <c r="AT349" s="184"/>
      <c r="AU349" s="184"/>
      <c r="AV349" s="184"/>
      <c r="AW349" s="184"/>
    </row>
    <row r="350" spans="1:49" ht="15">
      <c r="A350" s="82"/>
      <c r="B350" s="82"/>
      <c r="C350" s="82"/>
      <c r="D350" s="82"/>
      <c r="E350" s="293" t="s">
        <v>414</v>
      </c>
      <c r="F350" s="82"/>
      <c r="G350" s="82" t="s">
        <v>304</v>
      </c>
      <c r="H350" s="82" t="s">
        <v>415</v>
      </c>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476">
        <f>CHOOSE($B$3,ENWL!AR350,NPgN!AR350,NPgY!AR350,WMID!AR350,EMID!AR350,SWALES!AR350,SWEST!AR350,LPN!AR350,SPN!AR350,EPN!AR350,SPD!AR350,SPMW!AR350,SSEH!AR350,SSES!AR350)</f>
        <v>0</v>
      </c>
      <c r="AS350" s="184"/>
      <c r="AT350" s="184"/>
      <c r="AU350" s="184"/>
      <c r="AV350" s="184"/>
      <c r="AW350" s="184"/>
    </row>
    <row r="351" spans="1:49" ht="15">
      <c r="A351" s="82"/>
      <c r="B351" s="82"/>
      <c r="C351" s="82"/>
      <c r="D351" s="82"/>
      <c r="E351" s="293" t="s">
        <v>416</v>
      </c>
      <c r="F351" s="82"/>
      <c r="G351" s="82"/>
      <c r="H351" s="82"/>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243"/>
      <c r="AR351" s="364"/>
      <c r="AS351" s="184"/>
      <c r="AT351" s="184"/>
      <c r="AU351" s="184"/>
      <c r="AV351" s="184"/>
      <c r="AW351" s="184"/>
    </row>
    <row r="352" spans="1:49" ht="15">
      <c r="A352" s="82"/>
      <c r="B352" s="82"/>
      <c r="C352" s="82"/>
      <c r="D352" s="82"/>
      <c r="E352" s="363" t="s">
        <v>417</v>
      </c>
      <c r="F352" s="82"/>
      <c r="G352" s="82" t="s">
        <v>399</v>
      </c>
      <c r="H352" s="82" t="s">
        <v>418</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476">
        <f>CHOOSE($B$3,ENWL!AP352,NPgN!AP352,NPgY!AP352,WMID!AP352,EMID!AP352,SWALES!AP352,SWEST!AP352,LPN!AP352,SPN!AP352,EPN!AP352,SPD!AP352,SPMW!AP352,SSEH!AP352,SSES!AP352)</f>
        <v>251.83793916644086</v>
      </c>
      <c r="AQ352" s="477">
        <f>CHOOSE($B$3,ENWL!AQ352,NPgN!AQ352,NPgY!AQ352,WMID!AQ352,EMID!AQ352,SWALES!AQ352,SWEST!AQ352,LPN!AQ352,SPN!AQ352,EPN!AQ352,SPD!AQ352,SPMW!AQ352,SSEH!AQ352,SSES!AQ352)</f>
        <v>244.31089676042151</v>
      </c>
      <c r="AR352" s="364"/>
      <c r="AS352" s="184"/>
      <c r="AT352" s="184"/>
      <c r="AU352" s="184"/>
      <c r="AV352" s="184"/>
      <c r="AW352" s="184"/>
    </row>
    <row r="353" spans="1:49" ht="15">
      <c r="A353" s="82"/>
      <c r="B353" s="82"/>
      <c r="C353" s="82"/>
      <c r="D353" s="82"/>
      <c r="E353" s="363" t="s">
        <v>419</v>
      </c>
      <c r="F353" s="82"/>
      <c r="G353" s="82" t="s">
        <v>420</v>
      </c>
      <c r="H353" s="82" t="s">
        <v>421</v>
      </c>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476">
        <f>CHOOSE($B$3,ENWL!AJ353,NPgN!AJ353,NPgY!AJ353,WMID!AJ353,EMID!AJ353,SWALES!AJ353,SWEST!AJ353,LPN!AJ353,SPN!AJ353,EPN!AJ353,SPD!AJ353,SPMW!AJ353,SSEH!AJ353,SSES!AJ353)</f>
        <v>0</v>
      </c>
      <c r="AK353" s="476">
        <f>CHOOSE($B$3,ENWL!AK353,NPgN!AK353,NPgY!AK353,WMID!AK353,EMID!AK353,SWALES!AK353,SWEST!AK353,LPN!AK353,SPN!AK353,EPN!AK353,SPD!AK353,SPMW!AK353,SSEH!AK353,SSES!AK353)</f>
        <v>0</v>
      </c>
      <c r="AL353" s="476">
        <f>CHOOSE($B$3,ENWL!AL353,NPgN!AL353,NPgY!AL353,WMID!AL353,EMID!AL353,SWALES!AL353,SWEST!AL353,LPN!AL353,SPN!AL353,EPN!AL353,SPD!AL353,SPMW!AL353,SSEH!AL353,SSES!AL353)</f>
        <v>0</v>
      </c>
      <c r="AM353" s="476">
        <f>CHOOSE($B$3,ENWL!AM353,NPgN!AM353,NPgY!AM353,WMID!AM353,EMID!AM353,SWALES!AM353,SWEST!AM353,LPN!AM353,SPN!AM353,EPN!AM353,SPD!AM353,SPMW!AM353,SSEH!AM353,SSES!AM353)</f>
        <v>0</v>
      </c>
      <c r="AN353" s="476">
        <f>CHOOSE($B$3,ENWL!AN353,NPgN!AN353,NPgY!AN353,WMID!AN353,EMID!AN353,SWALES!AN353,SWEST!AN353,LPN!AN353,SPN!AN353,EPN!AN353,SPD!AN353,SPMW!AN353,SSEH!AN353,SSES!AN353)</f>
        <v>0</v>
      </c>
      <c r="AO353" s="476">
        <f>CHOOSE($B$3,ENWL!AO353,NPgN!AO353,NPgY!AO353,WMID!AO353,EMID!AO353,SWALES!AO353,SWEST!AO353,LPN!AO353,SPN!AO353,EPN!AO353,SPD!AO353,SPMW!AO353,SSEH!AO353,SSES!AO353)</f>
        <v>0</v>
      </c>
      <c r="AP353" s="476">
        <f>CHOOSE($B$3,ENWL!AP353,NPgN!AP353,NPgY!AP353,WMID!AP353,EMID!AP353,SWALES!AP353,SWEST!AP353,LPN!AP353,SPN!AP353,EPN!AP353,SPD!AP353,SPMW!AP353,SSEH!AP353,SSES!AP353)</f>
        <v>1.238</v>
      </c>
      <c r="AQ353" s="477">
        <f>CHOOSE($B$3,ENWL!AQ353,NPgN!AQ353,NPgY!AQ353,WMID!AQ353,EMID!AQ353,SWALES!AQ353,SWEST!AQ353,LPN!AQ353,SPN!AQ353,EPN!AQ353,SPD!AQ353,SPMW!AQ353,SSEH!AQ353,SSES!AQ353)</f>
        <v>1.321</v>
      </c>
      <c r="AR353" s="364"/>
      <c r="AS353" s="184"/>
      <c r="AT353" s="184"/>
      <c r="AU353" s="184"/>
      <c r="AV353" s="184"/>
      <c r="AW353" s="184"/>
    </row>
    <row r="354" spans="1:49" ht="15">
      <c r="A354" s="82"/>
      <c r="B354" s="82"/>
      <c r="C354" s="82"/>
      <c r="D354" s="82"/>
      <c r="E354" s="346" t="s">
        <v>422</v>
      </c>
      <c r="F354" s="82"/>
      <c r="G354" s="82" t="s">
        <v>304</v>
      </c>
      <c r="H354" s="82"/>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243"/>
      <c r="AR354" s="184"/>
      <c r="AS354" s="184"/>
      <c r="AT354" s="184"/>
      <c r="AU354" s="184"/>
      <c r="AV354" s="184"/>
      <c r="AW354" s="184"/>
    </row>
    <row r="355" spans="1:49" ht="15">
      <c r="A355" s="82"/>
      <c r="B355" s="82"/>
      <c r="C355" s="82"/>
      <c r="D355" s="82"/>
      <c r="E355" s="363" t="s">
        <v>423</v>
      </c>
      <c r="F355" s="82"/>
      <c r="G355" s="82" t="s">
        <v>304</v>
      </c>
      <c r="H355" s="82" t="s">
        <v>424</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CHOOSE($B$3,ENWL!AJ355,NPgN!AJ355,NPgY!AJ355,WMID!AJ355,EMID!AJ355,SWALES!AJ355,SWEST!AJ355,LPN!AJ355,SPN!AJ355,EPN!AJ355,SPD!AJ355,SPMW!AJ355,SSEH!AJ355,SSES!AJ355)</f>
        <v>279.46422679</v>
      </c>
      <c r="AK355" s="476">
        <f>CHOOSE($B$3,ENWL!AK355,NPgN!AK355,NPgY!AK355,WMID!AK355,EMID!AK355,SWALES!AK355,SWEST!AK355,LPN!AK355,SPN!AK355,EPN!AK355,SPD!AK355,SPMW!AK355,SSEH!AK355,SSES!AK355)</f>
        <v>290.64971804000004</v>
      </c>
      <c r="AL355" s="476">
        <f>CHOOSE($B$3,ENWL!AL355,NPgN!AL355,NPgY!AL355,WMID!AL355,EMID!AL355,SWALES!AL355,SWEST!AL355,LPN!AL355,SPN!AL355,EPN!AL355,SPD!AL355,SPMW!AL355,SSEH!AL355,SSES!AL355)</f>
        <v>279.87524431000003</v>
      </c>
      <c r="AM355" s="476">
        <f>CHOOSE($B$3,ENWL!AM355,NPgN!AM355,NPgY!AM355,WMID!AM355,EMID!AM355,SWALES!AM355,SWEST!AM355,LPN!AM355,SPN!AM355,EPN!AM355,SPD!AM355,SPMW!AM355,SSEH!AM355,SSES!AM355)</f>
        <v>280.96392697399995</v>
      </c>
      <c r="AN355" s="476">
        <f>CHOOSE($B$3,ENWL!AN355,NPgN!AN355,NPgY!AN355,WMID!AN355,EMID!AN355,SWALES!AN355,SWEST!AN355,LPN!AN355,SPN!AN355,EPN!AN355,SPD!AN355,SPMW!AN355,SSEH!AN355,SSES!AN355)</f>
        <v>295.61218076</v>
      </c>
      <c r="AO355" s="476">
        <f>CHOOSE($B$3,ENWL!AO355,NPgN!AO355,NPgY!AO355,WMID!AO355,EMID!AO355,SWALES!AO355,SWEST!AO355,LPN!AO355,SPN!AO355,EPN!AO355,SPD!AO355,SPMW!AO355,SSEH!AO355,SSES!AO355)</f>
        <v>302.06496326000001</v>
      </c>
      <c r="AP355" s="476">
        <f>CHOOSE($B$3,ENWL!AP355,NPgN!AP355,NPgY!AP355,WMID!AP355,EMID!AP355,SWALES!AP355,SWEST!AP355,LPN!AP355,SPN!AP355,EPN!AP355,SPD!AP355,SPMW!AP355,SSEH!AP355,SSES!AP355)</f>
        <v>328.22779650999991</v>
      </c>
      <c r="AQ355" s="477">
        <f>CHOOSE($B$3,ENWL!AQ355,NPgN!AQ355,NPgY!AQ355,WMID!AQ355,EMID!AQ355,SWALES!AQ355,SWEST!AQ355,LPN!AQ355,SPN!AQ355,EPN!AQ355,SPD!AQ355,SPMW!AQ355,SSEH!AQ355,SSES!AQ355)</f>
        <v>387.98965212000002</v>
      </c>
      <c r="AR355" s="184"/>
      <c r="AS355" s="184"/>
      <c r="AT355" s="184"/>
      <c r="AU355" s="184"/>
      <c r="AV355" s="184"/>
      <c r="AW355" s="184"/>
    </row>
    <row r="356" spans="1:49" ht="15">
      <c r="A356" s="82"/>
      <c r="B356" s="82"/>
      <c r="C356" s="82"/>
      <c r="D356" s="82"/>
      <c r="E356" s="363" t="s">
        <v>425</v>
      </c>
      <c r="F356" s="82"/>
      <c r="G356" s="82" t="s">
        <v>304</v>
      </c>
      <c r="H356" s="82" t="s">
        <v>69</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CHOOSE($B$3,ENWL!AJ356,NPgN!AJ356,NPgY!AJ356,WMID!AJ356,EMID!AJ356,SWALES!AJ356,SWEST!AJ356,LPN!AJ356,SPN!AJ356,EPN!AJ356,SPD!AJ356,SPMW!AJ356,SSEH!AJ356,SSES!AJ356)</f>
        <v>280.86902679440749</v>
      </c>
      <c r="AK356" s="476">
        <f>CHOOSE($B$3,ENWL!AK356,NPgN!AK356,NPgY!AK356,WMID!AK356,EMID!AK356,SWALES!AK356,SWEST!AK356,LPN!AK356,SPN!AK356,EPN!AK356,SPD!AK356,SPMW!AK356,SSEH!AK356,SSES!AK356)</f>
        <v>288.84380742766234</v>
      </c>
      <c r="AL356" s="476">
        <f>CHOOSE($B$3,ENWL!AL356,NPgN!AL356,NPgY!AL356,WMID!AL356,EMID!AL356,SWALES!AL356,SWEST!AL356,LPN!AL356,SPN!AL356,EPN!AL356,SPD!AL356,SPMW!AL356,SSEH!AL356,SSES!AL356)</f>
        <v>282.26484040299204</v>
      </c>
      <c r="AM356" s="476">
        <f>CHOOSE($B$3,ENWL!AM356,NPgN!AM356,NPgY!AM356,WMID!AM356,EMID!AM356,SWALES!AM356,SWEST!AM356,LPN!AM356,SPN!AM356,EPN!AM356,SPD!AM356,SPMW!AM356,SSEH!AM356,SSES!AM356)</f>
        <v>295.47971438118259</v>
      </c>
      <c r="AN356" s="476">
        <f>CHOOSE($B$3,ENWL!AN356,NPgN!AN356,NPgY!AN356,WMID!AN356,EMID!AN356,SWALES!AN356,SWEST!AN356,LPN!AN356,SPN!AN356,EPN!AN356,SPD!AN356,SPMW!AN356,SSEH!AN356,SSES!AN356)</f>
        <v>306.49167069017739</v>
      </c>
      <c r="AO356" s="476">
        <f>CHOOSE($B$3,ENWL!AO356,NPgN!AO356,NPgY!AO356,WMID!AO356,EMID!AO356,SWALES!AO356,SWEST!AO356,LPN!AO356,SPN!AO356,EPN!AO356,SPD!AO356,SPMW!AO356,SSEH!AO356,SSES!AO356)</f>
        <v>321.94451616631017</v>
      </c>
      <c r="AP356" s="476">
        <f>CHOOSE($B$3,ENWL!AP356,NPgN!AP356,NPgY!AP356,WMID!AP356,EMID!AP356,SWALES!AP356,SWEST!AP356,LPN!AP356,SPN!AP356,EPN!AP356,SPD!AP356,SPMW!AP356,SSEH!AP356,SSES!AP356)</f>
        <v>326.86098308043393</v>
      </c>
      <c r="AQ356" s="477">
        <f>CHOOSE($B$3,ENWL!AQ356,NPgN!AQ356,NPgY!AQ356,WMID!AQ356,EMID!AQ356,SWALES!AQ356,SWEST!AQ356,LPN!AQ356,SPN!AQ356,EPN!AQ356,SPD!AQ356,SPMW!AQ356,SSEH!AQ356,SSES!AQ356)</f>
        <v>400.6964231536399</v>
      </c>
      <c r="AR356" s="184"/>
      <c r="AS356" s="184"/>
      <c r="AT356" s="184"/>
      <c r="AU356" s="184"/>
      <c r="AV356" s="184"/>
      <c r="AW356" s="184"/>
    </row>
    <row r="357" spans="1:49" ht="16.5">
      <c r="A357" s="82"/>
      <c r="B357" s="82"/>
      <c r="C357" s="82"/>
      <c r="D357" s="82"/>
      <c r="E357" s="363" t="s">
        <v>426</v>
      </c>
      <c r="F357" s="82"/>
      <c r="G357" s="82" t="s">
        <v>100</v>
      </c>
      <c r="H357" s="82" t="s">
        <v>427</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CHOOSE($B$3,ENWL!AJ357,NPgN!AJ357,NPgY!AJ357,WMID!AJ357,EMID!AJ357,SWALES!AJ357,SWEST!AJ357,LPN!AJ357,SPN!AJ357,EPN!AJ357,SPD!AJ357,SPMW!AJ357,SSEH!AJ357,SSES!AJ357)</f>
        <v>0.5</v>
      </c>
      <c r="AK357" s="476">
        <f>CHOOSE($B$3,ENWL!AK357,NPgN!AK357,NPgY!AK357,WMID!AK357,EMID!AK357,SWALES!AK357,SWEST!AK357,LPN!AK357,SPN!AK357,EPN!AK357,SPD!AK357,SPMW!AK357,SSEH!AK357,SSES!AK357)</f>
        <v>0.33561643835616445</v>
      </c>
      <c r="AL357" s="476">
        <f>CHOOSE($B$3,ENWL!AL357,NPgN!AL357,NPgY!AL357,WMID!AL357,EMID!AL357,SWALES!AL357,SWEST!AL357,LPN!AL357,SPN!AL357,EPN!AL357,SPD!AL357,SPMW!AL357,SSEH!AL357,SSES!AL357)</f>
        <v>0.35273972602739728</v>
      </c>
      <c r="AM357" s="476">
        <f>CHOOSE($B$3,ENWL!AM357,NPgN!AM357,NPgY!AM357,WMID!AM357,EMID!AM357,SWALES!AM357,SWEST!AM357,LPN!AM357,SPN!AM357,EPN!AM357,SPD!AM357,SPMW!AM357,SSEH!AM357,SSES!AM357)</f>
        <v>0.66575342465753418</v>
      </c>
      <c r="AN357" s="476">
        <f>CHOOSE($B$3,ENWL!AN357,NPgN!AN357,NPgY!AN357,WMID!AN357,EMID!AN357,SWALES!AN357,SWEST!AN357,LPN!AN357,SPN!AN357,EPN!AN357,SPD!AN357,SPMW!AN357,SSEH!AN357,SSES!AN357)</f>
        <v>0.71598360655737692</v>
      </c>
      <c r="AO357" s="476">
        <f>CHOOSE($B$3,ENWL!AO357,NPgN!AO357,NPgY!AO357,WMID!AO357,EMID!AO357,SWALES!AO357,SWEST!AO357,LPN!AO357,SPN!AO357,EPN!AO357,SPD!AO357,SPMW!AO357,SSEH!AO357,SSES!AO357)</f>
        <v>0.1</v>
      </c>
      <c r="AP357" s="476">
        <f>CHOOSE($B$3,ENWL!AP357,NPgN!AP357,NPgY!AP357,WMID!AP357,EMID!AP357,SWALES!AP357,SWEST!AP357,LPN!AP357,SPN!AP357,EPN!AP357,SPD!AP357,SPMW!AP357,SSEH!AP357,SSES!AP357)</f>
        <v>0.19287671232876738</v>
      </c>
      <c r="AQ357" s="477">
        <f>CHOOSE($B$3,ENWL!AQ357,NPgN!AQ357,NPgY!AQ357,WMID!AQ357,EMID!AQ357,SWALES!AQ357,SWEST!AQ357,LPN!AQ357,SPN!AQ357,EPN!AQ357,SPD!AQ357,SPMW!AQ357,SSEH!AQ357,SSES!AQ357)</f>
        <v>2.3034246575342467</v>
      </c>
      <c r="AR357" s="419">
        <f>CHOOSE($B$3,ENWL!AR357,NPgN!AR357,NPgY!AR357,WMID!AR357,EMID!AR357,SWALES!AR357,SWEST!AR357,LPN!AR357,SPN!AR357,EPN!AR357,SPD!AR357,SPMW!AR357,SSEH!AR357,SSES!AR357)</f>
        <v>0</v>
      </c>
      <c r="AS357" s="184"/>
      <c r="AT357" s="184"/>
      <c r="AU357" s="184"/>
      <c r="AV357" s="184"/>
      <c r="AW357" s="184"/>
    </row>
    <row r="358" spans="1:49" ht="15">
      <c r="A358" s="82"/>
      <c r="B358" s="82"/>
      <c r="C358" s="82"/>
      <c r="D358" s="82"/>
      <c r="E358" s="363" t="s">
        <v>428</v>
      </c>
      <c r="F358" s="82"/>
      <c r="G358" s="82" t="s">
        <v>100</v>
      </c>
      <c r="H358" s="82" t="s">
        <v>429</v>
      </c>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476">
        <f>CHOOSE($B$3,ENWL!AJ358,NPgN!AJ358,NPgY!AJ358,WMID!AJ358,EMID!AJ358,SWALES!AJ358,SWEST!AJ358,LPN!AJ358,SPN!AJ358,EPN!AJ358,SPD!AJ358,SPMW!AJ358,SSEH!AJ358,SSES!AJ358)</f>
        <v>0</v>
      </c>
      <c r="AK358" s="476">
        <f>CHOOSE($B$3,ENWL!AK358,NPgN!AK358,NPgY!AK358,WMID!AK358,EMID!AK358,SWALES!AK358,SWEST!AK358,LPN!AK358,SPN!AK358,EPN!AK358,SPD!AK358,SPMW!AK358,SSEH!AK358,SSES!AK358)</f>
        <v>0</v>
      </c>
      <c r="AL358" s="476">
        <f>CHOOSE($B$3,ENWL!AL358,NPgN!AL358,NPgY!AL358,WMID!AL358,EMID!AL358,SWALES!AL358,SWEST!AL358,LPN!AL358,SPN!AL358,EPN!AL358,SPD!AL358,SPMW!AL358,SSEH!AL358,SSES!AL358)</f>
        <v>0</v>
      </c>
      <c r="AM358" s="476">
        <f>CHOOSE($B$3,ENWL!AM358,NPgN!AM358,NPgY!AM358,WMID!AM358,EMID!AM358,SWALES!AM358,SWEST!AM358,LPN!AM358,SPN!AM358,EPN!AM358,SPD!AM358,SPMW!AM358,SSEH!AM358,SSES!AM358)</f>
        <v>0</v>
      </c>
      <c r="AN358" s="476">
        <f>CHOOSE($B$3,ENWL!AN358,NPgN!AN358,NPgY!AN358,WMID!AN358,EMID!AN358,SWALES!AN358,SWEST!AN358,LPN!AN358,SPN!AN358,EPN!AN358,SPD!AN358,SPMW!AN358,SSEH!AN358,SSES!AN358)</f>
        <v>0</v>
      </c>
      <c r="AO358" s="476">
        <f>CHOOSE($B$3,ENWL!AO358,NPgN!AO358,NPgY!AO358,WMID!AO358,EMID!AO358,SWALES!AO358,SWEST!AO358,LPN!AO358,SPN!AO358,EPN!AO358,SPD!AO358,SPMW!AO358,SSEH!AO358,SSES!AO358)</f>
        <v>0</v>
      </c>
      <c r="AP358" s="476">
        <f>CHOOSE($B$3,ENWL!AP358,NPgN!AP358,NPgY!AP358,WMID!AP358,EMID!AP358,SWALES!AP358,SWEST!AP358,LPN!AP358,SPN!AP358,EPN!AP358,SPD!AP358,SPMW!AP358,SSEH!AP358,SSES!AP358)</f>
        <v>0</v>
      </c>
      <c r="AQ358" s="477">
        <f>CHOOSE($B$3,ENWL!AQ358,NPgN!AQ358,NPgY!AQ358,WMID!AQ358,EMID!AQ358,SWALES!AQ358,SWEST!AQ358,LPN!AQ358,SPN!AQ358,EPN!AQ358,SPD!AQ358,SPMW!AQ358,SSEH!AQ358,SSES!AQ358)</f>
        <v>0</v>
      </c>
      <c r="AR358" s="184"/>
      <c r="AS358" s="184"/>
      <c r="AT358" s="184"/>
      <c r="AU358" s="184"/>
      <c r="AV358" s="184"/>
      <c r="AW358" s="184"/>
    </row>
    <row r="359" spans="1:49" ht="15">
      <c r="A359" s="82"/>
      <c r="B359" s="82"/>
      <c r="C359" s="82"/>
      <c r="D359" s="82"/>
      <c r="E359" s="346" t="s">
        <v>430</v>
      </c>
      <c r="F359" s="82"/>
      <c r="G359" s="82"/>
      <c r="H359" s="82"/>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184"/>
      <c r="AS359" s="184"/>
      <c r="AT359" s="184"/>
      <c r="AU359" s="184"/>
      <c r="AV359" s="184"/>
      <c r="AW359" s="184"/>
    </row>
    <row r="360" spans="1:49" ht="15">
      <c r="A360" s="82"/>
      <c r="B360" s="82"/>
      <c r="C360" s="82"/>
      <c r="D360" s="82"/>
      <c r="E360" s="363" t="s">
        <v>431</v>
      </c>
      <c r="F360" s="82"/>
      <c r="G360" s="82" t="s">
        <v>304</v>
      </c>
      <c r="H360" s="510" t="s">
        <v>432</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f>CHOOSE($B$3,ENWL!AR360,NPgN!AR360,NPgY!AR360,WMID!AR360,EMID!AR360,SWALES!AR360,SWEST!AR360,LPN!AR360,SPN!AR360,EPN!AR360,SPD!AR360,SPMW!AR360,SSEH!AR360,SSES!AR360)</f>
        <v>0</v>
      </c>
      <c r="AS360" s="419">
        <f>CHOOSE($B$3,ENWL!AS360,NPgN!AS360,NPgY!AS360,WMID!AS360,EMID!AS360,SWALES!AS360,SWEST!AS360,LPN!AS360,SPN!AS360,EPN!AS360,SPD!AS360,SPMW!AS360,SSEH!AS360,SSES!AS360)</f>
        <v>0</v>
      </c>
      <c r="AT360" s="419">
        <f>CHOOSE($B$3,ENWL!AT360,NPgN!AT360,NPgY!AT360,WMID!AT360,EMID!AT360,SWALES!AT360,SWEST!AT360,LPN!AT360,SPN!AT360,EPN!AT360,SPD!AT360,SPMW!AT360,SSEH!AT360,SSES!AT360)</f>
        <v>0</v>
      </c>
      <c r="AU360" s="419">
        <f>CHOOSE($B$3,ENWL!AU360,NPgN!AU360,NPgY!AU360,WMID!AU360,EMID!AU360,SWALES!AU360,SWEST!AU360,LPN!AU360,SPN!AU360,EPN!AU360,SPD!AU360,SPMW!AU360,SSEH!AU360,SSES!AU360)</f>
        <v>0</v>
      </c>
      <c r="AV360" s="419">
        <f>CHOOSE($B$3,ENWL!AV360,NPgN!AV360,NPgY!AV360,WMID!AV360,EMID!AV360,SWALES!AV360,SWEST!AV360,LPN!AV360,SPN!AV360,EPN!AV360,SPD!AV360,SPMW!AV360,SSEH!AV360,SSES!AV360)</f>
        <v>0</v>
      </c>
      <c r="AW360" s="184"/>
    </row>
    <row r="361" spans="1:49" ht="15">
      <c r="A361" s="82"/>
      <c r="B361" s="82"/>
      <c r="C361" s="82"/>
      <c r="D361" s="82"/>
      <c r="E361" s="363" t="s">
        <v>433</v>
      </c>
      <c r="F361" s="82"/>
      <c r="G361" s="82" t="s">
        <v>304</v>
      </c>
      <c r="H361" s="510" t="s">
        <v>434</v>
      </c>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419">
        <f>CHOOSE($B$3,ENWL!AR361,NPgN!AR361,NPgY!AR361,WMID!AR361,EMID!AR361,SWALES!AR361,SWEST!AR361,LPN!AR361,SPN!AR361,EPN!AR361,SPD!AR361,SPMW!AR361,SSEH!AR361,SSES!AR361)</f>
        <v>0</v>
      </c>
      <c r="AS361" s="419">
        <f>CHOOSE($B$3,ENWL!AS361,NPgN!AS361,NPgY!AS361,WMID!AS361,EMID!AS361,SWALES!AS361,SWEST!AS361,LPN!AS361,SPN!AS361,EPN!AS361,SPD!AS361,SPMW!AS361,SSEH!AS361,SSES!AS361)</f>
        <v>0</v>
      </c>
      <c r="AT361" s="419">
        <f>CHOOSE($B$3,ENWL!AT361,NPgN!AT361,NPgY!AT361,WMID!AT361,EMID!AT361,SWALES!AT361,SWEST!AT361,LPN!AT361,SPN!AT361,EPN!AT361,SPD!AT361,SPMW!AT361,SSEH!AT361,SSES!AT361)</f>
        <v>0</v>
      </c>
      <c r="AU361" s="419">
        <f>CHOOSE($B$3,ENWL!AU361,NPgN!AU361,NPgY!AU361,WMID!AU361,EMID!AU361,SWALES!AU361,SWEST!AU361,LPN!AU361,SPN!AU361,EPN!AU361,SPD!AU361,SPMW!AU361,SSEH!AU361,SSES!AU361)</f>
        <v>0</v>
      </c>
      <c r="AV361" s="419">
        <f>CHOOSE($B$3,ENWL!AV361,NPgN!AV361,NPgY!AV361,WMID!AV361,EMID!AV361,SWALES!AV361,SWEST!AV361,LPN!AV361,SPN!AV361,EPN!AV361,SPD!AV361,SPMW!AV361,SSEH!AV361,SSES!AV361)</f>
        <v>0</v>
      </c>
      <c r="AW361" s="184"/>
    </row>
    <row r="362" spans="1:49" ht="15">
      <c r="A362" s="82"/>
      <c r="B362" s="82"/>
      <c r="C362" s="82"/>
      <c r="D362" s="82"/>
      <c r="E362" s="346" t="s">
        <v>435</v>
      </c>
      <c r="F362" s="82"/>
      <c r="G362" s="82" t="s">
        <v>304</v>
      </c>
      <c r="H362" s="82"/>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243"/>
      <c r="AR362" s="184"/>
      <c r="AS362" s="184"/>
      <c r="AT362" s="184"/>
      <c r="AU362" s="184"/>
      <c r="AV362" s="184"/>
      <c r="AW362" s="184"/>
    </row>
    <row r="363" spans="1:49" ht="15">
      <c r="A363" s="82"/>
      <c r="B363" s="82"/>
      <c r="C363" s="82"/>
      <c r="D363" s="82"/>
      <c r="E363" s="363" t="s">
        <v>436</v>
      </c>
      <c r="F363" s="82"/>
      <c r="G363" s="82" t="s">
        <v>304</v>
      </c>
      <c r="H363" s="82" t="s">
        <v>437</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476">
        <f>CHOOSE($B$3,ENWL!AJ363,NPgN!AJ363,NPgY!AJ363,WMID!AJ363,EMID!AJ363,SWALES!AJ363,SWEST!AJ363,LPN!AJ363,SPN!AJ363,EPN!AJ363,SPD!AJ363,SPMW!AJ363,SSEH!AJ363,SSES!AJ363)</f>
        <v>2.64E-3</v>
      </c>
      <c r="AK363" s="476">
        <f>CHOOSE($B$3,ENWL!AK363,NPgN!AK363,NPgY!AK363,WMID!AK363,EMID!AK363,SWALES!AK363,SWEST!AK363,LPN!AK363,SPN!AK363,EPN!AK363,SPD!AK363,SPMW!AK363,SSEH!AK363,SSES!AK363)</f>
        <v>8.0300000000000007E-3</v>
      </c>
      <c r="AL363" s="476">
        <f>CHOOSE($B$3,ENWL!AL363,NPgN!AL363,NPgY!AL363,WMID!AL363,EMID!AL363,SWALES!AL363,SWEST!AL363,LPN!AL363,SPN!AL363,EPN!AL363,SPD!AL363,SPMW!AL363,SSEH!AL363,SSES!AL363)</f>
        <v>2.631E-2</v>
      </c>
      <c r="AM363" s="476">
        <f>CHOOSE($B$3,ENWL!AM363,NPgN!AM363,NPgY!AM363,WMID!AM363,EMID!AM363,SWALES!AM363,SWEST!AM363,LPN!AM363,SPN!AM363,EPN!AM363,SPD!AM363,SPMW!AM363,SSEH!AM363,SSES!AM363)</f>
        <v>2.1659999999999999E-2</v>
      </c>
      <c r="AN363" s="476">
        <f>CHOOSE($B$3,ENWL!AN363,NPgN!AN363,NPgY!AN363,WMID!AN363,EMID!AN363,SWALES!AN363,SWEST!AN363,LPN!AN363,SPN!AN363,EPN!AN363,SPD!AN363,SPMW!AN363,SSEH!AN363,SSES!AN363)</f>
        <v>2.6984999999999999E-2</v>
      </c>
      <c r="AO363" s="476">
        <f>CHOOSE($B$3,ENWL!AO363,NPgN!AO363,NPgY!AO363,WMID!AO363,EMID!AO363,SWALES!AO363,SWEST!AO363,LPN!AO363,SPN!AO363,EPN!AO363,SPD!AO363,SPMW!AO363,SSEH!AO363,SSES!AO363)</f>
        <v>2.878E-2</v>
      </c>
      <c r="AP363" s="476">
        <f>CHOOSE($B$3,ENWL!AP363,NPgN!AP363,NPgY!AP363,WMID!AP363,EMID!AP363,SWALES!AP363,SWEST!AP363,LPN!AP363,SPN!AP363,EPN!AP363,SPD!AP363,SPMW!AP363,SSEH!AP363,SSES!AP363)</f>
        <v>8.3595000000000003E-2</v>
      </c>
      <c r="AQ363" s="477">
        <f>CHOOSE($B$3,ENWL!AQ363,NPgN!AQ363,NPgY!AQ363,WMID!AQ363,EMID!AQ363,SWALES!AQ363,SWEST!AQ363,LPN!AQ363,SPN!AQ363,EPN!AQ363,SPD!AQ363,SPMW!AQ363,SSEH!AQ363,SSES!AQ363)</f>
        <v>0.23425499999999999</v>
      </c>
      <c r="AR363" s="184"/>
      <c r="AS363" s="184"/>
      <c r="AT363" s="184"/>
      <c r="AU363" s="184"/>
      <c r="AV363" s="184"/>
      <c r="AW363" s="184"/>
    </row>
    <row r="364" spans="1:49" ht="15">
      <c r="A364" s="82"/>
      <c r="B364" s="82"/>
      <c r="C364" s="82"/>
      <c r="D364" s="82"/>
      <c r="E364" s="363" t="s">
        <v>438</v>
      </c>
      <c r="F364" s="82"/>
      <c r="G364" s="82" t="s">
        <v>399</v>
      </c>
      <c r="H364" s="82" t="s">
        <v>439</v>
      </c>
      <c r="I364" s="476">
        <f>CHOOSE($B$3,ENWL!I364,NPgN!I364,NPgY!I364,WMID!I364,EMID!I364,SWALES!I364,SWEST!I364,LPN!I364,SPN!I364,EPN!I364,SPD!I364,SPMW!I364,SSEH!I364,SSES!I364)</f>
        <v>32</v>
      </c>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184"/>
      <c r="AS364" s="184"/>
      <c r="AT364" s="184"/>
      <c r="AU364" s="184"/>
      <c r="AV364" s="184"/>
      <c r="AW364" s="184"/>
    </row>
    <row r="365" spans="1:49" ht="15">
      <c r="A365" s="82"/>
      <c r="B365" s="82"/>
      <c r="C365" s="82"/>
      <c r="D365" s="82"/>
      <c r="E365" s="346"/>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10" t="s">
        <v>440</v>
      </c>
      <c r="E366" s="351"/>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293" t="s">
        <v>441</v>
      </c>
      <c r="F367" s="82"/>
      <c r="G367" s="82"/>
      <c r="H367" s="82"/>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243"/>
      <c r="AR367" s="364"/>
      <c r="AS367" s="184"/>
      <c r="AT367" s="184"/>
      <c r="AU367" s="184"/>
      <c r="AV367" s="184"/>
      <c r="AW367" s="184"/>
    </row>
    <row r="368" spans="1:49" ht="15">
      <c r="A368" s="82"/>
      <c r="B368" s="82"/>
      <c r="C368" s="82"/>
      <c r="D368" s="82"/>
      <c r="E368" s="363" t="s">
        <v>442</v>
      </c>
      <c r="F368" s="82"/>
      <c r="G368" s="82" t="s">
        <v>399</v>
      </c>
      <c r="H368" s="82" t="s">
        <v>443</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CHOOSE($B$3,ENWL!AP368,NPgN!AP368,NPgY!AP368,WMID!AP368,EMID!AP368,SWALES!AP368,SWEST!AP368,LPN!AP368,SPN!AP368,EPN!AP368,SPD!AP368,SPMW!AP368,SSEH!AP368,SSES!AP368)</f>
        <v>0.68740400000000024</v>
      </c>
      <c r="AQ368" s="477">
        <f>CHOOSE($B$3,ENWL!AQ368,NPgN!AQ368,NPgY!AQ368,WMID!AQ368,EMID!AQ368,SWALES!AQ368,SWEST!AQ368,LPN!AQ368,SPN!AQ368,EPN!AQ368,SPD!AQ368,SPMW!AQ368,SSEH!AQ368,SSES!AQ368)</f>
        <v>1.4778254440608405</v>
      </c>
      <c r="AR368" s="364"/>
      <c r="AS368" s="184"/>
      <c r="AT368" s="184"/>
      <c r="AU368" s="184"/>
      <c r="AV368" s="184"/>
      <c r="AW368" s="184"/>
    </row>
    <row r="369" spans="1:49" ht="15">
      <c r="A369" s="82"/>
      <c r="B369" s="82"/>
      <c r="C369" s="82"/>
      <c r="D369" s="82"/>
      <c r="E369" s="363" t="s">
        <v>444</v>
      </c>
      <c r="F369" s="82"/>
      <c r="G369" s="82" t="s">
        <v>399</v>
      </c>
      <c r="H369" s="82" t="s">
        <v>445</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CHOOSE($B$3,ENWL!AP369,NPgN!AP369,NPgY!AP369,WMID!AP369,EMID!AP369,SWALES!AP369,SWEST!AP369,LPN!AP369,SPN!AP369,EPN!AP369,SPD!AP369,SPMW!AP369,SSEH!AP369,SSES!AP369)</f>
        <v>0</v>
      </c>
      <c r="AQ369" s="477">
        <f>CHOOSE($B$3,ENWL!AQ369,NPgN!AQ369,NPgY!AQ369,WMID!AQ369,EMID!AQ369,SWALES!AQ369,SWEST!AQ369,LPN!AQ369,SPN!AQ369,EPN!AQ369,SPD!AQ369,SPMW!AQ369,SSEH!AQ369,SSES!AQ369)</f>
        <v>0</v>
      </c>
      <c r="AR369" s="364"/>
      <c r="AS369" s="184"/>
      <c r="AT369" s="184"/>
      <c r="AU369" s="184"/>
      <c r="AV369" s="184"/>
      <c r="AW369" s="184"/>
    </row>
    <row r="370" spans="1:49" ht="15">
      <c r="A370" s="82"/>
      <c r="B370" s="82"/>
      <c r="C370" s="82"/>
      <c r="D370" s="82"/>
      <c r="E370" s="363" t="s">
        <v>446</v>
      </c>
      <c r="F370" s="82"/>
      <c r="G370" s="82" t="s">
        <v>399</v>
      </c>
      <c r="H370" s="82" t="s">
        <v>447</v>
      </c>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476">
        <f>CHOOSE($B$3,ENWL!AP370,NPgN!AP370,NPgY!AP370,WMID!AP370,EMID!AP370,SWALES!AP370,SWEST!AP370,LPN!AP370,SPN!AP370,EPN!AP370,SPD!AP370,SPMW!AP370,SSEH!AP370,SSES!AP370)</f>
        <v>0</v>
      </c>
      <c r="AQ370" s="477">
        <f>CHOOSE($B$3,ENWL!AQ370,NPgN!AQ370,NPgY!AQ370,WMID!AQ370,EMID!AQ370,SWALES!AQ370,SWEST!AQ370,LPN!AQ370,SPN!AQ370,EPN!AQ370,SPD!AQ370,SPMW!AQ370,SSEH!AQ370,SSES!AQ370)</f>
        <v>0</v>
      </c>
      <c r="AR370" s="364"/>
      <c r="AS370" s="184"/>
      <c r="AT370" s="184"/>
      <c r="AU370" s="184"/>
      <c r="AV370" s="184"/>
      <c r="AW370" s="184"/>
    </row>
    <row r="371" spans="1:49" ht="15">
      <c r="A371" s="82"/>
      <c r="B371" s="82"/>
      <c r="C371" s="82"/>
      <c r="D371" s="82"/>
      <c r="E371" s="293" t="s">
        <v>448</v>
      </c>
      <c r="F371" s="82"/>
      <c r="G371" s="82"/>
      <c r="H371" s="82"/>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243"/>
      <c r="AR371" s="364"/>
      <c r="AS371" s="184"/>
      <c r="AT371" s="184"/>
      <c r="AU371" s="184"/>
      <c r="AV371" s="184"/>
      <c r="AW371" s="184"/>
    </row>
    <row r="372" spans="1:49" ht="15">
      <c r="A372" s="82"/>
      <c r="B372" s="82"/>
      <c r="C372" s="82"/>
      <c r="D372" s="82"/>
      <c r="E372" s="363" t="s">
        <v>449</v>
      </c>
      <c r="F372" s="82"/>
      <c r="G372" s="82" t="s">
        <v>399</v>
      </c>
      <c r="H372" s="82" t="s">
        <v>450</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CHOOSE($B$3,ENWL!AP372,NPgN!AP372,NPgY!AP372,WMID!AP372,EMID!AP372,SWALES!AP372,SWEST!AP372,LPN!AP372,SPN!AP372,EPN!AP372,SPD!AP372,SPMW!AP372,SSEH!AP372,SSES!AP372)</f>
        <v>4.2130569188096398</v>
      </c>
      <c r="AQ372" s="477">
        <f>CHOOSE($B$3,ENWL!AQ372,NPgN!AQ372,NPgY!AQ372,WMID!AQ372,EMID!AQ372,SWALES!AQ372,SWEST!AQ372,LPN!AQ372,SPN!AQ372,EPN!AQ372,SPD!AQ372,SPMW!AQ372,SSEH!AQ372,SSES!AQ372)</f>
        <v>4.7902939651127117</v>
      </c>
      <c r="AR372" s="364"/>
      <c r="AS372" s="184"/>
      <c r="AT372" s="184"/>
      <c r="AU372" s="184"/>
      <c r="AV372" s="184"/>
      <c r="AW372" s="184"/>
    </row>
    <row r="373" spans="1:49" ht="15">
      <c r="A373" s="82"/>
      <c r="B373" s="82"/>
      <c r="C373" s="82"/>
      <c r="D373" s="82"/>
      <c r="E373" s="363" t="s">
        <v>451</v>
      </c>
      <c r="F373" s="82"/>
      <c r="G373" s="82" t="s">
        <v>399</v>
      </c>
      <c r="H373" s="82" t="s">
        <v>452</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CHOOSE($B$3,ENWL!AP373,NPgN!AP373,NPgY!AP373,WMID!AP373,EMID!AP373,SWALES!AP373,SWEST!AP373,LPN!AP373,SPN!AP373,EPN!AP373,SPD!AP373,SPMW!AP373,SSEH!AP373,SSES!AP373)</f>
        <v>0.38867999999999903</v>
      </c>
      <c r="AQ373" s="477">
        <f>CHOOSE($B$3,ENWL!AQ373,NPgN!AQ373,NPgY!AQ373,WMID!AQ373,EMID!AQ373,SWALES!AQ373,SWEST!AQ373,LPN!AQ373,SPN!AQ373,EPN!AQ373,SPD!AQ373,SPMW!AQ373,SSEH!AQ373,SSES!AQ373)</f>
        <v>0</v>
      </c>
      <c r="AR373" s="364"/>
      <c r="AS373" s="184"/>
      <c r="AT373" s="184"/>
      <c r="AU373" s="184"/>
      <c r="AV373" s="184"/>
      <c r="AW373" s="184"/>
    </row>
    <row r="374" spans="1:49" ht="15">
      <c r="A374" s="82"/>
      <c r="B374" s="82"/>
      <c r="C374" s="82"/>
      <c r="D374" s="82"/>
      <c r="E374" s="363" t="s">
        <v>453</v>
      </c>
      <c r="F374" s="82"/>
      <c r="G374" s="82" t="s">
        <v>399</v>
      </c>
      <c r="H374" s="82" t="s">
        <v>454</v>
      </c>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476">
        <f>CHOOSE($B$3,ENWL!AP374,NPgN!AP374,NPgY!AP374,WMID!AP374,EMID!AP374,SWALES!AP374,SWEST!AP374,LPN!AP374,SPN!AP374,EPN!AP374,SPD!AP374,SPMW!AP374,SSEH!AP374,SSES!AP374)</f>
        <v>0</v>
      </c>
      <c r="AQ374" s="477">
        <f>CHOOSE($B$3,ENWL!AQ374,NPgN!AQ374,NPgY!AQ374,WMID!AQ374,EMID!AQ374,SWALES!AQ374,SWEST!AQ374,LPN!AQ374,SPN!AQ374,EPN!AQ374,SPD!AQ374,SPMW!AQ374,SSEH!AQ374,SSES!AQ374)</f>
        <v>-5.4486000000000034E-2</v>
      </c>
      <c r="AR374" s="364"/>
      <c r="AS374" s="184"/>
      <c r="AT374" s="184"/>
      <c r="AU374" s="184"/>
      <c r="AV374" s="184"/>
      <c r="AW374" s="184"/>
    </row>
    <row r="375" spans="1:49" ht="15">
      <c r="A375" s="82"/>
      <c r="B375" s="82"/>
      <c r="C375" s="82"/>
      <c r="D375" s="82"/>
      <c r="E375" s="293" t="s">
        <v>455</v>
      </c>
      <c r="F375" s="82"/>
      <c r="G375" s="82"/>
      <c r="H375" s="82"/>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243"/>
      <c r="AR375" s="364"/>
      <c r="AS375" s="184"/>
      <c r="AT375" s="184"/>
      <c r="AU375" s="184"/>
      <c r="AV375" s="184"/>
      <c r="AW375" s="184"/>
    </row>
    <row r="376" spans="1:49" ht="15">
      <c r="A376" s="82"/>
      <c r="B376" s="82"/>
      <c r="C376" s="82"/>
      <c r="D376" s="82"/>
      <c r="E376" s="363" t="s">
        <v>456</v>
      </c>
      <c r="F376" s="82"/>
      <c r="G376" s="82" t="s">
        <v>399</v>
      </c>
      <c r="H376" s="82" t="s">
        <v>457</v>
      </c>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419">
        <f>CHOOSE($B$3,ENWL!AO376,NPgN!AO376,NPgY!AO376,WMID!AO376,EMID!AO376,SWALES!AO376,SWEST!AO376,LPN!AO376,SPN!AO376,EPN!AO376,SPD!AO376,SPMW!AO376,SSEH!AO376,SSES!AO376)</f>
        <v>0</v>
      </c>
      <c r="AP376" s="419">
        <f>CHOOSE($B$3,ENWL!AP376,NPgN!AP376,NPgY!AP376,WMID!AP376,EMID!AP376,SWALES!AP376,SWEST!AP376,LPN!AP376,SPN!AP376,EPN!AP376,SPD!AP376,SPMW!AP376,SSEH!AP376,SSES!AP376)</f>
        <v>0</v>
      </c>
      <c r="AQ376" s="418">
        <f>CHOOSE($B$3,ENWL!AQ376,NPgN!AQ376,NPgY!AQ376,WMID!AQ376,EMID!AQ376,SWALES!AQ376,SWEST!AQ376,LPN!AQ376,SPN!AQ376,EPN!AQ376,SPD!AQ376,SPMW!AQ376,SSEH!AQ376,SSES!AQ376)</f>
        <v>0</v>
      </c>
      <c r="AR376" s="364"/>
      <c r="AS376" s="184"/>
      <c r="AT376" s="184"/>
      <c r="AU376" s="184"/>
      <c r="AV376" s="184"/>
      <c r="AW376" s="184"/>
    </row>
    <row r="377" spans="1:49" ht="15">
      <c r="A377" s="82"/>
      <c r="B377" s="82"/>
      <c r="C377" s="82"/>
      <c r="D377" s="82"/>
      <c r="E377" s="293" t="s">
        <v>458</v>
      </c>
      <c r="F377" s="82"/>
      <c r="G377" s="82"/>
      <c r="H377" s="82"/>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243"/>
      <c r="AR377" s="364"/>
      <c r="AS377" s="184"/>
      <c r="AT377" s="184"/>
      <c r="AU377" s="184"/>
      <c r="AV377" s="184"/>
      <c r="AW377" s="184"/>
    </row>
    <row r="378" spans="1:49" ht="15">
      <c r="A378" s="82"/>
      <c r="B378" s="82"/>
      <c r="C378" s="82"/>
      <c r="D378" s="82"/>
      <c r="E378" s="363" t="s">
        <v>459</v>
      </c>
      <c r="F378" s="82"/>
      <c r="G378" s="82" t="s">
        <v>399</v>
      </c>
      <c r="H378" s="82" t="s">
        <v>460</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CHOOSE($B$3,ENWL!AP378,NPgN!AP378,NPgY!AP378,WMID!AP378,EMID!AP378,SWALES!AP378,SWEST!AP378,LPN!AP378,SPN!AP378,EPN!AP378,SPD!AP378,SPMW!AP378,SSEH!AP378,SSES!AP378)</f>
        <v>0</v>
      </c>
      <c r="AQ378" s="477">
        <f>CHOOSE($B$3,ENWL!AQ378,NPgN!AQ378,NPgY!AQ378,WMID!AQ378,EMID!AQ378,SWALES!AQ378,SWEST!AQ378,LPN!AQ378,SPN!AQ378,EPN!AQ378,SPD!AQ378,SPMW!AQ378,SSEH!AQ378,SSES!AQ378)</f>
        <v>0</v>
      </c>
      <c r="AR378" s="364"/>
      <c r="AS378" s="184"/>
      <c r="AT378" s="184"/>
      <c r="AU378" s="184"/>
      <c r="AV378" s="184"/>
      <c r="AW378" s="184"/>
    </row>
    <row r="379" spans="1:49" ht="15">
      <c r="A379" s="82"/>
      <c r="B379" s="82"/>
      <c r="C379" s="82"/>
      <c r="D379" s="82"/>
      <c r="E379" s="363" t="s">
        <v>461</v>
      </c>
      <c r="F379" s="82"/>
      <c r="G379" s="82" t="s">
        <v>399</v>
      </c>
      <c r="H379" s="82" t="s">
        <v>462</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CHOOSE($B$3,ENWL!AP379,NPgN!AP379,NPgY!AP379,WMID!AP379,EMID!AP379,SWALES!AP379,SWEST!AP379,LPN!AP379,SPN!AP379,EPN!AP379,SPD!AP379,SPMW!AP379,SSEH!AP379,SSES!AP379)</f>
        <v>0</v>
      </c>
      <c r="AQ379" s="477">
        <f>CHOOSE($B$3,ENWL!AQ379,NPgN!AQ379,NPgY!AQ379,WMID!AQ379,EMID!AQ379,SWALES!AQ379,SWEST!AQ379,LPN!AQ379,SPN!AQ379,EPN!AQ379,SPD!AQ379,SPMW!AQ379,SSEH!AQ379,SSES!AQ379)</f>
        <v>0</v>
      </c>
      <c r="AR379" s="364"/>
      <c r="AS379" s="184"/>
      <c r="AT379" s="184"/>
      <c r="AU379" s="184"/>
      <c r="AV379" s="184"/>
      <c r="AW379" s="184"/>
    </row>
    <row r="380" spans="1:49" ht="15">
      <c r="A380" s="82"/>
      <c r="B380" s="82"/>
      <c r="C380" s="82"/>
      <c r="D380" s="82"/>
      <c r="E380" s="363" t="s">
        <v>463</v>
      </c>
      <c r="F380" s="82"/>
      <c r="G380" s="82" t="s">
        <v>399</v>
      </c>
      <c r="H380" s="82" t="s">
        <v>464</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CHOOSE($B$3,ENWL!AP380,NPgN!AP380,NPgY!AP380,WMID!AP380,EMID!AP380,SWALES!AP380,SWEST!AP380,LPN!AP380,SPN!AP380,EPN!AP380,SPD!AP380,SPMW!AP380,SSEH!AP380,SSES!AP380)</f>
        <v>0</v>
      </c>
      <c r="AQ380" s="477">
        <f>CHOOSE($B$3,ENWL!AQ380,NPgN!AQ380,NPgY!AQ380,WMID!AQ380,EMID!AQ380,SWALES!AQ380,SWEST!AQ380,LPN!AQ380,SPN!AQ380,EPN!AQ380,SPD!AQ380,SPMW!AQ380,SSEH!AQ380,SSES!AQ380)</f>
        <v>0</v>
      </c>
      <c r="AR380" s="364"/>
      <c r="AS380" s="184"/>
      <c r="AT380" s="184"/>
      <c r="AU380" s="184"/>
      <c r="AV380" s="184"/>
      <c r="AW380" s="184"/>
    </row>
    <row r="381" spans="1:49" ht="15">
      <c r="A381" s="82"/>
      <c r="B381" s="82"/>
      <c r="C381" s="82"/>
      <c r="D381" s="82"/>
      <c r="E381" s="363" t="s">
        <v>465</v>
      </c>
      <c r="F381" s="82"/>
      <c r="G381" s="82" t="s">
        <v>399</v>
      </c>
      <c r="H381" s="82" t="s">
        <v>466</v>
      </c>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476">
        <f>CHOOSE($B$3,ENWL!AP381,NPgN!AP381,NPgY!AP381,WMID!AP381,EMID!AP381,SWALES!AP381,SWEST!AP381,LPN!AP381,SPN!AP381,EPN!AP381,SPD!AP381,SPMW!AP381,SSEH!AP381,SSES!AP381)</f>
        <v>0</v>
      </c>
      <c r="AQ381" s="477">
        <f>CHOOSE($B$3,ENWL!AQ381,NPgN!AQ381,NPgY!AQ381,WMID!AQ381,EMID!AQ381,SWALES!AQ381,SWEST!AQ381,LPN!AQ381,SPN!AQ381,EPN!AQ381,SPD!AQ381,SPMW!AQ381,SSEH!AQ381,SSES!AQ381)</f>
        <v>0</v>
      </c>
      <c r="AR381" s="364"/>
      <c r="AS381" s="184"/>
      <c r="AT381" s="184"/>
      <c r="AU381" s="184"/>
      <c r="AV381" s="184"/>
      <c r="AW381" s="184"/>
    </row>
    <row r="382" spans="1:49" ht="15">
      <c r="A382" s="82"/>
      <c r="B382" s="82"/>
      <c r="C382" s="82"/>
      <c r="D382" s="82"/>
      <c r="E382" s="363"/>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10" t="s">
        <v>467</v>
      </c>
      <c r="E383" s="351"/>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293" t="s">
        <v>468</v>
      </c>
      <c r="F384" s="82"/>
      <c r="G384" s="82"/>
      <c r="H384" s="82"/>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243"/>
      <c r="AR384" s="364"/>
      <c r="AS384" s="184"/>
      <c r="AT384" s="184"/>
      <c r="AU384" s="184"/>
      <c r="AV384" s="184"/>
      <c r="AW384" s="184"/>
    </row>
    <row r="385" spans="1:49" ht="15">
      <c r="A385" s="82"/>
      <c r="B385" s="82"/>
      <c r="C385" s="82"/>
      <c r="D385" s="82"/>
      <c r="E385" s="363" t="s">
        <v>469</v>
      </c>
      <c r="F385" s="82"/>
      <c r="G385" s="82" t="s">
        <v>304</v>
      </c>
      <c r="H385" s="82" t="s">
        <v>470</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CHOOSE($B$3,ENWL!AP385,NPgN!AP385,NPgY!AP385,WMID!AP385,EMID!AP385,SWALES!AP385,SWEST!AP385,LPN!AP385,SPN!AP385,EPN!AP385,SPD!AP385,SPMW!AP385,SSEH!AP385,SSES!AP385)</f>
        <v>1.5874440000000001</v>
      </c>
      <c r="AQ385" s="477">
        <f>CHOOSE($B$3,ENWL!AQ385,NPgN!AQ385,NPgY!AQ385,WMID!AQ385,EMID!AQ385,SWALES!AQ385,SWEST!AQ385,LPN!AQ385,SPN!AQ385,EPN!AQ385,SPD!AQ385,SPMW!AQ385,SSEH!AQ385,SSES!AQ385)</f>
        <v>1.66398801</v>
      </c>
      <c r="AR385" s="364"/>
      <c r="AS385" s="184"/>
      <c r="AT385" s="184"/>
      <c r="AU385" s="184"/>
      <c r="AV385" s="184"/>
      <c r="AW385" s="184"/>
    </row>
    <row r="386" spans="1:49" ht="15">
      <c r="A386" s="82"/>
      <c r="B386" s="82"/>
      <c r="C386" s="82"/>
      <c r="D386" s="82"/>
      <c r="E386" s="363" t="s">
        <v>471</v>
      </c>
      <c r="F386" s="82"/>
      <c r="G386" s="82" t="s">
        <v>399</v>
      </c>
      <c r="H386" s="82" t="s">
        <v>472</v>
      </c>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476">
        <f>CHOOSE($B$3,ENWL!AP386,NPgN!AP386,NPgY!AP386,WMID!AP386,EMID!AP386,SWALES!AP386,SWEST!AP386,LPN!AP386,SPN!AP386,EPN!AP386,SPD!AP386,SPMW!AP386,SSEH!AP386,SSES!AP386)</f>
        <v>0.8</v>
      </c>
      <c r="AQ386" s="477">
        <f>CHOOSE($B$3,ENWL!AQ386,NPgN!AQ386,NPgY!AQ386,WMID!AQ386,EMID!AQ386,SWALES!AQ386,SWEST!AQ386,LPN!AQ386,SPN!AQ386,EPN!AQ386,SPD!AQ386,SPMW!AQ386,SSEH!AQ386,SSES!AQ386)</f>
        <v>0.8</v>
      </c>
      <c r="AR386" s="364"/>
      <c r="AS386" s="184"/>
      <c r="AT386" s="184"/>
      <c r="AU386" s="184"/>
      <c r="AV386" s="184"/>
      <c r="AW386" s="184"/>
    </row>
    <row r="387" spans="1:49" ht="15">
      <c r="A387" s="82"/>
      <c r="B387" s="82"/>
      <c r="C387" s="82"/>
      <c r="D387" s="82"/>
      <c r="E387" s="293" t="s">
        <v>473</v>
      </c>
      <c r="F387" s="82"/>
      <c r="G387" s="82"/>
      <c r="H387" s="82"/>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243"/>
      <c r="AR387" s="364"/>
      <c r="AS387" s="184"/>
      <c r="AT387" s="184"/>
      <c r="AU387" s="184"/>
      <c r="AV387" s="184"/>
      <c r="AW387" s="184"/>
    </row>
    <row r="388" spans="1:49" ht="15">
      <c r="A388" s="82"/>
      <c r="B388" s="82"/>
      <c r="C388" s="82"/>
      <c r="D388" s="82"/>
      <c r="E388" s="363" t="s">
        <v>474</v>
      </c>
      <c r="F388" s="82"/>
      <c r="G388" s="82" t="s">
        <v>304</v>
      </c>
      <c r="H388" s="82" t="s">
        <v>475</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CHOOSE($B$3,ENWL!AP388,NPgN!AP388,NPgY!AP388,WMID!AP388,EMID!AP388,SWALES!AP388,SWEST!AP388,LPN!AP388,SPN!AP388,EPN!AP388,SPD!AP388,SPMW!AP388,SSEH!AP388,SSES!AP388)</f>
        <v>20.869119999999999</v>
      </c>
      <c r="AQ388" s="477">
        <f>CHOOSE($B$3,ENWL!AQ388,NPgN!AQ388,NPgY!AQ388,WMID!AQ388,EMID!AQ388,SWALES!AQ388,SWEST!AQ388,LPN!AQ388,SPN!AQ388,EPN!AQ388,SPD!AQ388,SPMW!AQ388,SSEH!AQ388,SSES!AQ388)</f>
        <v>20.869119999999999</v>
      </c>
      <c r="AR388" s="364"/>
      <c r="AS388" s="184"/>
      <c r="AT388" s="184"/>
      <c r="AU388" s="184"/>
      <c r="AV388" s="184"/>
      <c r="AW388" s="184"/>
    </row>
    <row r="389" spans="1:49" ht="15">
      <c r="A389" s="82"/>
      <c r="B389" s="82"/>
      <c r="C389" s="82"/>
      <c r="D389" s="82"/>
      <c r="E389" s="363" t="s">
        <v>476</v>
      </c>
      <c r="F389" s="82"/>
      <c r="G389" s="82" t="s">
        <v>399</v>
      </c>
      <c r="H389" s="82" t="s">
        <v>477</v>
      </c>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476">
        <f>CHOOSE($B$3,ENWL!AP389,NPgN!AP389,NPgY!AP389,WMID!AP389,EMID!AP389,SWALES!AP389,SWEST!AP389,LPN!AP389,SPN!AP389,EPN!AP389,SPD!AP389,SPMW!AP389,SSEH!AP389,SSES!AP389)</f>
        <v>13.3</v>
      </c>
      <c r="AQ389" s="477">
        <f>CHOOSE($B$3,ENWL!AQ389,NPgN!AQ389,NPgY!AQ389,WMID!AQ389,EMID!AQ389,SWALES!AQ389,SWEST!AQ389,LPN!AQ389,SPN!AQ389,EPN!AQ389,SPD!AQ389,SPMW!AQ389,SSEH!AQ389,SSES!AQ389)</f>
        <v>13.3</v>
      </c>
      <c r="AR389" s="364"/>
      <c r="AS389" s="184"/>
      <c r="AT389" s="184"/>
      <c r="AU389" s="184"/>
      <c r="AV389" s="184"/>
      <c r="AW389" s="184"/>
    </row>
    <row r="390" spans="1:49" ht="15">
      <c r="A390" s="82"/>
      <c r="B390" s="82"/>
      <c r="C390" s="82"/>
      <c r="D390" s="82"/>
      <c r="E390" s="293" t="s">
        <v>478</v>
      </c>
      <c r="F390" s="82"/>
      <c r="G390" s="82"/>
      <c r="H390" s="82"/>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243"/>
      <c r="AR390" s="364"/>
      <c r="AS390" s="184"/>
      <c r="AT390" s="184"/>
      <c r="AU390" s="184"/>
      <c r="AV390" s="184"/>
      <c r="AW390" s="184"/>
    </row>
    <row r="391" spans="1:49" ht="15">
      <c r="A391" s="82"/>
      <c r="B391" s="82"/>
      <c r="C391" s="82"/>
      <c r="D391" s="82"/>
      <c r="E391" s="363" t="s">
        <v>479</v>
      </c>
      <c r="F391" s="82"/>
      <c r="G391" s="82" t="s">
        <v>304</v>
      </c>
      <c r="H391" s="82" t="s">
        <v>480</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CHOOSE($B$3,ENWL!AP391,NPgN!AP391,NPgY!AP391,WMID!AP391,EMID!AP391,SWALES!AP391,SWEST!AP391,LPN!AP391,SPN!AP391,EPN!AP391,SPD!AP391,SPMW!AP391,SSEH!AP391,SSES!AP391)</f>
        <v>7.7663137200000003</v>
      </c>
      <c r="AQ391" s="477">
        <f>CHOOSE($B$3,ENWL!AQ391,NPgN!AQ391,NPgY!AQ391,WMID!AQ391,EMID!AQ391,SWALES!AQ391,SWEST!AQ391,LPN!AQ391,SPN!AQ391,EPN!AQ391,SPD!AQ391,SPMW!AQ391,SSEH!AQ391,SSES!AQ391)</f>
        <v>11.326099970000001</v>
      </c>
      <c r="AR391" s="364"/>
      <c r="AS391" s="184"/>
      <c r="AT391" s="184"/>
      <c r="AU391" s="184"/>
      <c r="AV391" s="184"/>
      <c r="AW391" s="184"/>
    </row>
    <row r="392" spans="1:49" ht="15">
      <c r="A392" s="82"/>
      <c r="B392" s="82"/>
      <c r="C392" s="82"/>
      <c r="D392" s="82"/>
      <c r="E392" s="363" t="s">
        <v>481</v>
      </c>
      <c r="F392" s="82"/>
      <c r="G392" s="82" t="s">
        <v>399</v>
      </c>
      <c r="H392" s="82" t="s">
        <v>482</v>
      </c>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476">
        <f>CHOOSE($B$3,ENWL!AP392,NPgN!AP392,NPgY!AP392,WMID!AP392,EMID!AP392,SWALES!AP392,SWEST!AP392,LPN!AP392,SPN!AP392,EPN!AP392,SPD!AP392,SPMW!AP392,SSEH!AP392,SSES!AP392)</f>
        <v>8.9</v>
      </c>
      <c r="AQ392" s="477">
        <f>CHOOSE($B$3,ENWL!AQ392,NPgN!AQ392,NPgY!AQ392,WMID!AQ392,EMID!AQ392,SWALES!AQ392,SWEST!AQ392,LPN!AQ392,SPN!AQ392,EPN!AQ392,SPD!AQ392,SPMW!AQ392,SSEH!AQ392,SSES!AQ392)</f>
        <v>9</v>
      </c>
      <c r="AR392" s="364"/>
      <c r="AS392" s="184"/>
      <c r="AT392" s="184"/>
      <c r="AU392" s="184"/>
      <c r="AV392" s="184"/>
      <c r="AW392" s="184"/>
    </row>
    <row r="393" spans="1:49" ht="15">
      <c r="A393" s="82"/>
      <c r="B393" s="82"/>
      <c r="C393" s="82"/>
      <c r="D393" s="82"/>
      <c r="E393" s="293" t="s">
        <v>483</v>
      </c>
      <c r="F393" s="82"/>
      <c r="G393" s="82"/>
      <c r="H393" s="82"/>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243"/>
      <c r="AR393" s="364"/>
      <c r="AS393" s="184"/>
      <c r="AT393" s="184"/>
      <c r="AU393" s="184"/>
      <c r="AV393" s="184"/>
      <c r="AW393" s="184"/>
    </row>
    <row r="394" spans="1:49" ht="15">
      <c r="A394" s="82"/>
      <c r="B394" s="82"/>
      <c r="C394" s="82"/>
      <c r="D394" s="82"/>
      <c r="E394" s="363" t="s">
        <v>484</v>
      </c>
      <c r="F394" s="82"/>
      <c r="G394" s="82" t="s">
        <v>304</v>
      </c>
      <c r="H394" s="82" t="s">
        <v>485</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CHOOSE($B$3,ENWL!AP394,NPgN!AP394,NPgY!AP394,WMID!AP394,EMID!AP394,SWALES!AP394,SWEST!AP394,LPN!AP394,SPN!AP394,EPN!AP394,SPD!AP394,SPMW!AP394,SSEH!AP394,SSES!AP394)</f>
        <v>1.7514029100000001</v>
      </c>
      <c r="AQ394" s="477">
        <f>CHOOSE($B$3,ENWL!AQ394,NPgN!AQ394,NPgY!AQ394,WMID!AQ394,EMID!AQ394,SWALES!AQ394,SWEST!AQ394,LPN!AQ394,SPN!AQ394,EPN!AQ394,SPD!AQ394,SPMW!AQ394,SSEH!AQ394,SSES!AQ394)</f>
        <v>1.8716212100000003</v>
      </c>
      <c r="AR394" s="364"/>
      <c r="AS394" s="184"/>
      <c r="AT394" s="184"/>
      <c r="AU394" s="184"/>
      <c r="AV394" s="184"/>
      <c r="AW394" s="184"/>
    </row>
    <row r="395" spans="1:49" ht="15">
      <c r="A395" s="82"/>
      <c r="B395" s="82"/>
      <c r="C395" s="82"/>
      <c r="D395" s="82"/>
      <c r="E395" s="363" t="s">
        <v>486</v>
      </c>
      <c r="F395" s="82"/>
      <c r="G395" s="82" t="s">
        <v>399</v>
      </c>
      <c r="H395" s="82" t="s">
        <v>487</v>
      </c>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476">
        <f>CHOOSE($B$3,ENWL!AP395,NPgN!AP395,NPgY!AP395,WMID!AP395,EMID!AP395,SWALES!AP395,SWEST!AP395,LPN!AP395,SPN!AP395,EPN!AP395,SPD!AP395,SPMW!AP395,SSEH!AP395,SSES!AP395)</f>
        <v>0</v>
      </c>
      <c r="AQ395" s="477">
        <f>CHOOSE($B$3,ENWL!AQ395,NPgN!AQ395,NPgY!AQ395,WMID!AQ395,EMID!AQ395,SWALES!AQ395,SWEST!AQ395,LPN!AQ395,SPN!AQ395,EPN!AQ395,SPD!AQ395,SPMW!AQ395,SSEH!AQ395,SSES!AQ395)</f>
        <v>0</v>
      </c>
      <c r="AR395" s="364"/>
      <c r="AS395" s="184"/>
      <c r="AT395" s="184"/>
      <c r="AU395" s="184"/>
      <c r="AV395" s="184"/>
      <c r="AW395" s="184"/>
    </row>
    <row r="396" spans="1:49" ht="15">
      <c r="A396" s="82"/>
      <c r="B396" s="82"/>
      <c r="C396" s="82"/>
      <c r="D396" s="82"/>
      <c r="E396" s="293" t="s">
        <v>488</v>
      </c>
      <c r="F396" s="82"/>
      <c r="G396" s="82"/>
      <c r="H396" s="82"/>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243"/>
      <c r="AR396" s="364"/>
      <c r="AS396" s="184"/>
      <c r="AT396" s="184"/>
      <c r="AU396" s="184"/>
      <c r="AV396" s="184"/>
      <c r="AW396" s="184"/>
    </row>
    <row r="397" spans="1:49" ht="15">
      <c r="A397" s="82"/>
      <c r="B397" s="82"/>
      <c r="C397" s="82"/>
      <c r="D397" s="82"/>
      <c r="E397" s="363" t="s">
        <v>489</v>
      </c>
      <c r="F397" s="82"/>
      <c r="G397" s="82" t="s">
        <v>304</v>
      </c>
      <c r="H397" s="82" t="s">
        <v>490</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CHOOSE($B$3,ENWL!AP397,NPgN!AP397,NPgY!AP397,WMID!AP397,EMID!AP397,SWALES!AP397,SWEST!AP397,LPN!AP397,SPN!AP397,EPN!AP397,SPD!AP397,SPMW!AP397,SSEH!AP397,SSES!AP397)</f>
        <v>1.0168446550000001</v>
      </c>
      <c r="AQ397" s="477">
        <f>CHOOSE($B$3,ENWL!AQ397,NPgN!AQ397,NPgY!AQ397,WMID!AQ397,EMID!AQ397,SWALES!AQ397,SWEST!AQ397,LPN!AQ397,SPN!AQ397,EPN!AQ397,SPD!AQ397,SPMW!AQ397,SSEH!AQ397,SSES!AQ397)</f>
        <v>0.77735213000000003</v>
      </c>
      <c r="AR397" s="364"/>
      <c r="AS397" s="184"/>
      <c r="AT397" s="184"/>
      <c r="AU397" s="184"/>
      <c r="AV397" s="184"/>
      <c r="AW397" s="184"/>
    </row>
    <row r="398" spans="1:49" ht="15">
      <c r="A398" s="82"/>
      <c r="B398" s="82"/>
      <c r="C398" s="82"/>
      <c r="D398" s="82"/>
      <c r="E398" s="363" t="s">
        <v>491</v>
      </c>
      <c r="F398" s="82"/>
      <c r="G398" s="82" t="s">
        <v>399</v>
      </c>
      <c r="H398" s="82" t="s">
        <v>492</v>
      </c>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476">
        <f>CHOOSE($B$3,ENWL!AP398,NPgN!AP398,NPgY!AP398,WMID!AP398,EMID!AP398,SWALES!AP398,SWEST!AP398,LPN!AP398,SPN!AP398,EPN!AP398,SPD!AP398,SPMW!AP398,SSEH!AP398,SSES!AP398)</f>
        <v>0</v>
      </c>
      <c r="AQ398" s="477">
        <f>CHOOSE($B$3,ENWL!AQ398,NPgN!AQ398,NPgY!AQ398,WMID!AQ398,EMID!AQ398,SWALES!AQ398,SWEST!AQ398,LPN!AQ398,SPN!AQ398,EPN!AQ398,SPD!AQ398,SPMW!AQ398,SSEH!AQ398,SSES!AQ398)</f>
        <v>0</v>
      </c>
      <c r="AR398" s="364"/>
      <c r="AS398" s="184"/>
      <c r="AT398" s="184"/>
      <c r="AU398" s="184"/>
      <c r="AV398" s="184"/>
      <c r="AW398" s="184"/>
    </row>
    <row r="399" spans="1:49" ht="15">
      <c r="A399" s="82"/>
      <c r="B399" s="82"/>
      <c r="C399" s="82"/>
      <c r="D399" s="82"/>
      <c r="E399" s="293" t="s">
        <v>493</v>
      </c>
      <c r="F399" s="82"/>
      <c r="G399" s="82"/>
      <c r="H399" s="82"/>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243"/>
      <c r="AR399" s="364"/>
      <c r="AS399" s="184"/>
      <c r="AT399" s="184"/>
      <c r="AU399" s="184"/>
      <c r="AV399" s="184"/>
      <c r="AW399" s="184"/>
    </row>
    <row r="400" spans="1:49" ht="15">
      <c r="A400" s="82"/>
      <c r="B400" s="82"/>
      <c r="C400" s="82"/>
      <c r="D400" s="82"/>
      <c r="E400" s="363" t="s">
        <v>494</v>
      </c>
      <c r="F400" s="82"/>
      <c r="G400" s="82" t="s">
        <v>304</v>
      </c>
      <c r="H400" s="82" t="s">
        <v>495</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CHOOSE($B$3,ENWL!AP400,NPgN!AP400,NPgY!AP400,WMID!AP400,EMID!AP400,SWALES!AP400,SWEST!AP400,LPN!AP400,SPN!AP400,EPN!AP400,SPD!AP400,SPMW!AP400,SSEH!AP400,SSES!AP400)</f>
        <v>3.4057440000000001E-2</v>
      </c>
      <c r="AQ400" s="477">
        <f>CHOOSE($B$3,ENWL!AQ400,NPgN!AQ400,NPgY!AQ400,WMID!AQ400,EMID!AQ400,SWALES!AQ400,SWEST!AQ400,LPN!AQ400,SPN!AQ400,EPN!AQ400,SPD!AQ400,SPMW!AQ400,SSEH!AQ400,SSES!AQ400)</f>
        <v>3.6031769999999998E-2</v>
      </c>
      <c r="AR400" s="364"/>
      <c r="AS400" s="184"/>
      <c r="AT400" s="184"/>
      <c r="AU400" s="184"/>
      <c r="AV400" s="184"/>
      <c r="AW400" s="184"/>
    </row>
    <row r="401" spans="1:49" ht="15">
      <c r="A401" s="82"/>
      <c r="B401" s="82"/>
      <c r="C401" s="82"/>
      <c r="D401" s="82"/>
      <c r="E401" s="363" t="s">
        <v>496</v>
      </c>
      <c r="F401" s="82"/>
      <c r="G401" s="82" t="s">
        <v>399</v>
      </c>
      <c r="H401" s="82" t="s">
        <v>497</v>
      </c>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476">
        <f>CHOOSE($B$3,ENWL!AP401,NPgN!AP401,NPgY!AP401,WMID!AP401,EMID!AP401,SWALES!AP401,SWEST!AP401,LPN!AP401,SPN!AP401,EPN!AP401,SPD!AP401,SPMW!AP401,SSEH!AP401,SSES!AP401)</f>
        <v>0</v>
      </c>
      <c r="AQ401" s="477">
        <f>CHOOSE($B$3,ENWL!AQ401,NPgN!AQ401,NPgY!AQ401,WMID!AQ401,EMID!AQ401,SWALES!AQ401,SWEST!AQ401,LPN!AQ401,SPN!AQ401,EPN!AQ401,SPD!AQ401,SPMW!AQ401,SSEH!AQ401,SSES!AQ401)</f>
        <v>0</v>
      </c>
      <c r="AR401" s="364"/>
      <c r="AS401" s="184"/>
      <c r="AT401" s="184"/>
      <c r="AU401" s="184"/>
      <c r="AV401" s="184"/>
      <c r="AW401" s="184"/>
    </row>
    <row r="402" spans="1:49" ht="15">
      <c r="A402" s="82"/>
      <c r="B402" s="82"/>
      <c r="C402" s="82"/>
      <c r="D402" s="82"/>
      <c r="E402" s="293" t="s">
        <v>498</v>
      </c>
      <c r="F402" s="82"/>
      <c r="G402" s="82"/>
      <c r="H402" s="82"/>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243"/>
      <c r="AR402" s="364"/>
      <c r="AS402" s="184"/>
      <c r="AT402" s="184"/>
      <c r="AU402" s="184"/>
      <c r="AV402" s="184"/>
      <c r="AW402" s="184"/>
    </row>
    <row r="403" spans="1:49" ht="15">
      <c r="A403" s="82"/>
      <c r="B403" s="82"/>
      <c r="C403" s="82"/>
      <c r="D403" s="82"/>
      <c r="E403" s="363" t="s">
        <v>499</v>
      </c>
      <c r="F403" s="82"/>
      <c r="G403" s="82" t="s">
        <v>304</v>
      </c>
      <c r="H403" s="82" t="s">
        <v>500</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CHOOSE($B$3,ENWL!AP403,NPgN!AP403,NPgY!AP403,WMID!AP403,EMID!AP403,SWALES!AP403,SWEST!AP403,LPN!AP403,SPN!AP403,EPN!AP403,SPD!AP403,SPMW!AP403,SSEH!AP403,SSES!AP403)</f>
        <v>0</v>
      </c>
      <c r="AQ403" s="477">
        <f>CHOOSE($B$3,ENWL!AQ403,NPgN!AQ403,NPgY!AQ403,WMID!AQ403,EMID!AQ403,SWALES!AQ403,SWEST!AQ403,LPN!AQ403,SPN!AQ403,EPN!AQ403,SPD!AQ403,SPMW!AQ403,SSEH!AQ403,SSES!AQ403)</f>
        <v>0</v>
      </c>
      <c r="AR403" s="364"/>
      <c r="AS403" s="184"/>
      <c r="AT403" s="184"/>
      <c r="AU403" s="184"/>
      <c r="AV403" s="184"/>
      <c r="AW403" s="184"/>
    </row>
    <row r="404" spans="1:49" ht="15">
      <c r="A404" s="82"/>
      <c r="B404" s="82"/>
      <c r="C404" s="82"/>
      <c r="D404" s="82"/>
      <c r="E404" s="363" t="s">
        <v>501</v>
      </c>
      <c r="F404" s="82"/>
      <c r="G404" s="82" t="s">
        <v>399</v>
      </c>
      <c r="H404" s="82" t="s">
        <v>502</v>
      </c>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476">
        <f>CHOOSE($B$3,ENWL!AP404,NPgN!AP404,NPgY!AP404,WMID!AP404,EMID!AP404,SWALES!AP404,SWEST!AP404,LPN!AP404,SPN!AP404,EPN!AP404,SPD!AP404,SPMW!AP404,SSEH!AP404,SSES!AP404)</f>
        <v>0</v>
      </c>
      <c r="AQ404" s="477">
        <f>CHOOSE($B$3,ENWL!AQ404,NPgN!AQ404,NPgY!AQ404,WMID!AQ404,EMID!AQ404,SWALES!AQ404,SWEST!AQ404,LPN!AQ404,SPN!AQ404,EPN!AQ404,SPD!AQ404,SPMW!AQ404,SSEH!AQ404,SSES!AQ404)</f>
        <v>0</v>
      </c>
      <c r="AR404" s="364"/>
      <c r="AS404" s="184"/>
      <c r="AT404" s="184"/>
      <c r="AU404" s="184"/>
      <c r="AV404" s="184"/>
      <c r="AW404" s="184"/>
    </row>
    <row r="405" spans="1:49" ht="15">
      <c r="A405" s="82"/>
      <c r="B405" s="82"/>
      <c r="C405" s="82"/>
      <c r="D405" s="82"/>
      <c r="E405" s="293" t="s">
        <v>503</v>
      </c>
      <c r="F405" s="82"/>
      <c r="G405" s="82"/>
      <c r="H405" s="82"/>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243"/>
      <c r="AR405" s="364"/>
      <c r="AS405" s="184"/>
      <c r="AT405" s="184"/>
      <c r="AU405" s="184"/>
      <c r="AV405" s="184"/>
      <c r="AW405" s="184"/>
    </row>
    <row r="406" spans="1:49" ht="15">
      <c r="A406" s="82"/>
      <c r="B406" s="82"/>
      <c r="C406" s="82"/>
      <c r="D406" s="82"/>
      <c r="E406" s="363" t="s">
        <v>504</v>
      </c>
      <c r="F406" s="82"/>
      <c r="G406" s="82" t="s">
        <v>304</v>
      </c>
      <c r="H406" s="82" t="s">
        <v>505</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CHOOSE($B$3,ENWL!AP406,NPgN!AP406,NPgY!AP406,WMID!AP406,EMID!AP406,SWALES!AP406,SWEST!AP406,LPN!AP406,SPN!AP406,EPN!AP406,SPD!AP406,SPMW!AP406,SSEH!AP406,SSES!AP406)</f>
        <v>0</v>
      </c>
      <c r="AQ406" s="477">
        <f>CHOOSE($B$3,ENWL!AQ406,NPgN!AQ406,NPgY!AQ406,WMID!AQ406,EMID!AQ406,SWALES!AQ406,SWEST!AQ406,LPN!AQ406,SPN!AQ406,EPN!AQ406,SPD!AQ406,SPMW!AQ406,SSEH!AQ406,SSES!AQ406)</f>
        <v>0</v>
      </c>
      <c r="AR406" s="364"/>
      <c r="AS406" s="184"/>
      <c r="AT406" s="184"/>
      <c r="AU406" s="184"/>
      <c r="AV406" s="184"/>
      <c r="AW406" s="184"/>
    </row>
    <row r="407" spans="1:49" ht="15">
      <c r="A407" s="82"/>
      <c r="B407" s="82"/>
      <c r="C407" s="82"/>
      <c r="D407" s="82"/>
      <c r="E407" s="363" t="s">
        <v>506</v>
      </c>
      <c r="F407" s="82"/>
      <c r="G407" s="82" t="s">
        <v>399</v>
      </c>
      <c r="H407" s="82" t="s">
        <v>507</v>
      </c>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476">
        <f>CHOOSE($B$3,ENWL!AP407,NPgN!AP407,NPgY!AP407,WMID!AP407,EMID!AP407,SWALES!AP407,SWEST!AP407,LPN!AP407,SPN!AP407,EPN!AP407,SPD!AP407,SPMW!AP407,SSEH!AP407,SSES!AP407)</f>
        <v>0</v>
      </c>
      <c r="AQ407" s="477">
        <f>CHOOSE($B$3,ENWL!AQ407,NPgN!AQ407,NPgY!AQ407,WMID!AQ407,EMID!AQ407,SWALES!AQ407,SWEST!AQ407,LPN!AQ407,SPN!AQ407,EPN!AQ407,SPD!AQ407,SPMW!AQ407,SSEH!AQ407,SSES!AQ407)</f>
        <v>0</v>
      </c>
      <c r="AR407" s="364"/>
      <c r="AS407" s="184"/>
      <c r="AT407" s="184"/>
      <c r="AU407" s="184"/>
      <c r="AV407" s="184"/>
      <c r="AW407" s="184"/>
    </row>
    <row r="408" spans="1:49" ht="15">
      <c r="A408" s="82"/>
      <c r="B408" s="82"/>
      <c r="C408" s="82"/>
      <c r="D408" s="82"/>
      <c r="E408" s="293" t="s">
        <v>508</v>
      </c>
      <c r="F408" s="82"/>
      <c r="G408" s="82"/>
      <c r="H408" s="82"/>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243"/>
      <c r="AR408" s="364"/>
      <c r="AS408" s="184"/>
      <c r="AT408" s="184"/>
      <c r="AU408" s="184"/>
      <c r="AV408" s="184"/>
      <c r="AW408" s="184"/>
    </row>
    <row r="409" spans="1:49" ht="15">
      <c r="A409" s="82"/>
      <c r="B409" s="82"/>
      <c r="C409" s="82"/>
      <c r="D409" s="82"/>
      <c r="E409" s="363" t="s">
        <v>509</v>
      </c>
      <c r="F409" s="82"/>
      <c r="G409" s="82" t="s">
        <v>304</v>
      </c>
      <c r="H409" s="82" t="s">
        <v>510</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CHOOSE($B$3,ENWL!AP409,NPgN!AP409,NPgY!AP409,WMID!AP409,EMID!AP409,SWALES!AP409,SWEST!AP409,LPN!AP409,SPN!AP409,EPN!AP409,SPD!AP409,SPMW!AP409,SSEH!AP409,SSES!AP409)</f>
        <v>0</v>
      </c>
      <c r="AQ409" s="477">
        <f>CHOOSE($B$3,ENWL!AQ409,NPgN!AQ409,NPgY!AQ409,WMID!AQ409,EMID!AQ409,SWALES!AQ409,SWEST!AQ409,LPN!AQ409,SPN!AQ409,EPN!AQ409,SPD!AQ409,SPMW!AQ409,SSEH!AQ409,SSES!AQ409)</f>
        <v>0</v>
      </c>
      <c r="AR409" s="364"/>
      <c r="AS409" s="184"/>
      <c r="AT409" s="184"/>
      <c r="AU409" s="184"/>
      <c r="AV409" s="184"/>
      <c r="AW409" s="184"/>
    </row>
    <row r="410" spans="1:49" ht="15">
      <c r="A410" s="82"/>
      <c r="B410" s="82"/>
      <c r="C410" s="82"/>
      <c r="D410" s="82"/>
      <c r="E410" s="363" t="s">
        <v>511</v>
      </c>
      <c r="F410" s="82"/>
      <c r="G410" s="82" t="s">
        <v>399</v>
      </c>
      <c r="H410" s="82" t="s">
        <v>512</v>
      </c>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476">
        <f>CHOOSE($B$3,ENWL!AP410,NPgN!AP410,NPgY!AP410,WMID!AP410,EMID!AP410,SWALES!AP410,SWEST!AP410,LPN!AP410,SPN!AP410,EPN!AP410,SPD!AP410,SPMW!AP410,SSEH!AP410,SSES!AP410)</f>
        <v>0</v>
      </c>
      <c r="AQ410" s="477">
        <f>CHOOSE($B$3,ENWL!AQ410,NPgN!AQ410,NPgY!AQ410,WMID!AQ410,EMID!AQ410,SWALES!AQ410,SWEST!AQ410,LPN!AQ410,SPN!AQ410,EPN!AQ410,SPD!AQ410,SPMW!AQ410,SSEH!AQ410,SSES!AQ410)</f>
        <v>0</v>
      </c>
      <c r="AR410" s="364"/>
      <c r="AS410" s="184"/>
      <c r="AT410" s="184"/>
      <c r="AU410" s="184"/>
      <c r="AV410" s="184"/>
      <c r="AW410" s="184"/>
    </row>
    <row r="411" spans="1:49" ht="15">
      <c r="A411" s="82"/>
      <c r="B411" s="82"/>
      <c r="C411" s="82"/>
      <c r="D411" s="82"/>
      <c r="E411" s="293" t="s">
        <v>513</v>
      </c>
      <c r="F411" s="82"/>
      <c r="G411" s="82"/>
      <c r="H411" s="82"/>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243"/>
      <c r="AR411" s="364"/>
      <c r="AS411" s="184"/>
      <c r="AT411" s="184"/>
      <c r="AU411" s="184"/>
      <c r="AV411" s="184"/>
      <c r="AW411" s="184"/>
    </row>
    <row r="412" spans="1:49" ht="15">
      <c r="A412" s="82"/>
      <c r="B412" s="82"/>
      <c r="C412" s="82"/>
      <c r="D412" s="82"/>
      <c r="E412" s="363" t="s">
        <v>514</v>
      </c>
      <c r="F412" s="82"/>
      <c r="G412" s="82" t="s">
        <v>304</v>
      </c>
      <c r="H412" s="82" t="s">
        <v>515</v>
      </c>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476">
        <f>CHOOSE($B$3,ENWL!AP412,NPgN!AP412,NPgY!AP412,WMID!AP412,EMID!AP412,SWALES!AP412,SWEST!AP412,LPN!AP412,SPN!AP412,EPN!AP412,SPD!AP412,SPMW!AP412,SSEH!AP412,SSES!AP412)</f>
        <v>0.55616246000000003</v>
      </c>
      <c r="AQ412" s="477">
        <f>CHOOSE($B$3,ENWL!AQ412,NPgN!AQ412,NPgY!AQ412,WMID!AQ412,EMID!AQ412,SWALES!AQ412,SWEST!AQ412,LPN!AQ412,SPN!AQ412,EPN!AQ412,SPD!AQ412,SPMW!AQ412,SSEH!AQ412,SSES!AQ412)</f>
        <v>1.1573850599999957</v>
      </c>
      <c r="AR412" s="364"/>
      <c r="AS412" s="184"/>
      <c r="AT412" s="184"/>
      <c r="AU412" s="184"/>
      <c r="AV412" s="184"/>
      <c r="AW412" s="184"/>
    </row>
    <row r="413" spans="1:49" ht="15">
      <c r="A413" s="82"/>
      <c r="B413" s="82"/>
      <c r="C413" s="82"/>
      <c r="D413" s="82"/>
      <c r="E413" s="293" t="s">
        <v>516</v>
      </c>
      <c r="F413" s="82"/>
      <c r="G413" s="82"/>
      <c r="H413" s="82"/>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243"/>
      <c r="AR413" s="364"/>
      <c r="AS413" s="184"/>
      <c r="AT413" s="184"/>
      <c r="AU413" s="184"/>
      <c r="AV413" s="184"/>
      <c r="AW413" s="184"/>
    </row>
    <row r="414" spans="1:49" ht="15">
      <c r="A414" s="82"/>
      <c r="B414" s="82"/>
      <c r="C414" s="82"/>
      <c r="D414" s="82"/>
      <c r="E414" s="363" t="s">
        <v>517</v>
      </c>
      <c r="F414" s="82"/>
      <c r="G414" s="82" t="s">
        <v>304</v>
      </c>
      <c r="H414" s="82" t="s">
        <v>518</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CHOOSE($B$3,ENWL!AO414,NPgN!AO414,NPgY!AO414,WMID!AO414,EMID!AO414,SWALES!AO414,SWEST!AO414,LPN!AO414,SPN!AO414,EPN!AO414,SPD!AO414,SPMW!AO414,SSEH!AO414,SSES!AO414)</f>
        <v>0.62224200833333332</v>
      </c>
      <c r="AP414" s="476">
        <f>CHOOSE($B$3,ENWL!AP414,NPgN!AP414,NPgY!AP414,WMID!AP414,EMID!AP414,SWALES!AP414,SWEST!AP414,LPN!AP414,SPN!AP414,EPN!AP414,SPD!AP414,SPMW!AP414,SSEH!AP414,SSES!AP414)</f>
        <v>2.2745069449999997</v>
      </c>
      <c r="AQ414" s="477">
        <f>CHOOSE($B$3,ENWL!AQ414,NPgN!AQ414,NPgY!AQ414,WMID!AQ414,EMID!AQ414,SWALES!AQ414,SWEST!AQ414,LPN!AQ414,SPN!AQ414,EPN!AQ414,SPD!AQ414,SPMW!AQ414,SSEH!AQ414,SSES!AQ414)</f>
        <v>1.6846693333333343E-2</v>
      </c>
      <c r="AR414" s="145"/>
      <c r="AS414" s="184"/>
      <c r="AT414" s="184"/>
      <c r="AU414" s="184"/>
      <c r="AV414" s="184"/>
      <c r="AW414" s="184"/>
    </row>
    <row r="415" spans="1:49" ht="15">
      <c r="A415" s="82"/>
      <c r="B415" s="82"/>
      <c r="C415" s="82"/>
      <c r="D415" s="82"/>
      <c r="E415" s="363" t="s">
        <v>519</v>
      </c>
      <c r="F415" s="82"/>
      <c r="G415" s="82" t="s">
        <v>304</v>
      </c>
      <c r="H415" s="82" t="s">
        <v>520</v>
      </c>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476">
        <f>CHOOSE($B$3,ENWL!AO415,NPgN!AO415,NPgY!AO415,WMID!AO415,EMID!AO415,SWALES!AO415,SWEST!AO415,LPN!AO415,SPN!AO415,EPN!AO415,SPD!AO415,SPMW!AO415,SSEH!AO415,SSES!AO415)</f>
        <v>1.3628950000000001E-2</v>
      </c>
      <c r="AP415" s="476">
        <f>CHOOSE($B$3,ENWL!AP415,NPgN!AP415,NPgY!AP415,WMID!AP415,EMID!AP415,SWALES!AP415,SWEST!AP415,LPN!AP415,SPN!AP415,EPN!AP415,SPD!AP415,SPMW!AP415,SSEH!AP415,SSES!AP415)</f>
        <v>6.9366575E-2</v>
      </c>
      <c r="AQ415" s="477">
        <f>CHOOSE($B$3,ENWL!AQ415,NPgN!AQ415,NPgY!AQ415,WMID!AQ415,EMID!AQ415,SWALES!AQ415,SWEST!AQ415,LPN!AQ415,SPN!AQ415,EPN!AQ415,SPD!AQ415,SPMW!AQ415,SSEH!AQ415,SSES!AQ415)</f>
        <v>7.409898333333334E-2</v>
      </c>
      <c r="AR415" s="145"/>
      <c r="AS415" s="184"/>
      <c r="AT415" s="184"/>
      <c r="AU415" s="184"/>
      <c r="AV415" s="184"/>
      <c r="AW415" s="184"/>
    </row>
    <row r="416" spans="1:49" ht="15">
      <c r="A416" s="82"/>
      <c r="B416" s="82"/>
      <c r="C416" s="82"/>
      <c r="D416" s="82"/>
      <c r="E416" s="293" t="s">
        <v>521</v>
      </c>
      <c r="F416" s="82"/>
      <c r="G416" s="82"/>
      <c r="H416" s="82"/>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243"/>
      <c r="AR416" s="145"/>
      <c r="AS416" s="184"/>
      <c r="AT416" s="184"/>
      <c r="AU416" s="184"/>
      <c r="AV416" s="184"/>
      <c r="AW416" s="184"/>
    </row>
    <row r="417" spans="1:49" ht="15">
      <c r="A417" s="82"/>
      <c r="B417" s="82"/>
      <c r="C417" s="82"/>
      <c r="D417" s="82"/>
      <c r="E417" s="363" t="s">
        <v>522</v>
      </c>
      <c r="F417" s="82"/>
      <c r="G417" s="82" t="s">
        <v>304</v>
      </c>
      <c r="H417" s="82" t="s">
        <v>523</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CHOOSE($B$3,ENWL!AP417,NPgN!AP417,NPgY!AP417,WMID!AP417,EMID!AP417,SWALES!AP417,SWEST!AP417,LPN!AP417,SPN!AP417,EPN!AP417,SPD!AP417,SPMW!AP417,SSEH!AP417,SSES!AP417)</f>
        <v>0</v>
      </c>
      <c r="AQ417" s="477">
        <f>CHOOSE($B$3,ENWL!AQ417,NPgN!AQ417,NPgY!AQ417,WMID!AQ417,EMID!AQ417,SWALES!AQ417,SWEST!AQ417,LPN!AQ417,SPN!AQ417,EPN!AQ417,SPD!AQ417,SPMW!AQ417,SSEH!AQ417,SSES!AQ417)</f>
        <v>0</v>
      </c>
      <c r="AR417" s="145"/>
      <c r="AS417" s="184"/>
      <c r="AT417" s="184"/>
      <c r="AU417" s="184"/>
      <c r="AV417" s="184"/>
      <c r="AW417" s="184"/>
    </row>
    <row r="418" spans="1:49" ht="15">
      <c r="A418" s="82"/>
      <c r="B418" s="82"/>
      <c r="C418" s="82"/>
      <c r="D418" s="82"/>
      <c r="E418" s="363" t="s">
        <v>524</v>
      </c>
      <c r="F418" s="82"/>
      <c r="G418" s="82" t="s">
        <v>304</v>
      </c>
      <c r="H418" s="82" t="s">
        <v>525</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CHOOSE($B$3,ENWL!AP418,NPgN!AP418,NPgY!AP418,WMID!AP418,EMID!AP418,SWALES!AP418,SWEST!AP418,LPN!AP418,SPN!AP418,EPN!AP418,SPD!AP418,SPMW!AP418,SSEH!AP418,SSES!AP418)</f>
        <v>0</v>
      </c>
      <c r="AQ418" s="477">
        <f>CHOOSE($B$3,ENWL!AQ418,NPgN!AQ418,NPgY!AQ418,WMID!AQ418,EMID!AQ418,SWALES!AQ418,SWEST!AQ418,LPN!AQ418,SPN!AQ418,EPN!AQ418,SPD!AQ418,SPMW!AQ418,SSEH!AQ418,SSES!AQ418)</f>
        <v>0</v>
      </c>
      <c r="AR418" s="145"/>
      <c r="AS418" s="184"/>
      <c r="AT418" s="184"/>
      <c r="AU418" s="184"/>
      <c r="AV418" s="184"/>
      <c r="AW418" s="184"/>
    </row>
    <row r="419" spans="1:49" ht="15">
      <c r="A419" s="82"/>
      <c r="B419" s="82"/>
      <c r="C419" s="82"/>
      <c r="D419" s="82"/>
      <c r="E419" s="363" t="s">
        <v>526</v>
      </c>
      <c r="F419" s="82"/>
      <c r="G419" s="82" t="s">
        <v>304</v>
      </c>
      <c r="H419" s="82" t="s">
        <v>527</v>
      </c>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476">
        <f>CHOOSE($B$3,ENWL!AP419,NPgN!AP419,NPgY!AP419,WMID!AP419,EMID!AP419,SWALES!AP419,SWEST!AP419,LPN!AP419,SPN!AP419,EPN!AP419,SPD!AP419,SPMW!AP419,SSEH!AP419,SSES!AP419)</f>
        <v>0</v>
      </c>
      <c r="AQ419" s="477">
        <f>CHOOSE($B$3,ENWL!AQ419,NPgN!AQ419,NPgY!AQ419,WMID!AQ419,EMID!AQ419,SWALES!AQ419,SWEST!AQ419,LPN!AQ419,SPN!AQ419,EPN!AQ419,SPD!AQ419,SPMW!AQ419,SSEH!AQ419,SSES!AQ419)</f>
        <v>0</v>
      </c>
      <c r="AR419" s="145"/>
      <c r="AS419" s="184"/>
      <c r="AT419" s="184"/>
      <c r="AU419" s="184"/>
      <c r="AV419" s="184"/>
      <c r="AW419" s="184"/>
    </row>
    <row r="420" spans="1:49" ht="15">
      <c r="A420" s="82"/>
      <c r="B420" s="82"/>
      <c r="C420" s="82"/>
      <c r="D420" s="82"/>
      <c r="E420" s="82"/>
      <c r="F420" s="82"/>
      <c r="G420" s="82"/>
      <c r="H420" s="82"/>
      <c r="J420" s="82"/>
      <c r="K420" s="82"/>
      <c r="L420" s="82"/>
      <c r="M420" s="82"/>
      <c r="N420" s="82"/>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243"/>
      <c r="AR420" s="145"/>
      <c r="AS420" s="184"/>
      <c r="AT420" s="184"/>
      <c r="AU420" s="184"/>
      <c r="AV420" s="184"/>
      <c r="AW420" s="184"/>
    </row>
    <row r="421" spans="1:49" ht="15">
      <c r="B421" s="37" t="s">
        <v>79</v>
      </c>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8"/>
      <c r="AR421" s="37"/>
      <c r="AS421" s="37"/>
      <c r="AT421" s="37"/>
      <c r="AU421" s="37"/>
      <c r="AV421" s="37"/>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5">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row>
  </sheetData>
  <conditionalFormatting sqref="I234:I237">
    <cfRule type="cellIs" dxfId="149" priority="46" operator="equal">
      <formula>FALSE()</formula>
    </cfRule>
  </conditionalFormatting>
  <conditionalFormatting sqref="I364">
    <cfRule type="cellIs" dxfId="148" priority="18" operator="equal">
      <formula>FALSE()</formula>
    </cfRule>
  </conditionalFormatting>
  <conditionalFormatting sqref="K211:AQ217 AW211:AW217">
    <cfRule type="cellIs" dxfId="147" priority="43" operator="equal">
      <formula>FALSE()</formula>
    </cfRule>
  </conditionalFormatting>
  <conditionalFormatting sqref="K8:AW210">
    <cfRule type="cellIs" dxfId="146" priority="33" operator="equal">
      <formula>FALSE()</formula>
    </cfRule>
  </conditionalFormatting>
  <conditionalFormatting sqref="K218:AW420">
    <cfRule type="cellIs" dxfId="145" priority="1" operator="equal">
      <formula>FALSE()</formula>
    </cfRule>
  </conditionalFormatting>
  <conditionalFormatting sqref="AQ352:AQ353">
    <cfRule type="cellIs" dxfId="144" priority="21" operator="equal">
      <formula>FALSE()</formula>
    </cfRule>
  </conditionalFormatting>
  <conditionalFormatting sqref="AQ355:AQ358">
    <cfRule type="cellIs" dxfId="143" priority="20" operator="equal">
      <formula>FALSE()</formula>
    </cfRule>
  </conditionalFormatting>
  <conditionalFormatting sqref="AQ363">
    <cfRule type="cellIs" dxfId="142" priority="19" operator="equal">
      <formula>FALSE()</formula>
    </cfRule>
  </conditionalFormatting>
  <conditionalFormatting sqref="AQ368:AQ370">
    <cfRule type="cellIs" dxfId="141" priority="17" operator="equal">
      <formula>FALSE()</formula>
    </cfRule>
  </conditionalFormatting>
  <conditionalFormatting sqref="AQ372:AQ374">
    <cfRule type="cellIs" dxfId="140" priority="16" operator="equal">
      <formula>FALSE()</formula>
    </cfRule>
  </conditionalFormatting>
  <conditionalFormatting sqref="AQ378:AQ381">
    <cfRule type="cellIs" dxfId="139" priority="14" operator="equal">
      <formula>FALSE()</formula>
    </cfRule>
  </conditionalFormatting>
  <conditionalFormatting sqref="AQ385:AQ386">
    <cfRule type="cellIs" dxfId="138" priority="13" operator="equal">
      <formula>FALSE()</formula>
    </cfRule>
  </conditionalFormatting>
  <conditionalFormatting sqref="AQ388:AQ389">
    <cfRule type="cellIs" dxfId="137" priority="12" operator="equal">
      <formula>FALSE()</formula>
    </cfRule>
  </conditionalFormatting>
  <conditionalFormatting sqref="AQ391:AQ392">
    <cfRule type="cellIs" dxfId="136" priority="11" operator="equal">
      <formula>FALSE()</formula>
    </cfRule>
  </conditionalFormatting>
  <conditionalFormatting sqref="AQ394:AQ395">
    <cfRule type="cellIs" dxfId="135" priority="10" operator="equal">
      <formula>FALSE()</formula>
    </cfRule>
  </conditionalFormatting>
  <conditionalFormatting sqref="AQ397:AQ398">
    <cfRule type="cellIs" dxfId="134" priority="9" operator="equal">
      <formula>FALSE()</formula>
    </cfRule>
  </conditionalFormatting>
  <conditionalFormatting sqref="AQ400:AQ401">
    <cfRule type="cellIs" dxfId="133" priority="8" operator="equal">
      <formula>FALSE()</formula>
    </cfRule>
  </conditionalFormatting>
  <conditionalFormatting sqref="AQ403:AQ404">
    <cfRule type="cellIs" dxfId="132" priority="7" operator="equal">
      <formula>FALSE()</formula>
    </cfRule>
  </conditionalFormatting>
  <conditionalFormatting sqref="AQ406:AQ407">
    <cfRule type="cellIs" dxfId="131" priority="6" operator="equal">
      <formula>FALSE()</formula>
    </cfRule>
  </conditionalFormatting>
  <conditionalFormatting sqref="AQ409:AQ410">
    <cfRule type="cellIs" dxfId="130" priority="5" operator="equal">
      <formula>FALSE()</formula>
    </cfRule>
  </conditionalFormatting>
  <conditionalFormatting sqref="AQ412">
    <cfRule type="cellIs" dxfId="129" priority="4" operator="equal">
      <formula>FALSE()</formula>
    </cfRule>
  </conditionalFormatting>
  <conditionalFormatting sqref="AQ414:AQ415">
    <cfRule type="cellIs" dxfId="128" priority="3" operator="equal">
      <formula>FALSE()</formula>
    </cfRule>
  </conditionalFormatting>
  <conditionalFormatting sqref="AQ417:AQ419">
    <cfRule type="cellIs" dxfId="127" priority="2" operator="equal">
      <formula>FALSE()</formula>
    </cfRule>
  </conditionalFormatting>
  <conditionalFormatting sqref="AR211:AV211">
    <cfRule type="cellIs" dxfId="126" priority="42" operator="equal">
      <formula>FALSE()</formula>
    </cfRule>
  </conditionalFormatting>
  <conditionalFormatting sqref="AR213:AV217">
    <cfRule type="cellIs" dxfId="125"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142875</xdr:colOff>
                    <xdr:row>0</xdr:row>
                    <xdr:rowOff>28575</xdr:rowOff>
                  </from>
                  <to>
                    <xdr:col>7</xdr:col>
                    <xdr:colOff>152400</xdr:colOff>
                    <xdr:row>0</xdr:row>
                    <xdr:rowOff>180975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22180"/>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22180"/>
  <sheetViews>
    <sheetView zoomScale="85" zoomScaleNormal="85" workbookViewId="0">
      <pane xSplit="10" ySplit="4" topLeftCell="K5" activePane="bottomRight" state="frozen"/>
      <selection sqref="A1:XFD1048576"/>
      <selection pane="topRight" sqref="A1:XFD1048576"/>
      <selection pane="bottomLeft" sqref="A1:XFD1048576"/>
      <selection pane="bottomRight"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49" ht="19.5">
      <c r="A1" s="195" t="s">
        <v>541</v>
      </c>
      <c r="B1" s="181"/>
      <c r="C1" s="181"/>
      <c r="D1" s="181"/>
      <c r="E1" s="275"/>
      <c r="F1" s="331" t="s">
        <v>542</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181"/>
      <c r="AP1" s="181"/>
      <c r="AQ1" s="17"/>
      <c r="AR1" s="171"/>
      <c r="AS1" s="171"/>
      <c r="AT1" s="181"/>
      <c r="AU1" s="181"/>
      <c r="AV1" s="181"/>
      <c r="AW1" s="181"/>
    </row>
    <row r="2" spans="1:49" ht="15">
      <c r="A2" s="181"/>
      <c r="B2" s="157" t="str">
        <f>UserInterface!E30</f>
        <v>NPgN</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5">
      <c r="A6" s="82"/>
      <c r="B6" s="37" t="s">
        <v>543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5">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5">
      <c r="A8" s="82"/>
      <c r="B8" s="2"/>
      <c r="C8" s="28" t="s">
        <v>544</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5">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5">
      <c r="A10" s="82"/>
      <c r="B10" s="2"/>
      <c r="C10" s="2"/>
      <c r="D10" s="2"/>
      <c r="E10" s="7" t="s">
        <v>545</v>
      </c>
      <c r="F10" s="7"/>
      <c r="G10" s="7" t="s">
        <v>277</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5">
      <c r="A11" s="82"/>
      <c r="B11" s="2"/>
      <c r="C11" s="2"/>
      <c r="D11" s="2"/>
      <c r="E11" s="7" t="s">
        <v>546</v>
      </c>
      <c r="F11" s="7"/>
      <c r="G11" s="7" t="s">
        <v>277</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5">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5">
      <c r="A13" s="82"/>
      <c r="B13" s="2"/>
      <c r="C13" s="2"/>
      <c r="D13" s="2"/>
      <c r="E13" s="7" t="s">
        <v>547</v>
      </c>
      <c r="F13" s="7"/>
      <c r="G13" s="7" t="s">
        <v>277</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5">
      <c r="A14" s="82"/>
      <c r="B14" s="2"/>
      <c r="C14" s="2"/>
      <c r="D14" s="2"/>
      <c r="E14" s="7" t="s">
        <v>548</v>
      </c>
      <c r="F14" s="7"/>
      <c r="G14" s="7" t="s">
        <v>277</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5">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5">
      <c r="A16" s="82"/>
      <c r="B16" s="2"/>
      <c r="C16" s="2"/>
      <c r="D16" s="2"/>
      <c r="E16" s="2" t="s">
        <v>549</v>
      </c>
      <c r="F16" s="7"/>
      <c r="G16" s="7" t="s">
        <v>550</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3">
        <f t="shared" si="0"/>
        <v>0</v>
      </c>
      <c r="AR16" s="184">
        <f t="shared" si="0"/>
        <v>0</v>
      </c>
      <c r="AS16" s="184">
        <f t="shared" si="0"/>
        <v>0</v>
      </c>
      <c r="AT16" s="184">
        <f t="shared" si="0"/>
        <v>0</v>
      </c>
      <c r="AU16" s="184">
        <f t="shared" si="0"/>
        <v>0</v>
      </c>
      <c r="AV16" s="184">
        <f t="shared" si="0"/>
        <v>0</v>
      </c>
    </row>
    <row r="17" spans="1:49" ht="15">
      <c r="A17" s="82"/>
      <c r="B17" s="2"/>
      <c r="C17" s="2"/>
      <c r="D17" s="2"/>
      <c r="E17" s="7" t="s">
        <v>551</v>
      </c>
      <c r="F17" s="7"/>
      <c r="G17" s="7" t="s">
        <v>550</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3">
        <f t="shared" si="1"/>
        <v>1</v>
      </c>
      <c r="AR17" s="184">
        <f t="shared" si="1"/>
        <v>0</v>
      </c>
      <c r="AS17" s="184">
        <f t="shared" si="1"/>
        <v>0</v>
      </c>
      <c r="AT17" s="184">
        <f t="shared" si="1"/>
        <v>0</v>
      </c>
      <c r="AU17" s="184">
        <f t="shared" si="1"/>
        <v>0</v>
      </c>
      <c r="AV17" s="184">
        <f t="shared" si="1"/>
        <v>0</v>
      </c>
    </row>
    <row r="18" spans="1:49" ht="15">
      <c r="A18" s="82"/>
      <c r="B18" s="2"/>
      <c r="C18" s="2"/>
      <c r="D18" s="2"/>
      <c r="E18" s="7" t="s">
        <v>552</v>
      </c>
      <c r="F18" s="7"/>
      <c r="G18" s="7" t="s">
        <v>550</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3">
        <f t="shared" si="2"/>
        <v>0</v>
      </c>
      <c r="AR18" s="184">
        <f t="shared" si="2"/>
        <v>1</v>
      </c>
      <c r="AS18" s="184">
        <f t="shared" si="2"/>
        <v>1</v>
      </c>
      <c r="AT18" s="184">
        <f t="shared" si="2"/>
        <v>1</v>
      </c>
      <c r="AU18" s="184">
        <f t="shared" si="2"/>
        <v>1</v>
      </c>
      <c r="AV18" s="184">
        <f t="shared" si="2"/>
        <v>1</v>
      </c>
    </row>
    <row r="19" spans="1:49" ht="15">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5">
      <c r="A20" s="82"/>
      <c r="B20" s="82"/>
      <c r="C20" s="82"/>
      <c r="D20" s="82"/>
      <c r="E20" s="34" t="s">
        <v>545</v>
      </c>
      <c r="F20" s="82"/>
      <c r="G20" s="7" t="s">
        <v>550</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5">
      <c r="A21" s="82"/>
      <c r="B21" s="82"/>
      <c r="C21" s="82"/>
      <c r="D21" s="82"/>
      <c r="E21" s="34" t="s">
        <v>547</v>
      </c>
      <c r="F21" s="82"/>
      <c r="G21" s="7" t="s">
        <v>550</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5">
      <c r="A22" s="82"/>
      <c r="B22" s="82"/>
      <c r="C22" s="82"/>
      <c r="D22" s="82"/>
      <c r="E22" s="34" t="s">
        <v>553</v>
      </c>
      <c r="F22" s="82"/>
      <c r="G22" s="7" t="s">
        <v>550</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5">
      <c r="A23" s="82"/>
      <c r="B23" s="82"/>
      <c r="C23" s="82"/>
      <c r="D23" s="82"/>
      <c r="E23" s="34" t="s">
        <v>554</v>
      </c>
      <c r="F23" s="82"/>
      <c r="G23" s="7" t="s">
        <v>550</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5">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5">
      <c r="A25" s="82"/>
      <c r="B25" s="37" t="s">
        <v>555</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5">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5">
      <c r="A27" s="82"/>
      <c r="B27" s="2"/>
      <c r="C27" s="28" t="s">
        <v>102</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5">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5">
      <c r="A29" s="82"/>
      <c r="B29" s="82"/>
      <c r="C29" s="82"/>
      <c r="D29" s="10" t="s">
        <v>556</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5">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5">
      <c r="A31" s="82"/>
      <c r="B31" s="82"/>
      <c r="C31" s="82"/>
      <c r="D31" s="2"/>
      <c r="E31" s="13" t="s">
        <v>104</v>
      </c>
      <c r="F31" s="13"/>
      <c r="G31" s="2" t="s">
        <v>105</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8"/>
      <c r="AR31" s="30">
        <f>SelectedInputs!AR15</f>
        <v>17.89</v>
      </c>
      <c r="AS31" s="30">
        <f>SelectedInputs!AS15</f>
        <v>19.670000000000002</v>
      </c>
      <c r="AT31" s="30">
        <f>SelectedInputs!AT15</f>
        <v>13.05</v>
      </c>
      <c r="AU31" s="30">
        <f>SelectedInputs!AU15</f>
        <v>15.39</v>
      </c>
      <c r="AV31" s="30">
        <f>SelectedInputs!AV15</f>
        <v>13.06</v>
      </c>
      <c r="AW31" s="378"/>
    </row>
    <row r="32" spans="1:49" ht="15">
      <c r="A32" s="82"/>
      <c r="B32" s="82"/>
      <c r="C32" s="82"/>
      <c r="D32" s="2"/>
      <c r="E32" s="13" t="s">
        <v>106</v>
      </c>
      <c r="F32" s="13"/>
      <c r="G32" s="2" t="s">
        <v>105</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8"/>
      <c r="AR32" s="30">
        <f>SelectedInputs!AR16</f>
        <v>32.18</v>
      </c>
      <c r="AS32" s="30">
        <f>SelectedInputs!AS16</f>
        <v>34.229999999999997</v>
      </c>
      <c r="AT32" s="30">
        <f>SelectedInputs!AT16</f>
        <v>35.53</v>
      </c>
      <c r="AU32" s="30">
        <f>SelectedInputs!AU16</f>
        <v>38.090000000000003</v>
      </c>
      <c r="AV32" s="30">
        <f>SelectedInputs!AV16</f>
        <v>38.51</v>
      </c>
      <c r="AW32" s="378"/>
    </row>
    <row r="33" spans="1:49" ht="15">
      <c r="A33" s="82"/>
      <c r="B33" s="82"/>
      <c r="C33" s="82"/>
      <c r="D33" s="2"/>
      <c r="E33" s="13" t="s">
        <v>107</v>
      </c>
      <c r="F33" s="165"/>
      <c r="G33" s="2" t="s">
        <v>105</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8"/>
      <c r="AR33" s="30">
        <f>SelectedInputs!AR17</f>
        <v>18.34</v>
      </c>
      <c r="AS33" s="30">
        <f>SelectedInputs!AS17</f>
        <v>20.21</v>
      </c>
      <c r="AT33" s="30">
        <f>SelectedInputs!AT17</f>
        <v>18.8</v>
      </c>
      <c r="AU33" s="30">
        <f>SelectedInputs!AU17</f>
        <v>20.56</v>
      </c>
      <c r="AV33" s="30">
        <f>SelectedInputs!AV17</f>
        <v>20.3</v>
      </c>
      <c r="AW33" s="378"/>
    </row>
    <row r="34" spans="1:49" ht="15">
      <c r="A34" s="82"/>
      <c r="B34" s="82"/>
      <c r="C34" s="82"/>
      <c r="D34" s="2"/>
      <c r="E34" s="13" t="s">
        <v>108</v>
      </c>
      <c r="F34" s="165"/>
      <c r="G34" s="2" t="s">
        <v>105</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8"/>
      <c r="AR34" s="30">
        <f>SelectedInputs!AR18</f>
        <v>23.9</v>
      </c>
      <c r="AS34" s="30">
        <f>SelectedInputs!AS18</f>
        <v>23.98</v>
      </c>
      <c r="AT34" s="30">
        <f>SelectedInputs!AT18</f>
        <v>23.91</v>
      </c>
      <c r="AU34" s="30">
        <f>SelectedInputs!AU18</f>
        <v>24.35</v>
      </c>
      <c r="AV34" s="30">
        <f>SelectedInputs!AV18</f>
        <v>23.98</v>
      </c>
      <c r="AW34" s="378"/>
    </row>
    <row r="35" spans="1:49" ht="15">
      <c r="A35" s="82"/>
      <c r="B35" s="82"/>
      <c r="C35" s="82"/>
      <c r="D35" s="2"/>
      <c r="E35" s="13" t="s">
        <v>109</v>
      </c>
      <c r="F35" s="165"/>
      <c r="G35" s="2" t="s">
        <v>105</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8"/>
      <c r="AR35" s="30">
        <f>SelectedInputs!AR19</f>
        <v>3.98</v>
      </c>
      <c r="AS35" s="30">
        <f>SelectedInputs!AS19</f>
        <v>3.51</v>
      </c>
      <c r="AT35" s="30">
        <f>SelectedInputs!AT19</f>
        <v>3.5</v>
      </c>
      <c r="AU35" s="30">
        <f>SelectedInputs!AU19</f>
        <v>3.85</v>
      </c>
      <c r="AV35" s="30">
        <f>SelectedInputs!AV19</f>
        <v>3.48</v>
      </c>
      <c r="AW35" s="378"/>
    </row>
    <row r="36" spans="1:49" ht="15">
      <c r="A36" s="82"/>
      <c r="B36" s="82"/>
      <c r="C36" s="82"/>
      <c r="D36" s="2"/>
      <c r="E36" s="13" t="s">
        <v>110</v>
      </c>
      <c r="F36" s="165"/>
      <c r="G36" s="2" t="s">
        <v>105</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8"/>
      <c r="AR36" s="30">
        <f>SelectedInputs!AR20</f>
        <v>6.22</v>
      </c>
      <c r="AS36" s="30">
        <f>SelectedInputs!AS20</f>
        <v>6.23</v>
      </c>
      <c r="AT36" s="30">
        <f>SelectedInputs!AT20</f>
        <v>6.1</v>
      </c>
      <c r="AU36" s="30">
        <f>SelectedInputs!AU20</f>
        <v>6.15</v>
      </c>
      <c r="AV36" s="30">
        <f>SelectedInputs!AV20</f>
        <v>6.03</v>
      </c>
      <c r="AW36" s="378"/>
    </row>
    <row r="37" spans="1:49" ht="15">
      <c r="A37" s="82"/>
      <c r="B37" s="82"/>
      <c r="C37" s="82"/>
      <c r="D37" s="2"/>
      <c r="E37" s="13" t="s">
        <v>111</v>
      </c>
      <c r="F37" s="165"/>
      <c r="G37" s="2" t="s">
        <v>105</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8"/>
      <c r="AR37" s="30">
        <f>SelectedInputs!AR21</f>
        <v>71.31</v>
      </c>
      <c r="AS37" s="30">
        <f>SelectedInputs!AS21</f>
        <v>71.17</v>
      </c>
      <c r="AT37" s="30">
        <f>SelectedInputs!AT21</f>
        <v>69.37</v>
      </c>
      <c r="AU37" s="30">
        <f>SelectedInputs!AU21</f>
        <v>69.37</v>
      </c>
      <c r="AV37" s="30">
        <f>SelectedInputs!AV21</f>
        <v>67.930000000000007</v>
      </c>
      <c r="AW37" s="378"/>
    </row>
    <row r="38" spans="1:49" ht="15">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5">
      <c r="A39" s="82"/>
      <c r="B39" s="82"/>
      <c r="C39" s="82"/>
      <c r="D39" s="10" t="s">
        <v>557</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5">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5">
      <c r="A41" s="82"/>
      <c r="B41" s="82"/>
      <c r="C41" s="82"/>
      <c r="D41" s="2"/>
      <c r="E41" s="13" t="s">
        <v>558</v>
      </c>
      <c r="F41" s="13"/>
      <c r="G41" s="2" t="s">
        <v>105</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8"/>
      <c r="AR41" s="7">
        <f t="shared" ref="AR41:AV47" si="7">AR313</f>
        <v>-0.12807719999999992</v>
      </c>
      <c r="AS41" s="7">
        <f t="shared" si="7"/>
        <v>1.4784707906116261E-2</v>
      </c>
      <c r="AT41" s="7">
        <f t="shared" si="7"/>
        <v>0.15646250224014752</v>
      </c>
      <c r="AU41" s="7">
        <f t="shared" si="7"/>
        <v>0.31975937823995332</v>
      </c>
      <c r="AV41" s="7">
        <f t="shared" si="7"/>
        <v>0.47893325545458904</v>
      </c>
      <c r="AW41" s="285"/>
    </row>
    <row r="42" spans="1:49" ht="15">
      <c r="A42" s="82"/>
      <c r="B42" s="82"/>
      <c r="C42" s="82"/>
      <c r="D42" s="2"/>
      <c r="E42" s="13" t="s">
        <v>559</v>
      </c>
      <c r="F42" s="13"/>
      <c r="G42" s="2" t="s">
        <v>105</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8"/>
      <c r="AR42" s="7">
        <f t="shared" si="7"/>
        <v>26.5460712</v>
      </c>
      <c r="AS42" s="7">
        <f t="shared" si="7"/>
        <v>27.829325837795803</v>
      </c>
      <c r="AT42" s="7">
        <f t="shared" si="7"/>
        <v>27.17782904389912</v>
      </c>
      <c r="AU42" s="7">
        <f t="shared" si="7"/>
        <v>28.863082028242381</v>
      </c>
      <c r="AV42" s="7">
        <f t="shared" si="7"/>
        <v>31.661790867194711</v>
      </c>
    </row>
    <row r="43" spans="1:49" ht="15">
      <c r="A43" s="82"/>
      <c r="B43" s="82"/>
      <c r="C43" s="82"/>
      <c r="D43" s="2"/>
      <c r="E43" s="13" t="s">
        <v>560</v>
      </c>
      <c r="F43" s="165"/>
      <c r="G43" s="2" t="s">
        <v>105</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8"/>
      <c r="AR43" s="7">
        <f t="shared" si="7"/>
        <v>3.4020434875005652</v>
      </c>
      <c r="AS43" s="7">
        <f t="shared" si="7"/>
        <v>6.4624301398954263</v>
      </c>
      <c r="AT43" s="7">
        <f t="shared" si="7"/>
        <v>4.0250206535241624</v>
      </c>
      <c r="AU43" s="7">
        <f t="shared" si="7"/>
        <v>2.2512162339521606</v>
      </c>
      <c r="AV43" s="7">
        <f t="shared" si="7"/>
        <v>2.4886870236300935</v>
      </c>
    </row>
    <row r="44" spans="1:49" ht="15">
      <c r="A44" s="82"/>
      <c r="B44" s="82"/>
      <c r="C44" s="82"/>
      <c r="D44" s="2"/>
      <c r="E44" s="13" t="s">
        <v>561</v>
      </c>
      <c r="F44" s="165"/>
      <c r="G44" s="2" t="s">
        <v>105</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8"/>
      <c r="AR44" s="7">
        <f t="shared" si="7"/>
        <v>-0.19459439999999986</v>
      </c>
      <c r="AS44" s="7">
        <f t="shared" si="7"/>
        <v>2.2463181301324121E-2</v>
      </c>
      <c r="AT44" s="7">
        <f t="shared" si="7"/>
        <v>0.23772167681617146</v>
      </c>
      <c r="AU44" s="7">
        <f t="shared" si="7"/>
        <v>0.48582717574226142</v>
      </c>
      <c r="AV44" s="7">
        <f t="shared" si="7"/>
        <v>0.72766838660770594</v>
      </c>
    </row>
    <row r="45" spans="1:49" ht="15">
      <c r="A45" s="82"/>
      <c r="B45" s="82"/>
      <c r="C45" s="82"/>
      <c r="D45" s="2"/>
      <c r="E45" s="13" t="s">
        <v>562</v>
      </c>
      <c r="F45" s="165"/>
      <c r="G45" s="2" t="s">
        <v>105</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8"/>
      <c r="AR45" s="7">
        <f t="shared" si="7"/>
        <v>-2.9678399999999983E-2</v>
      </c>
      <c r="AS45" s="7">
        <f t="shared" si="7"/>
        <v>3.4259530589432065E-3</v>
      </c>
      <c r="AT45" s="7">
        <f t="shared" si="7"/>
        <v>3.625592007386165E-2</v>
      </c>
      <c r="AU45" s="7">
        <f t="shared" si="7"/>
        <v>7.4095519976675253E-2</v>
      </c>
      <c r="AV45" s="7">
        <f t="shared" si="7"/>
        <v>0.11097972729481496</v>
      </c>
    </row>
    <row r="46" spans="1:49" ht="15">
      <c r="A46" s="82"/>
      <c r="B46" s="82"/>
      <c r="C46" s="82"/>
      <c r="D46" s="2"/>
      <c r="E46" s="13" t="s">
        <v>563</v>
      </c>
      <c r="F46" s="165"/>
      <c r="G46" s="2" t="s">
        <v>105</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8"/>
      <c r="AR46" s="7">
        <f t="shared" si="7"/>
        <v>-4.9782599999999962E-2</v>
      </c>
      <c r="AS46" s="7">
        <f t="shared" si="7"/>
        <v>5.7466996452688168E-3</v>
      </c>
      <c r="AT46" s="7">
        <f t="shared" si="7"/>
        <v>6.0815743661013555E-2</v>
      </c>
      <c r="AU46" s="7">
        <f t="shared" si="7"/>
        <v>0.12428795463336408</v>
      </c>
      <c r="AV46" s="7">
        <f t="shared" si="7"/>
        <v>0.18615758841537464</v>
      </c>
    </row>
    <row r="47" spans="1:49" ht="15">
      <c r="A47" s="82"/>
      <c r="B47" s="82"/>
      <c r="C47" s="82"/>
      <c r="D47" s="2"/>
      <c r="E47" s="13" t="s">
        <v>564</v>
      </c>
      <c r="F47" s="165"/>
      <c r="G47" s="2" t="s">
        <v>105</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8"/>
      <c r="AR47" s="7">
        <f t="shared" si="7"/>
        <v>1.3071032000000002</v>
      </c>
      <c r="AS47" s="7">
        <f t="shared" si="7"/>
        <v>1.8861328624325697</v>
      </c>
      <c r="AT47" s="7">
        <f t="shared" si="7"/>
        <v>1.0398659156615959</v>
      </c>
      <c r="AU47" s="7">
        <f t="shared" si="7"/>
        <v>1.6603023845279168</v>
      </c>
      <c r="AV47" s="7">
        <f t="shared" si="7"/>
        <v>2.362296438894016</v>
      </c>
    </row>
    <row r="48" spans="1:49" ht="15">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5">
      <c r="A49" s="82"/>
      <c r="B49" s="82"/>
      <c r="C49" s="82"/>
      <c r="D49" s="10" t="s">
        <v>565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5">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5">
      <c r="A51" s="82"/>
      <c r="B51" s="82"/>
      <c r="C51" s="82"/>
      <c r="D51" s="2"/>
      <c r="E51" s="13" t="s">
        <v>558</v>
      </c>
      <c r="F51" s="13"/>
      <c r="G51" s="2" t="s">
        <v>105</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8"/>
      <c r="AR51" s="7">
        <f t="shared" ref="AR51:AV57" si="8">AR322</f>
        <v>11.16328095393132</v>
      </c>
      <c r="AS51" s="7">
        <f t="shared" si="8"/>
        <v>17.919775171026401</v>
      </c>
      <c r="AT51" s="7">
        <f t="shared" si="8"/>
        <v>10.87339953022904</v>
      </c>
      <c r="AU51" s="7">
        <f t="shared" si="8"/>
        <v>13.600437700537034</v>
      </c>
      <c r="AV51" s="7">
        <f t="shared" si="8"/>
        <v>14.108366355051837</v>
      </c>
    </row>
    <row r="52" spans="1:48" ht="15">
      <c r="A52" s="82"/>
      <c r="B52" s="82"/>
      <c r="C52" s="82"/>
      <c r="D52" s="2"/>
      <c r="E52" s="13" t="s">
        <v>559</v>
      </c>
      <c r="F52" s="13"/>
      <c r="G52" s="2" t="s">
        <v>105</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8"/>
      <c r="AR52" s="7">
        <f t="shared" si="8"/>
        <v>2.7772179129024015</v>
      </c>
      <c r="AS52" s="7">
        <f t="shared" si="8"/>
        <v>7.36229373829139</v>
      </c>
      <c r="AT52" s="7">
        <f t="shared" si="8"/>
        <v>5.5838260800494925</v>
      </c>
      <c r="AU52" s="7">
        <f t="shared" si="8"/>
        <v>7.1763192847417084E-2</v>
      </c>
      <c r="AV52" s="7">
        <f t="shared" si="8"/>
        <v>0.11192758502274965</v>
      </c>
    </row>
    <row r="53" spans="1:48" ht="15">
      <c r="A53" s="82"/>
      <c r="B53" s="82"/>
      <c r="C53" s="82"/>
      <c r="D53" s="2"/>
      <c r="E53" s="13" t="s">
        <v>560</v>
      </c>
      <c r="F53" s="165"/>
      <c r="G53" s="2" t="s">
        <v>105</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8"/>
      <c r="AR53" s="7">
        <f t="shared" si="8"/>
        <v>1.36</v>
      </c>
      <c r="AS53" s="7">
        <f t="shared" si="8"/>
        <v>7.0937078566233769</v>
      </c>
      <c r="AT53" s="7">
        <f t="shared" si="8"/>
        <v>15.961334007619048</v>
      </c>
      <c r="AU53" s="7">
        <f t="shared" si="8"/>
        <v>14.990105017316019</v>
      </c>
      <c r="AV53" s="7">
        <f t="shared" si="8"/>
        <v>3.2402745584415582</v>
      </c>
    </row>
    <row r="54" spans="1:48" ht="15">
      <c r="A54" s="82"/>
      <c r="B54" s="82"/>
      <c r="C54" s="82"/>
      <c r="D54" s="2"/>
      <c r="E54" s="13" t="s">
        <v>561</v>
      </c>
      <c r="F54" s="165"/>
      <c r="G54" s="2" t="s">
        <v>105</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8"/>
      <c r="AR54" s="7">
        <f t="shared" si="8"/>
        <v>0</v>
      </c>
      <c r="AS54" s="7">
        <f t="shared" si="8"/>
        <v>0</v>
      </c>
      <c r="AT54" s="7">
        <f t="shared" si="8"/>
        <v>0</v>
      </c>
      <c r="AU54" s="7">
        <f t="shared" si="8"/>
        <v>0</v>
      </c>
      <c r="AV54" s="7">
        <f t="shared" si="8"/>
        <v>0</v>
      </c>
    </row>
    <row r="55" spans="1:48" ht="15">
      <c r="A55" s="82"/>
      <c r="B55" s="82"/>
      <c r="C55" s="82"/>
      <c r="D55" s="2"/>
      <c r="E55" s="13" t="s">
        <v>562</v>
      </c>
      <c r="F55" s="165"/>
      <c r="G55" s="2" t="s">
        <v>105</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8"/>
      <c r="AR55" s="7">
        <f t="shared" si="8"/>
        <v>0</v>
      </c>
      <c r="AS55" s="7">
        <f t="shared" si="8"/>
        <v>0</v>
      </c>
      <c r="AT55" s="7">
        <f t="shared" si="8"/>
        <v>0</v>
      </c>
      <c r="AU55" s="7">
        <f t="shared" si="8"/>
        <v>0</v>
      </c>
      <c r="AV55" s="7">
        <f t="shared" si="8"/>
        <v>0</v>
      </c>
    </row>
    <row r="56" spans="1:48" ht="15">
      <c r="A56" s="82"/>
      <c r="B56" s="82"/>
      <c r="C56" s="82"/>
      <c r="D56" s="2"/>
      <c r="E56" s="13" t="s">
        <v>563</v>
      </c>
      <c r="F56" s="165"/>
      <c r="G56" s="2" t="s">
        <v>105</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8"/>
      <c r="AR56" s="7">
        <f t="shared" si="8"/>
        <v>0</v>
      </c>
      <c r="AS56" s="7">
        <f t="shared" si="8"/>
        <v>0</v>
      </c>
      <c r="AT56" s="7">
        <f t="shared" si="8"/>
        <v>0</v>
      </c>
      <c r="AU56" s="7">
        <f t="shared" si="8"/>
        <v>0</v>
      </c>
      <c r="AV56" s="7">
        <f t="shared" si="8"/>
        <v>0</v>
      </c>
    </row>
    <row r="57" spans="1:48" ht="15">
      <c r="A57" s="82"/>
      <c r="B57" s="82"/>
      <c r="C57" s="82"/>
      <c r="D57" s="2"/>
      <c r="E57" s="13" t="s">
        <v>564</v>
      </c>
      <c r="F57" s="165"/>
      <c r="G57" s="2" t="s">
        <v>105</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8"/>
      <c r="AR57" s="7">
        <f t="shared" si="8"/>
        <v>1.0404224958575865</v>
      </c>
      <c r="AS57" s="7">
        <f t="shared" si="8"/>
        <v>1.1671442471221247</v>
      </c>
      <c r="AT57" s="7">
        <f t="shared" si="8"/>
        <v>2.2711383297054857</v>
      </c>
      <c r="AU57" s="7">
        <f t="shared" si="8"/>
        <v>1.9173610042006672</v>
      </c>
      <c r="AV57" s="7">
        <f t="shared" si="8"/>
        <v>1.9401918741782023</v>
      </c>
    </row>
    <row r="58" spans="1:48" ht="15">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5">
      <c r="A59" s="82"/>
      <c r="B59" s="82"/>
      <c r="C59" s="82"/>
      <c r="D59" s="10" t="s">
        <v>566</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5">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5">
      <c r="A61" s="82"/>
      <c r="B61" s="82"/>
      <c r="C61" s="82"/>
      <c r="D61" s="2"/>
      <c r="E61" s="13" t="s">
        <v>129</v>
      </c>
      <c r="F61" s="2"/>
      <c r="G61" s="2" t="s">
        <v>105</v>
      </c>
      <c r="H61" s="2" t="s">
        <v>130</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8"/>
      <c r="AR61" s="8">
        <f>SelectedInputs!AR126</f>
        <v>5.6441949704916112</v>
      </c>
      <c r="AS61" s="8">
        <f>SelectedInputs!AS126</f>
        <v>10.854847671154825</v>
      </c>
      <c r="AT61" s="8">
        <f>SelectedInputs!AT126</f>
        <v>19.740566201116323</v>
      </c>
      <c r="AU61" s="8">
        <f>SelectedInputs!AU126</f>
        <v>19.928515586489453</v>
      </c>
      <c r="AV61" s="8">
        <f>SelectedInputs!AV126</f>
        <v>10.360167542702149</v>
      </c>
    </row>
    <row r="62" spans="1:48" ht="15">
      <c r="A62" s="82"/>
      <c r="B62" s="82"/>
      <c r="C62" s="82"/>
      <c r="D62" s="2"/>
      <c r="E62" s="13" t="s">
        <v>131</v>
      </c>
      <c r="F62" s="2"/>
      <c r="G62" s="2" t="s">
        <v>105</v>
      </c>
      <c r="H62" s="2" t="s">
        <v>132</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8"/>
      <c r="AR62" s="8">
        <f>SelectedInputs!AR127</f>
        <v>42.875037909642728</v>
      </c>
      <c r="AS62" s="8">
        <f>SelectedInputs!AS127</f>
        <v>55.92420108196071</v>
      </c>
      <c r="AT62" s="8">
        <f>SelectedInputs!AT127</f>
        <v>69.636729856971769</v>
      </c>
      <c r="AU62" s="8">
        <f>SelectedInputs!AU127</f>
        <v>72.843036591530648</v>
      </c>
      <c r="AV62" s="8">
        <f>SelectedInputs!AV127</f>
        <v>70.113198889340723</v>
      </c>
    </row>
    <row r="63" spans="1:48" ht="15">
      <c r="A63" s="82"/>
      <c r="B63" s="82"/>
      <c r="C63" s="82"/>
      <c r="D63" s="2"/>
      <c r="E63" s="13" t="s">
        <v>133</v>
      </c>
      <c r="F63" s="2"/>
      <c r="G63" s="2" t="s">
        <v>105</v>
      </c>
      <c r="H63" s="2" t="s">
        <v>134</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8"/>
      <c r="AR63" s="8">
        <f>SelectedInputs!AR128</f>
        <v>21.48967087690496</v>
      </c>
      <c r="AS63" s="8">
        <f>SelectedInputs!AS128</f>
        <v>29.605590629781283</v>
      </c>
      <c r="AT63" s="8">
        <f>SelectedInputs!AT128</f>
        <v>26.138531424366626</v>
      </c>
      <c r="AU63" s="8">
        <f>SelectedInputs!AU128</f>
        <v>22.191257680374214</v>
      </c>
      <c r="AV63" s="8">
        <f>SelectedInputs!AV128</f>
        <v>19.437941296371157</v>
      </c>
    </row>
    <row r="64" spans="1:48" ht="15">
      <c r="A64" s="82"/>
      <c r="B64" s="82"/>
      <c r="C64" s="82"/>
      <c r="D64" s="2"/>
      <c r="E64" s="13" t="s">
        <v>135</v>
      </c>
      <c r="F64" s="2"/>
      <c r="G64" s="2" t="s">
        <v>105</v>
      </c>
      <c r="H64" s="2" t="s">
        <v>136</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8"/>
      <c r="AR64" s="8">
        <f>SelectedInputs!AR129</f>
        <v>27.703300516138484</v>
      </c>
      <c r="AS64" s="8">
        <f>SelectedInputs!AS129</f>
        <v>29.490477993800184</v>
      </c>
      <c r="AT64" s="8">
        <f>SelectedInputs!AT129</f>
        <v>29.528860632521543</v>
      </c>
      <c r="AU64" s="8">
        <f>SelectedInputs!AU129</f>
        <v>29.553204470273357</v>
      </c>
      <c r="AV64" s="8">
        <f>SelectedInputs!AV129</f>
        <v>29.584603555058059</v>
      </c>
    </row>
    <row r="65" spans="1:48" ht="15">
      <c r="A65" s="82"/>
      <c r="B65" s="82"/>
      <c r="C65" s="82"/>
      <c r="D65" s="2"/>
      <c r="E65" s="13" t="s">
        <v>137</v>
      </c>
      <c r="F65" s="2"/>
      <c r="G65" s="2" t="s">
        <v>105</v>
      </c>
      <c r="H65" s="2" t="s">
        <v>138</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8"/>
      <c r="AR65" s="8">
        <f>SelectedInputs!AR130</f>
        <v>3.497849952457512</v>
      </c>
      <c r="AS65" s="8">
        <f>SelectedInputs!AS130</f>
        <v>6.0335689889629887</v>
      </c>
      <c r="AT65" s="8">
        <f>SelectedInputs!AT130</f>
        <v>4.1967251720223633</v>
      </c>
      <c r="AU65" s="8">
        <f>SelectedInputs!AU130</f>
        <v>4.1790438753201657</v>
      </c>
      <c r="AV65" s="8">
        <f>SelectedInputs!AV130</f>
        <v>4.3620959591330903</v>
      </c>
    </row>
    <row r="66" spans="1:48" ht="15">
      <c r="A66" s="82"/>
      <c r="B66" s="82"/>
      <c r="C66" s="82"/>
      <c r="D66" s="2"/>
      <c r="E66" s="13" t="s">
        <v>567</v>
      </c>
      <c r="F66" s="2"/>
      <c r="G66" s="2" t="s">
        <v>105</v>
      </c>
      <c r="H66" s="2" t="s">
        <v>140</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8"/>
      <c r="AR66" s="8">
        <f>SelectedInputs!AR131</f>
        <v>6.3093940938820356</v>
      </c>
      <c r="AS66" s="8">
        <f>SelectedInputs!AS131</f>
        <v>6.3712449237630864</v>
      </c>
      <c r="AT66" s="8">
        <f>SelectedInputs!AT131</f>
        <v>6.3718517862666531</v>
      </c>
      <c r="AU66" s="8">
        <f>SelectedInputs!AU131</f>
        <v>6.4381156839255151</v>
      </c>
      <c r="AV66" s="8">
        <f>SelectedInputs!AV131</f>
        <v>6.3775426168462737</v>
      </c>
    </row>
    <row r="67" spans="1:48" ht="15">
      <c r="A67" s="82"/>
      <c r="B67" s="82"/>
      <c r="C67" s="82"/>
      <c r="D67" s="2"/>
      <c r="E67" s="13" t="s">
        <v>141</v>
      </c>
      <c r="F67" s="2"/>
      <c r="G67" s="2" t="s">
        <v>105</v>
      </c>
      <c r="H67" s="2" t="s">
        <v>142</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8"/>
      <c r="AR67" s="8">
        <f>SelectedInputs!AR132</f>
        <v>64.054982120607036</v>
      </c>
      <c r="AS67" s="8">
        <f>SelectedInputs!AS132</f>
        <v>72.147617177621967</v>
      </c>
      <c r="AT67" s="8">
        <f>SelectedInputs!AT132</f>
        <v>71.044673183229065</v>
      </c>
      <c r="AU67" s="8">
        <f>SelectedInputs!AU132</f>
        <v>71.603711316021545</v>
      </c>
      <c r="AV67" s="8">
        <f>SelectedInputs!AV132</f>
        <v>71.70597954765303</v>
      </c>
    </row>
    <row r="68" spans="1:48" ht="15">
      <c r="A68" s="82"/>
      <c r="B68" s="82"/>
      <c r="C68" s="82"/>
      <c r="D68" s="2"/>
      <c r="E68" s="13" t="s">
        <v>568</v>
      </c>
      <c r="F68" s="2"/>
      <c r="G68" s="2" t="s">
        <v>105</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8"/>
      <c r="AR68" s="526">
        <f>SUM(AR61:AR67)</f>
        <v>171.57443044012436</v>
      </c>
      <c r="AS68" s="526">
        <f>SUM(AS61:AS67)</f>
        <v>210.42754846704503</v>
      </c>
      <c r="AT68" s="526">
        <f>SUM(AT61:AT67)</f>
        <v>226.65793825649433</v>
      </c>
      <c r="AU68" s="526">
        <f>SUM(AU61:AU67)</f>
        <v>226.73688520393489</v>
      </c>
      <c r="AV68" s="526">
        <f>SUM(AV61:AV67)</f>
        <v>211.9415294071045</v>
      </c>
    </row>
    <row r="69" spans="1:48" ht="15">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5">
      <c r="A70" s="82"/>
      <c r="B70" s="82"/>
      <c r="C70" s="82"/>
      <c r="D70" s="10" t="s">
        <v>569</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5">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5">
      <c r="A72" s="82"/>
      <c r="B72" s="82"/>
      <c r="C72" s="82"/>
      <c r="D72" s="2"/>
      <c r="E72" s="13" t="s">
        <v>129</v>
      </c>
      <c r="F72" s="2"/>
      <c r="G72" s="2" t="s">
        <v>105</v>
      </c>
      <c r="H72" s="2" t="s">
        <v>144</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8"/>
      <c r="AR72" s="8">
        <f>SelectedInputs!AR135</f>
        <v>11.187605089223041</v>
      </c>
      <c r="AS72" s="8">
        <f>SelectedInputs!AS135</f>
        <v>17.91210779872511</v>
      </c>
      <c r="AT72" s="8">
        <f>SelectedInputs!AT135</f>
        <v>10.751280830606349</v>
      </c>
      <c r="AU72" s="8">
        <f>SelectedInputs!AU135</f>
        <v>13.401490779635807</v>
      </c>
      <c r="AV72" s="8">
        <f>SelectedInputs!AV135</f>
        <v>13.79807290905743</v>
      </c>
    </row>
    <row r="73" spans="1:48" ht="15">
      <c r="A73" s="82"/>
      <c r="B73" s="82"/>
      <c r="C73" s="82"/>
      <c r="D73" s="2"/>
      <c r="E73" s="13" t="s">
        <v>131</v>
      </c>
      <c r="F73" s="2"/>
      <c r="G73" s="2" t="s">
        <v>105</v>
      </c>
      <c r="H73" s="2" t="s">
        <v>145</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8"/>
      <c r="AR73" s="8">
        <f>SelectedInputs!AR136</f>
        <v>2.7062262368035324</v>
      </c>
      <c r="AS73" s="8">
        <f>SelectedInputs!AS136</f>
        <v>6.9940535978616722</v>
      </c>
      <c r="AT73" s="8">
        <f>SelectedInputs!AT136</f>
        <v>5.2259429124744754</v>
      </c>
      <c r="AU73" s="8">
        <f>SelectedInputs!AU136</f>
        <v>0</v>
      </c>
      <c r="AV73" s="8">
        <f>SelectedInputs!AV136</f>
        <v>0</v>
      </c>
    </row>
    <row r="74" spans="1:48" ht="15">
      <c r="A74" s="82"/>
      <c r="B74" s="82"/>
      <c r="C74" s="82"/>
      <c r="D74" s="2"/>
      <c r="E74" s="13" t="s">
        <v>133</v>
      </c>
      <c r="F74" s="2"/>
      <c r="G74" s="2" t="s">
        <v>105</v>
      </c>
      <c r="H74" s="2" t="s">
        <v>146</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8"/>
      <c r="AR74" s="8">
        <f>SelectedInputs!AR137</f>
        <v>1.5877466719699669</v>
      </c>
      <c r="AS74" s="8">
        <f>SelectedInputs!AS137</f>
        <v>6.7147175286724359</v>
      </c>
      <c r="AT74" s="8">
        <f>SelectedInputs!AT137</f>
        <v>14.916843891614612</v>
      </c>
      <c r="AU74" s="8">
        <f>SelectedInputs!AU137</f>
        <v>13.784043800349032</v>
      </c>
      <c r="AV74" s="8">
        <f>SelectedInputs!AV137</f>
        <v>3.1165862457718783</v>
      </c>
    </row>
    <row r="75" spans="1:48" ht="15">
      <c r="A75" s="82"/>
      <c r="B75" s="82"/>
      <c r="C75" s="82"/>
      <c r="D75" s="2"/>
      <c r="E75" s="13" t="s">
        <v>135</v>
      </c>
      <c r="F75" s="2"/>
      <c r="G75" s="2" t="s">
        <v>105</v>
      </c>
      <c r="H75" s="2" t="s">
        <v>147</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8"/>
      <c r="AR75" s="8">
        <f>SelectedInputs!AR138</f>
        <v>0</v>
      </c>
      <c r="AS75" s="8">
        <f>SelectedInputs!AS138</f>
        <v>0</v>
      </c>
      <c r="AT75" s="8">
        <f>SelectedInputs!AT138</f>
        <v>0</v>
      </c>
      <c r="AU75" s="8">
        <f>SelectedInputs!AU138</f>
        <v>0</v>
      </c>
      <c r="AV75" s="8">
        <f>SelectedInputs!AV138</f>
        <v>0</v>
      </c>
    </row>
    <row r="76" spans="1:48" ht="15">
      <c r="A76" s="82"/>
      <c r="B76" s="82"/>
      <c r="C76" s="82"/>
      <c r="D76" s="2"/>
      <c r="E76" s="13" t="s">
        <v>137</v>
      </c>
      <c r="F76" s="2"/>
      <c r="G76" s="2" t="s">
        <v>105</v>
      </c>
      <c r="H76" s="2" t="s">
        <v>148</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8"/>
      <c r="AR76" s="8">
        <f>SelectedInputs!AR139</f>
        <v>0</v>
      </c>
      <c r="AS76" s="8">
        <f>SelectedInputs!AS139</f>
        <v>0</v>
      </c>
      <c r="AT76" s="8">
        <f>SelectedInputs!AT139</f>
        <v>0</v>
      </c>
      <c r="AU76" s="8">
        <f>SelectedInputs!AU139</f>
        <v>0</v>
      </c>
      <c r="AV76" s="8">
        <f>SelectedInputs!AV139</f>
        <v>0</v>
      </c>
    </row>
    <row r="77" spans="1:48" ht="15">
      <c r="A77" s="82"/>
      <c r="B77" s="82"/>
      <c r="C77" s="82"/>
      <c r="D77" s="2"/>
      <c r="E77" s="13" t="s">
        <v>567</v>
      </c>
      <c r="F77" s="2"/>
      <c r="G77" s="2" t="s">
        <v>105</v>
      </c>
      <c r="H77" s="2" t="s">
        <v>149</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8"/>
      <c r="AR77" s="8">
        <f>SelectedInputs!AR140</f>
        <v>0</v>
      </c>
      <c r="AS77" s="8">
        <f>SelectedInputs!AS140</f>
        <v>0</v>
      </c>
      <c r="AT77" s="8">
        <f>SelectedInputs!AT140</f>
        <v>0</v>
      </c>
      <c r="AU77" s="8">
        <f>SelectedInputs!AU140</f>
        <v>0</v>
      </c>
      <c r="AV77" s="8">
        <f>SelectedInputs!AV140</f>
        <v>0</v>
      </c>
    </row>
    <row r="78" spans="1:48" ht="15">
      <c r="A78" s="82"/>
      <c r="B78" s="82"/>
      <c r="C78" s="82"/>
      <c r="D78" s="2"/>
      <c r="E78" s="13" t="s">
        <v>141</v>
      </c>
      <c r="F78" s="2"/>
      <c r="G78" s="2" t="s">
        <v>105</v>
      </c>
      <c r="H78" s="2" t="s">
        <v>150</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8"/>
      <c r="AR78" s="8">
        <f>SelectedInputs!AR141</f>
        <v>0.81267582388761972</v>
      </c>
      <c r="AS78" s="8">
        <f>SelectedInputs!AS141</f>
        <v>1.5461345750730646</v>
      </c>
      <c r="AT78" s="8">
        <f>SelectedInputs!AT141</f>
        <v>3.3156284457099203</v>
      </c>
      <c r="AU78" s="8">
        <f>SelectedInputs!AU141</f>
        <v>3.1234222211676519</v>
      </c>
      <c r="AV78" s="8">
        <f>SelectedInputs!AV141</f>
        <v>2.0638801868478822</v>
      </c>
    </row>
    <row r="79" spans="1:48" ht="15">
      <c r="A79" s="82"/>
      <c r="B79" s="82"/>
      <c r="C79" s="82"/>
      <c r="D79" s="2"/>
      <c r="E79" s="13" t="s">
        <v>570</v>
      </c>
      <c r="F79" s="2"/>
      <c r="G79" s="2" t="s">
        <v>105</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8"/>
      <c r="AR79" s="526">
        <f>SUM(AR72:AR78)</f>
        <v>16.294253821884158</v>
      </c>
      <c r="AS79" s="526">
        <f>SUM(AS72:AS78)</f>
        <v>33.167013500332281</v>
      </c>
      <c r="AT79" s="526">
        <f>SUM(AT72:AT78)</f>
        <v>34.209696080405358</v>
      </c>
      <c r="AU79" s="526">
        <f>SUM(AU72:AU78)</f>
        <v>30.30895680115249</v>
      </c>
      <c r="AV79" s="526">
        <f>SUM(AV72:AV78)</f>
        <v>18.978539341677191</v>
      </c>
    </row>
    <row r="80" spans="1:48" ht="15">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5">
      <c r="A81" s="2"/>
      <c r="B81" s="2"/>
      <c r="C81" s="28" t="s">
        <v>151</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5">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5">
      <c r="A83" s="82"/>
      <c r="B83" s="82"/>
      <c r="C83" s="82"/>
      <c r="D83" s="82"/>
      <c r="E83" s="13" t="s">
        <v>152</v>
      </c>
      <c r="F83" s="2"/>
      <c r="G83" s="2" t="s">
        <v>105</v>
      </c>
      <c r="H83" s="510" t="s">
        <v>153</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1.4595106105592219</v>
      </c>
      <c r="AS83" s="8">
        <f>SelectedInputs!AS145</f>
        <v>1.4595106105592219</v>
      </c>
      <c r="AT83" s="8">
        <f>SelectedInputs!AT145</f>
        <v>1.4595106105592219</v>
      </c>
      <c r="AU83" s="8">
        <f>SelectedInputs!AU145</f>
        <v>1.4595106105592219</v>
      </c>
      <c r="AV83" s="8">
        <f>SelectedInputs!AV145</f>
        <v>1.4595106105592219</v>
      </c>
    </row>
    <row r="84" spans="1:48" ht="15">
      <c r="A84" s="82"/>
      <c r="B84" s="82"/>
      <c r="C84" s="82"/>
      <c r="D84" s="82"/>
      <c r="E84" s="82" t="s">
        <v>154</v>
      </c>
      <c r="F84" s="2"/>
      <c r="G84" s="2" t="s">
        <v>105</v>
      </c>
      <c r="H84" s="510" t="s">
        <v>155</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17.633146778986198</v>
      </c>
      <c r="AS84" s="8">
        <f>SelectedInputs!AS146</f>
        <v>18.731910757989276</v>
      </c>
      <c r="AT84" s="8">
        <f>SelectedInputs!AT146</f>
        <v>18.996992491398359</v>
      </c>
      <c r="AU84" s="8">
        <f>SelectedInputs!AU146</f>
        <v>19.025331085621112</v>
      </c>
      <c r="AV84" s="8">
        <f>SelectedInputs!AV146</f>
        <v>18.9732162166456</v>
      </c>
    </row>
    <row r="85" spans="1:48" ht="15">
      <c r="A85" s="82"/>
      <c r="B85" s="82"/>
      <c r="C85" s="82"/>
      <c r="D85" s="82"/>
      <c r="E85" s="13" t="s">
        <v>156</v>
      </c>
      <c r="F85" s="2"/>
      <c r="G85" s="2" t="s">
        <v>105</v>
      </c>
      <c r="H85" s="510" t="s">
        <v>157</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9.8619519740510775</v>
      </c>
      <c r="AS85" s="8">
        <f>SelectedInputs!AS147</f>
        <v>9.333543372489256</v>
      </c>
      <c r="AT85" s="8">
        <f>SelectedInputs!AT147</f>
        <v>9.6064885139086424</v>
      </c>
      <c r="AU85" s="8">
        <f>SelectedInputs!AU147</f>
        <v>9.9165578226378717</v>
      </c>
      <c r="AV85" s="8">
        <f>SelectedInputs!AV147</f>
        <v>10.183240575384069</v>
      </c>
    </row>
    <row r="86" spans="1:48" ht="15">
      <c r="A86" s="82"/>
      <c r="B86" s="82"/>
      <c r="C86" s="82"/>
      <c r="D86" s="82"/>
      <c r="E86" s="13" t="s">
        <v>158</v>
      </c>
      <c r="F86" s="2"/>
      <c r="G86" s="2" t="s">
        <v>105</v>
      </c>
      <c r="H86" s="510" t="s">
        <v>159</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1.5425606931445355</v>
      </c>
      <c r="AS86" s="8">
        <f>SelectedInputs!AS148</f>
        <v>1.5425606931445355</v>
      </c>
      <c r="AT86" s="8">
        <f>SelectedInputs!AT148</f>
        <v>1.5425606931445355</v>
      </c>
      <c r="AU86" s="8">
        <f>SelectedInputs!AU148</f>
        <v>1.5468991450940044</v>
      </c>
      <c r="AV86" s="8">
        <f>SelectedInputs!AV148</f>
        <v>1.5426248081979754</v>
      </c>
    </row>
    <row r="87" spans="1:48" ht="15">
      <c r="A87" s="82"/>
      <c r="B87" s="82"/>
      <c r="C87" s="82"/>
      <c r="D87" s="82"/>
      <c r="E87" s="13" t="s">
        <v>160</v>
      </c>
      <c r="F87" s="2"/>
      <c r="G87" s="2" t="s">
        <v>105</v>
      </c>
      <c r="H87" s="510" t="s">
        <v>161</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0.26886303637049769</v>
      </c>
      <c r="AS87" s="8">
        <f>SelectedInputs!AS149</f>
        <v>0.45317844893538078</v>
      </c>
      <c r="AT87" s="8">
        <f>SelectedInputs!AT149</f>
        <v>0.45317844893538073</v>
      </c>
      <c r="AU87" s="8">
        <f>SelectedInputs!AU149</f>
        <v>0.45317844893538078</v>
      </c>
      <c r="AV87" s="8">
        <f>SelectedInputs!AV149</f>
        <v>0.45317844893538078</v>
      </c>
    </row>
    <row r="88" spans="1:48" ht="15">
      <c r="A88" s="82"/>
      <c r="B88" s="82"/>
      <c r="C88" s="82"/>
      <c r="D88" s="82"/>
      <c r="E88" s="13" t="s">
        <v>162</v>
      </c>
      <c r="F88" s="2"/>
      <c r="G88" s="2" t="s">
        <v>105</v>
      </c>
      <c r="H88" s="510" t="s">
        <v>163</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2.8989749688509259E-2</v>
      </c>
      <c r="AS88" s="8">
        <f>SelectedInputs!AS150</f>
        <v>2.9275362985932998E-2</v>
      </c>
      <c r="AT88" s="8">
        <f>SelectedInputs!AT150</f>
        <v>2.9563790207469284E-2</v>
      </c>
      <c r="AU88" s="8">
        <f>SelectedInputs!AU150</f>
        <v>2.985505907650839E-2</v>
      </c>
      <c r="AV88" s="8">
        <f>SelectedInputs!AV150</f>
        <v>3.0149197589577438E-2</v>
      </c>
    </row>
    <row r="89" spans="1:48" ht="15">
      <c r="A89" s="82"/>
      <c r="B89" s="82"/>
      <c r="C89" s="82"/>
      <c r="D89" s="82"/>
      <c r="E89" s="13" t="s">
        <v>164</v>
      </c>
      <c r="F89" s="2"/>
      <c r="G89" s="2" t="s">
        <v>105</v>
      </c>
      <c r="H89" s="510" t="s">
        <v>165</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11.24847481786259</v>
      </c>
      <c r="AS89" s="8">
        <f>SelectedInputs!AS151</f>
        <v>0.35355742461087197</v>
      </c>
      <c r="AT89" s="8">
        <f>SelectedInputs!AT151</f>
        <v>0</v>
      </c>
      <c r="AU89" s="8">
        <f>SelectedInputs!AU151</f>
        <v>0</v>
      </c>
      <c r="AV89" s="8">
        <f>SelectedInputs!AV151</f>
        <v>0</v>
      </c>
    </row>
    <row r="90" spans="1:48" ht="15">
      <c r="A90" s="82"/>
      <c r="B90" s="82"/>
      <c r="C90" s="82"/>
      <c r="D90" s="82"/>
      <c r="E90" s="13" t="s">
        <v>166</v>
      </c>
      <c r="F90" s="2"/>
      <c r="G90" s="2" t="s">
        <v>105</v>
      </c>
      <c r="H90" s="510" t="s">
        <v>167</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0</v>
      </c>
      <c r="AS90" s="8">
        <f>SelectedInputs!AS152</f>
        <v>0</v>
      </c>
      <c r="AT90" s="8">
        <f>SelectedInputs!AT152</f>
        <v>0</v>
      </c>
      <c r="AU90" s="8">
        <f>SelectedInputs!AU152</f>
        <v>0</v>
      </c>
      <c r="AV90" s="8">
        <f>SelectedInputs!AV152</f>
        <v>0</v>
      </c>
    </row>
    <row r="91" spans="1:48" ht="15">
      <c r="A91" s="82"/>
      <c r="B91" s="82"/>
      <c r="C91" s="82"/>
      <c r="D91" s="82"/>
      <c r="E91" s="82" t="s">
        <v>168</v>
      </c>
      <c r="F91" s="82"/>
      <c r="G91" s="2" t="s">
        <v>105</v>
      </c>
      <c r="H91" s="510" t="s">
        <v>169</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8"/>
      <c r="AR91" s="30">
        <f>SelectedInputs!AR153</f>
        <v>5.2299114725253526</v>
      </c>
      <c r="AS91" s="30">
        <f>SelectedInputs!AS153</f>
        <v>-31.882685707301704</v>
      </c>
      <c r="AT91" s="30">
        <f>SelectedInputs!AT153</f>
        <v>0</v>
      </c>
      <c r="AU91" s="30">
        <f>SelectedInputs!AU153</f>
        <v>0</v>
      </c>
      <c r="AV91" s="30">
        <f>SelectedInputs!AV153</f>
        <v>0</v>
      </c>
    </row>
    <row r="92" spans="1:48" ht="15">
      <c r="A92" s="82"/>
      <c r="B92" s="82"/>
      <c r="C92" s="82"/>
      <c r="D92" s="82"/>
      <c r="E92" s="82" t="s">
        <v>170</v>
      </c>
      <c r="F92" s="82"/>
      <c r="G92" s="2" t="s">
        <v>105</v>
      </c>
      <c r="H92" s="510" t="s">
        <v>171</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8"/>
      <c r="AR92" s="30">
        <f>SelectedInputs!AR154</f>
        <v>0</v>
      </c>
      <c r="AS92" s="30">
        <f>SelectedInputs!AS154</f>
        <v>0</v>
      </c>
      <c r="AT92" s="30">
        <f>SelectedInputs!AT154</f>
        <v>0</v>
      </c>
      <c r="AU92" s="30">
        <f>SelectedInputs!AU154</f>
        <v>0</v>
      </c>
      <c r="AV92" s="30">
        <f>SelectedInputs!AV154</f>
        <v>0</v>
      </c>
    </row>
    <row r="93" spans="1:48" ht="15">
      <c r="A93" s="82"/>
      <c r="B93" s="82"/>
      <c r="C93" s="82"/>
      <c r="D93" s="82"/>
      <c r="E93" s="82" t="s">
        <v>172</v>
      </c>
      <c r="F93" s="2"/>
      <c r="G93" s="2" t="s">
        <v>105</v>
      </c>
      <c r="H93" s="510" t="s">
        <v>173</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8"/>
      <c r="AR93" s="8">
        <f>SelectedInputs!AR155</f>
        <v>0</v>
      </c>
      <c r="AS93" s="8">
        <f>SelectedInputs!AS155</f>
        <v>0</v>
      </c>
      <c r="AT93" s="8">
        <f>SelectedInputs!AT155</f>
        <v>0</v>
      </c>
      <c r="AU93" s="8">
        <f>SelectedInputs!AU155</f>
        <v>0</v>
      </c>
      <c r="AV93" s="8">
        <f>SelectedInputs!AV155</f>
        <v>0</v>
      </c>
    </row>
    <row r="94" spans="1:48" ht="15">
      <c r="A94" s="82"/>
      <c r="B94" s="82"/>
      <c r="C94" s="82"/>
      <c r="D94" s="82"/>
      <c r="E94" s="82" t="s">
        <v>174</v>
      </c>
      <c r="F94" s="82"/>
      <c r="G94" s="82" t="s">
        <v>105</v>
      </c>
      <c r="H94" s="510" t="s">
        <v>175</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8"/>
      <c r="AR94" s="8">
        <f>SelectedInputs!AR156</f>
        <v>0</v>
      </c>
      <c r="AS94" s="8">
        <f>SelectedInputs!AS156</f>
        <v>0</v>
      </c>
      <c r="AT94" s="8">
        <f>SelectedInputs!AT156</f>
        <v>0</v>
      </c>
      <c r="AU94" s="8">
        <f>SelectedInputs!AU156</f>
        <v>0</v>
      </c>
      <c r="AV94" s="8">
        <f>SelectedInputs!AV156</f>
        <v>0</v>
      </c>
    </row>
    <row r="95" spans="1:48" ht="15">
      <c r="A95" s="82"/>
      <c r="B95" s="82"/>
      <c r="C95" s="82"/>
      <c r="D95" s="82"/>
      <c r="E95" s="182" t="s">
        <v>176</v>
      </c>
      <c r="F95" s="82"/>
      <c r="G95" s="82" t="s">
        <v>105</v>
      </c>
      <c r="H95" s="510"/>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8"/>
      <c r="AR95" s="8">
        <f>SelectedInputs!AR157</f>
        <v>0</v>
      </c>
      <c r="AS95" s="8">
        <f>SelectedInputs!AS157</f>
        <v>0</v>
      </c>
      <c r="AT95" s="8">
        <f>SelectedInputs!AT157</f>
        <v>0</v>
      </c>
      <c r="AU95" s="8">
        <f>SelectedInputs!AU157</f>
        <v>0</v>
      </c>
      <c r="AV95" s="8">
        <f>SelectedInputs!AV157</f>
        <v>0</v>
      </c>
    </row>
    <row r="96" spans="1:48" ht="15">
      <c r="A96" s="82"/>
      <c r="B96" s="82"/>
      <c r="C96" s="82"/>
      <c r="D96" s="82"/>
      <c r="E96" s="182" t="s">
        <v>176</v>
      </c>
      <c r="F96" s="82"/>
      <c r="G96" s="82" t="s">
        <v>105</v>
      </c>
      <c r="H96" s="510"/>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8"/>
      <c r="AR96" s="8">
        <f>SelectedInputs!AR158</f>
        <v>0</v>
      </c>
      <c r="AS96" s="8">
        <f>SelectedInputs!AS158</f>
        <v>0</v>
      </c>
      <c r="AT96" s="8">
        <f>SelectedInputs!AT158</f>
        <v>0</v>
      </c>
      <c r="AU96" s="8">
        <f>SelectedInputs!AU158</f>
        <v>0</v>
      </c>
      <c r="AV96" s="8">
        <f>SelectedInputs!AV158</f>
        <v>0</v>
      </c>
    </row>
    <row r="97" spans="1:53" ht="15">
      <c r="A97" s="82"/>
      <c r="B97" s="82"/>
      <c r="C97" s="82"/>
      <c r="D97" s="82"/>
      <c r="E97" s="13" t="s">
        <v>571</v>
      </c>
      <c r="F97" s="2"/>
      <c r="G97" s="2" t="s">
        <v>105</v>
      </c>
      <c r="H97" s="510"/>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8"/>
      <c r="AR97" s="431">
        <f>SUM(AR83:AR91,AR93)-(AR92+AR94)+SUM(AR95:AR96)</f>
        <v>47.273409133187982</v>
      </c>
      <c r="AS97" s="431">
        <f>SUM(AS83:AS91,AS93)-(AS92+AS94)+SUM(AS95:AS96)</f>
        <v>2.0850963412769374E-2</v>
      </c>
      <c r="AT97" s="431">
        <f>SUM(AT83:AT91,AT93)-(AT92+AT94)+SUM(AT95:AT96)</f>
        <v>32.088294548153613</v>
      </c>
      <c r="AU97" s="431">
        <f>SUM(AU83:AU91,AU93)-(AU92+AU94)+SUM(AU95:AU96)</f>
        <v>32.431332171924097</v>
      </c>
      <c r="AV97" s="431">
        <f>SUM(AV83:AV91,AV93)-(AV92+AV94)+SUM(AV95:AV96)</f>
        <v>32.641919857311827</v>
      </c>
    </row>
    <row r="98" spans="1:53" ht="15">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5">
      <c r="A99" s="2"/>
      <c r="B99" s="2"/>
      <c r="C99" s="28" t="s">
        <v>177</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5">
      <c r="E101" s="82" t="s">
        <v>178</v>
      </c>
      <c r="G101" s="82" t="s">
        <v>105</v>
      </c>
      <c r="H101" s="82" t="s">
        <v>179</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3"/>
      <c r="AR101" s="465">
        <f>SelectedInputs!AR162</f>
        <v>0</v>
      </c>
      <c r="AS101" s="465">
        <f>SelectedInputs!AS162</f>
        <v>0</v>
      </c>
      <c r="AT101" s="465">
        <f>SelectedInputs!AT162</f>
        <v>0</v>
      </c>
      <c r="AU101" s="465">
        <f>SelectedInputs!AU162</f>
        <v>0</v>
      </c>
      <c r="AV101" s="465">
        <f>SelectedInputs!AV162</f>
        <v>0</v>
      </c>
      <c r="AW101" s="184"/>
      <c r="AX101" s="184"/>
      <c r="AY101" s="184"/>
      <c r="AZ101" s="184"/>
      <c r="BA101" s="184"/>
    </row>
    <row r="102" spans="1:53" s="82" customFormat="1" ht="15">
      <c r="E102" s="82" t="s">
        <v>180</v>
      </c>
      <c r="G102" s="82" t="s">
        <v>105</v>
      </c>
      <c r="H102" s="82" t="s">
        <v>181</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3"/>
      <c r="AR102" s="465">
        <f>SelectedInputs!AR163</f>
        <v>0</v>
      </c>
      <c r="AS102" s="465">
        <f>SelectedInputs!AS163</f>
        <v>0</v>
      </c>
      <c r="AT102" s="465">
        <f>SelectedInputs!AT163</f>
        <v>0</v>
      </c>
      <c r="AU102" s="465">
        <f>SelectedInputs!AU163</f>
        <v>0</v>
      </c>
      <c r="AV102" s="465">
        <f>SelectedInputs!AV163</f>
        <v>0</v>
      </c>
      <c r="AW102" s="184"/>
      <c r="AX102" s="184"/>
      <c r="AY102" s="184"/>
      <c r="AZ102" s="184"/>
      <c r="BA102" s="184"/>
    </row>
    <row r="103" spans="1:53" s="82" customFormat="1" ht="15">
      <c r="E103" s="82" t="s">
        <v>182</v>
      </c>
      <c r="G103" s="82" t="s">
        <v>105</v>
      </c>
      <c r="H103" s="82" t="s">
        <v>183</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3"/>
      <c r="AR103" s="465">
        <f>SelectedInputs!AR164</f>
        <v>-1.3314740347543448</v>
      </c>
      <c r="AS103" s="465">
        <f>SelectedInputs!AS164</f>
        <v>0</v>
      </c>
      <c r="AT103" s="465">
        <f>SelectedInputs!AT164</f>
        <v>0</v>
      </c>
      <c r="AU103" s="465">
        <f>SelectedInputs!AU164</f>
        <v>0</v>
      </c>
      <c r="AV103" s="465">
        <f>SelectedInputs!AV164</f>
        <v>0</v>
      </c>
      <c r="AW103" s="184"/>
      <c r="AX103" s="184"/>
      <c r="AY103" s="184"/>
      <c r="AZ103" s="184"/>
      <c r="BA103" s="184"/>
    </row>
    <row r="104" spans="1:53" s="82" customFormat="1" ht="15">
      <c r="E104" s="82" t="s">
        <v>184</v>
      </c>
      <c r="G104" s="82" t="s">
        <v>105</v>
      </c>
      <c r="H104" s="82" t="s">
        <v>185</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3"/>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5">
      <c r="E105" s="82" t="s">
        <v>186</v>
      </c>
      <c r="G105" s="82" t="s">
        <v>105</v>
      </c>
      <c r="H105" s="82" t="s">
        <v>187</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3"/>
      <c r="AR105" s="465">
        <f>SelectedInputs!AR166</f>
        <v>0</v>
      </c>
      <c r="AS105" s="465">
        <f>SelectedInputs!AS166</f>
        <v>0</v>
      </c>
      <c r="AT105" s="465">
        <f>SelectedInputs!AT166</f>
        <v>0</v>
      </c>
      <c r="AU105" s="465">
        <f>SelectedInputs!AU166</f>
        <v>0</v>
      </c>
      <c r="AV105" s="465">
        <f>SelectedInputs!AV166</f>
        <v>0</v>
      </c>
      <c r="AW105" s="184"/>
      <c r="AX105" s="184"/>
      <c r="AY105" s="184"/>
      <c r="AZ105" s="184"/>
      <c r="BA105" s="184"/>
    </row>
    <row r="106" spans="1:53" s="82" customFormat="1" ht="15">
      <c r="E106" s="82" t="s">
        <v>188</v>
      </c>
      <c r="G106" s="82" t="s">
        <v>105</v>
      </c>
      <c r="H106" s="82" t="s">
        <v>189</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3"/>
      <c r="AR106" s="465">
        <f>SelectedInputs!AR167</f>
        <v>0</v>
      </c>
      <c r="AS106" s="465">
        <f>SelectedInputs!AS167</f>
        <v>0</v>
      </c>
      <c r="AT106" s="465">
        <f>SelectedInputs!AT167</f>
        <v>0</v>
      </c>
      <c r="AU106" s="465">
        <f>SelectedInputs!AU167</f>
        <v>0</v>
      </c>
      <c r="AV106" s="465">
        <f>SelectedInputs!AV167</f>
        <v>0</v>
      </c>
      <c r="AW106" s="184"/>
      <c r="AX106" s="184"/>
      <c r="AY106" s="184"/>
      <c r="AZ106" s="184"/>
      <c r="BA106" s="184"/>
    </row>
    <row r="107" spans="1:53" s="82" customFormat="1" ht="15">
      <c r="E107" s="82" t="s">
        <v>190</v>
      </c>
      <c r="G107" s="82" t="s">
        <v>105</v>
      </c>
      <c r="H107" s="82" t="s">
        <v>191</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3"/>
      <c r="AR107" s="465">
        <f>SelectedInputs!AR168</f>
        <v>0</v>
      </c>
      <c r="AS107" s="465">
        <f>SelectedInputs!AS168</f>
        <v>0</v>
      </c>
      <c r="AT107" s="465">
        <f>SelectedInputs!AT168</f>
        <v>0</v>
      </c>
      <c r="AU107" s="465">
        <f>SelectedInputs!AU168</f>
        <v>0</v>
      </c>
      <c r="AV107" s="465">
        <f>SelectedInputs!AV168</f>
        <v>0</v>
      </c>
      <c r="AW107" s="184"/>
      <c r="AX107" s="184"/>
      <c r="AY107" s="184"/>
      <c r="AZ107" s="184"/>
      <c r="BA107" s="184"/>
    </row>
    <row r="108" spans="1:53" s="82" customFormat="1" ht="15">
      <c r="E108" s="82" t="s">
        <v>192</v>
      </c>
      <c r="G108" s="82" t="s">
        <v>105</v>
      </c>
      <c r="H108" s="82" t="s">
        <v>193</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3"/>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5">
      <c r="E109" s="182" t="s">
        <v>176</v>
      </c>
      <c r="G109" s="82" t="s">
        <v>105</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3"/>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5">
      <c r="E110" s="182" t="s">
        <v>176</v>
      </c>
      <c r="G110" s="82" t="s">
        <v>105</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3"/>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5">
      <c r="E111" s="82" t="s">
        <v>572</v>
      </c>
      <c r="G111" s="82" t="s">
        <v>105</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3"/>
      <c r="AR111" s="466">
        <f>SUM(AR101:AR110)</f>
        <v>-1.3314740347543448</v>
      </c>
      <c r="AS111" s="467">
        <f>SUM(AS101:AS110)</f>
        <v>0</v>
      </c>
      <c r="AT111" s="467">
        <f>SUM(AT101:AT110)</f>
        <v>0</v>
      </c>
      <c r="AU111" s="467">
        <f>SUM(AU101:AU110)</f>
        <v>0</v>
      </c>
      <c r="AV111" s="467">
        <f>SUM(AV101:AV110)</f>
        <v>0</v>
      </c>
      <c r="AW111" s="184"/>
      <c r="AX111" s="184"/>
      <c r="AY111" s="184"/>
      <c r="AZ111" s="184"/>
      <c r="BA111" s="184"/>
    </row>
    <row r="112" spans="1:53" s="82" customFormat="1" ht="15">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3"/>
      <c r="AR112" s="145"/>
      <c r="AS112" s="184"/>
      <c r="AT112" s="184"/>
      <c r="AU112" s="184"/>
      <c r="AV112" s="184"/>
      <c r="AW112" s="184"/>
      <c r="AX112" s="184"/>
      <c r="AY112" s="184"/>
      <c r="AZ112" s="184"/>
      <c r="BA112" s="184"/>
    </row>
    <row r="113" spans="1:48" ht="15">
      <c r="A113" s="82"/>
      <c r="B113" s="2"/>
      <c r="C113" s="82"/>
      <c r="D113" s="82"/>
      <c r="E113" s="82" t="s">
        <v>194</v>
      </c>
      <c r="F113" s="82"/>
      <c r="G113" s="82" t="s">
        <v>105</v>
      </c>
      <c r="H113" s="82" t="s">
        <v>195</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0</v>
      </c>
      <c r="AS113" s="30">
        <f>SelectedInputs!AS173</f>
        <v>0</v>
      </c>
      <c r="AT113" s="30">
        <f>SelectedInputs!AT173</f>
        <v>0</v>
      </c>
      <c r="AU113" s="30">
        <f>SelectedInputs!AU173</f>
        <v>0</v>
      </c>
      <c r="AV113" s="30">
        <f>SelectedInputs!AV173</f>
        <v>0</v>
      </c>
    </row>
    <row r="114" spans="1:48" ht="15">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5">
      <c r="A115" s="2"/>
      <c r="B115" s="2"/>
      <c r="C115" s="28" t="s">
        <v>3</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5">
      <c r="A116" s="82"/>
      <c r="B116" s="82"/>
      <c r="C116" s="82"/>
      <c r="D116" s="82"/>
      <c r="E116" s="82"/>
      <c r="F116" s="82"/>
      <c r="G116" s="82"/>
      <c r="H116" s="82"/>
      <c r="I116" s="278" t="s">
        <v>573</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5">
      <c r="A117" s="94"/>
      <c r="B117" s="2"/>
      <c r="C117" s="194"/>
      <c r="D117" s="82"/>
      <c r="E117" s="13" t="s">
        <v>196</v>
      </c>
      <c r="F117" s="2"/>
      <c r="G117" s="2" t="s">
        <v>105</v>
      </c>
      <c r="H117" s="82" t="s">
        <v>197</v>
      </c>
      <c r="I117" s="262">
        <f>SelectedInputs!AR184</f>
        <v>1.111111</v>
      </c>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89"/>
      <c r="AR117" s="7">
        <f>SelectedInputs!AR177</f>
        <v>0.64894579200000002</v>
      </c>
      <c r="AS117" s="7">
        <f>SelectedInputs!AS177</f>
        <v>0.64894579200000002</v>
      </c>
      <c r="AT117" s="7">
        <f>SelectedInputs!AT177</f>
        <v>0.64894579200000002</v>
      </c>
      <c r="AU117" s="7">
        <f>SelectedInputs!AU177</f>
        <v>0.64894579200000002</v>
      </c>
      <c r="AV117" s="7">
        <f>SelectedInputs!AV177</f>
        <v>0.60421683200000009</v>
      </c>
    </row>
    <row r="118" spans="1:48" ht="15">
      <c r="A118" s="94"/>
      <c r="B118" s="2"/>
      <c r="C118" s="194"/>
      <c r="D118" s="82"/>
      <c r="E118" s="82" t="s">
        <v>198</v>
      </c>
      <c r="F118" s="2"/>
      <c r="G118" s="2" t="s">
        <v>105</v>
      </c>
      <c r="H118" s="82" t="s">
        <v>199</v>
      </c>
      <c r="I118" s="262">
        <f>SelectedInputs!AR185</f>
        <v>1.111111</v>
      </c>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89"/>
      <c r="AR118" s="7">
        <f>SelectedInputs!AR178</f>
        <v>0.40313568928037186</v>
      </c>
      <c r="AS118" s="7">
        <f>SelectedInputs!AS178</f>
        <v>0</v>
      </c>
      <c r="AT118" s="7">
        <f>SelectedInputs!AT178</f>
        <v>0</v>
      </c>
      <c r="AU118" s="7">
        <f>SelectedInputs!AU178</f>
        <v>0</v>
      </c>
      <c r="AV118" s="7">
        <f>SelectedInputs!AV178</f>
        <v>0</v>
      </c>
    </row>
    <row r="119" spans="1:48" ht="15">
      <c r="A119" s="94"/>
      <c r="B119" s="2"/>
      <c r="C119" s="194"/>
      <c r="D119" s="82"/>
      <c r="E119" s="82" t="s">
        <v>200</v>
      </c>
      <c r="F119" s="2"/>
      <c r="G119" s="2" t="s">
        <v>105</v>
      </c>
      <c r="H119" s="82" t="s">
        <v>201</v>
      </c>
      <c r="I119" s="262">
        <f>SelectedInputs!AR186</f>
        <v>1.111111</v>
      </c>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89"/>
      <c r="AR119" s="7">
        <f>SelectedInputs!AR179</f>
        <v>0</v>
      </c>
      <c r="AS119" s="7">
        <f>SelectedInputs!AS179</f>
        <v>0</v>
      </c>
      <c r="AT119" s="7">
        <f>SelectedInputs!AT179</f>
        <v>0</v>
      </c>
      <c r="AU119" s="7">
        <f>SelectedInputs!AU179</f>
        <v>0</v>
      </c>
      <c r="AV119" s="7">
        <f>SelectedInputs!AV179</f>
        <v>0</v>
      </c>
    </row>
    <row r="120" spans="1:48" ht="15">
      <c r="A120" s="94"/>
      <c r="B120" s="2"/>
      <c r="C120" s="194"/>
      <c r="D120" s="82"/>
      <c r="E120" s="82" t="s">
        <v>202</v>
      </c>
      <c r="F120" s="2"/>
      <c r="G120" s="2" t="s">
        <v>105</v>
      </c>
      <c r="H120" s="82" t="s">
        <v>203</v>
      </c>
      <c r="I120" s="262"/>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89"/>
      <c r="AR120" s="7">
        <f>SelectedInputs!AR180</f>
        <v>0</v>
      </c>
      <c r="AS120" s="7">
        <f>SelectedInputs!AS180</f>
        <v>0</v>
      </c>
      <c r="AT120" s="7">
        <f>SelectedInputs!AT180</f>
        <v>0</v>
      </c>
      <c r="AU120" s="7">
        <f>SelectedInputs!AU180</f>
        <v>0</v>
      </c>
      <c r="AV120" s="7">
        <f>SelectedInputs!AV180</f>
        <v>0</v>
      </c>
    </row>
    <row r="121" spans="1:48" ht="15">
      <c r="A121" s="94"/>
      <c r="B121" s="2"/>
      <c r="C121" s="194"/>
      <c r="D121" s="82"/>
      <c r="E121" s="2" t="s">
        <v>204</v>
      </c>
      <c r="F121" s="82"/>
      <c r="G121" s="2" t="s">
        <v>105</v>
      </c>
      <c r="H121" s="82" t="s">
        <v>205</v>
      </c>
      <c r="I121" s="30"/>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89"/>
      <c r="AR121" s="30">
        <f>SelectedInputs!AR181</f>
        <v>0</v>
      </c>
      <c r="AS121" s="30">
        <f>SelectedInputs!AS181</f>
        <v>0</v>
      </c>
      <c r="AT121" s="30">
        <f>SelectedInputs!AT181</f>
        <v>0</v>
      </c>
      <c r="AU121" s="30">
        <f>SelectedInputs!AU181</f>
        <v>0</v>
      </c>
      <c r="AV121" s="30">
        <f>SelectedInputs!AV181</f>
        <v>0</v>
      </c>
    </row>
    <row r="122" spans="1:48" ht="15">
      <c r="A122" s="94"/>
      <c r="B122" s="2"/>
      <c r="C122" s="194"/>
      <c r="D122" s="82"/>
      <c r="E122" s="2" t="s">
        <v>206</v>
      </c>
      <c r="F122" s="82"/>
      <c r="G122" s="2" t="s">
        <v>105</v>
      </c>
      <c r="H122" s="82" t="s">
        <v>207</v>
      </c>
      <c r="I122" s="30"/>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89"/>
      <c r="AR122" s="30">
        <f>SelectedInputs!AR182</f>
        <v>0</v>
      </c>
      <c r="AS122" s="30">
        <f>SelectedInputs!AS182</f>
        <v>0</v>
      </c>
      <c r="AT122" s="30">
        <f>SelectedInputs!AT182</f>
        <v>0</v>
      </c>
      <c r="AU122" s="30">
        <f>SelectedInputs!AU182</f>
        <v>0</v>
      </c>
      <c r="AV122" s="30">
        <f>SelectedInputs!AV182</f>
        <v>0</v>
      </c>
    </row>
    <row r="123" spans="1:48" ht="15">
      <c r="A123" s="94"/>
      <c r="B123" s="2"/>
      <c r="C123" s="194"/>
      <c r="D123" s="194"/>
      <c r="E123" s="13" t="s">
        <v>574</v>
      </c>
      <c r="F123" s="2"/>
      <c r="G123" s="2" t="s">
        <v>105</v>
      </c>
      <c r="H123" s="2"/>
      <c r="I123" s="30"/>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89"/>
      <c r="AR123" s="525">
        <f>SUM(AR117:AR122)</f>
        <v>1.0520814812803718</v>
      </c>
      <c r="AS123" s="526">
        <f>SUM(AS117:AS122)</f>
        <v>0.64894579200000002</v>
      </c>
      <c r="AT123" s="526">
        <f>SUM(AT117:AT122)</f>
        <v>0.64894579200000002</v>
      </c>
      <c r="AU123" s="526">
        <f>SUM(AU117:AU122)</f>
        <v>0.64894579200000002</v>
      </c>
      <c r="AV123" s="526">
        <f>SUM(AV117:AV122)</f>
        <v>0.60421683200000009</v>
      </c>
    </row>
    <row r="124" spans="1:48" ht="15">
      <c r="A124" s="94"/>
      <c r="B124" s="2"/>
      <c r="C124" s="194"/>
      <c r="D124" s="194"/>
      <c r="E124" s="13" t="s">
        <v>575</v>
      </c>
      <c r="F124" s="2"/>
      <c r="G124" s="2" t="s">
        <v>105</v>
      </c>
      <c r="H124" s="2"/>
      <c r="I124" s="30"/>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89"/>
      <c r="AR124" s="453">
        <f xml:space="preserve"> - SUMPRODUCT($I$117:$I$119,AR117:AR119)</f>
        <v>-1.1689793067469152</v>
      </c>
      <c r="AS124" s="30">
        <f xml:space="preserve"> - SUMPRODUCT($I$117:$I$119,AS117:AS119)</f>
        <v>-0.72105080789491205</v>
      </c>
      <c r="AT124" s="30">
        <f xml:space="preserve"> - SUMPRODUCT($I$117:$I$119,AT117:AT119)</f>
        <v>-0.72105080789491205</v>
      </c>
      <c r="AU124" s="30">
        <f xml:space="preserve"> - SUMPRODUCT($I$117:$I$119,AU117:AU119)</f>
        <v>-0.72105080789491205</v>
      </c>
      <c r="AV124" s="30">
        <f xml:space="preserve"> - SUMPRODUCT($I$117:$I$119,AV117:AV119)</f>
        <v>-0.67135196842035205</v>
      </c>
    </row>
    <row r="125" spans="1:48" ht="1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5">
      <c r="A126" s="2"/>
      <c r="B126" s="2"/>
      <c r="C126" s="28" t="s">
        <v>212</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5">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5">
      <c r="A128" s="82"/>
      <c r="B128" s="82"/>
      <c r="C128" s="82"/>
      <c r="D128" s="10" t="s">
        <v>576</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5">
      <c r="A129" s="82"/>
      <c r="B129" s="82"/>
      <c r="C129" s="82"/>
      <c r="D129" s="82"/>
      <c r="E129" s="82" t="s">
        <v>214</v>
      </c>
      <c r="F129" s="82"/>
      <c r="G129" s="82" t="s">
        <v>105</v>
      </c>
      <c r="H129" s="82" t="s">
        <v>215</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30.382676723211503</v>
      </c>
      <c r="AS129" s="8">
        <f>SelectedInputs!AS191</f>
        <v>30.354387251843882</v>
      </c>
      <c r="AT129" s="8">
        <f>SelectedInputs!AT191</f>
        <v>30.422963373807043</v>
      </c>
      <c r="AU129" s="8">
        <f>SelectedInputs!AU191</f>
        <v>30.569850594111124</v>
      </c>
      <c r="AV129" s="8">
        <f>SelectedInputs!AV191</f>
        <v>30.782463404431688</v>
      </c>
    </row>
    <row r="130" spans="1:48" ht="15">
      <c r="A130" s="82"/>
      <c r="B130" s="82"/>
      <c r="C130" s="82"/>
      <c r="D130" s="82"/>
      <c r="E130" s="82" t="s">
        <v>216</v>
      </c>
      <c r="F130" s="82"/>
      <c r="G130" s="82" t="s">
        <v>105</v>
      </c>
      <c r="H130" s="82" t="s">
        <v>217</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-30.152701627776086</v>
      </c>
      <c r="AS130" s="8">
        <f>SelectedInputs!AS192</f>
        <v>-30.126420932630207</v>
      </c>
      <c r="AT130" s="8">
        <f>SelectedInputs!AT192</f>
        <v>-30.194158398737418</v>
      </c>
      <c r="AU130" s="8">
        <f>SelectedInputs!AU192</f>
        <v>-30.338072363849495</v>
      </c>
      <c r="AV130" s="8">
        <f>SelectedInputs!AV192</f>
        <v>-30.546116006737311</v>
      </c>
    </row>
    <row r="131" spans="1:48" ht="15">
      <c r="A131" s="82"/>
      <c r="B131" s="82"/>
      <c r="C131" s="82"/>
      <c r="D131" s="82"/>
      <c r="E131" s="82" t="s">
        <v>577</v>
      </c>
      <c r="F131" s="82"/>
      <c r="G131" s="2" t="s">
        <v>105</v>
      </c>
      <c r="H131" s="82" t="s">
        <v>219</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3.6505223470895505</v>
      </c>
      <c r="AS131" s="8">
        <f>SelectedInputs!AS193</f>
        <v>3.6505223470895505</v>
      </c>
      <c r="AT131" s="8">
        <f>SelectedInputs!AT193</f>
        <v>3.6505223470895505</v>
      </c>
      <c r="AU131" s="8">
        <f>SelectedInputs!AU193</f>
        <v>3.6505223470895505</v>
      </c>
      <c r="AV131" s="8">
        <f>SelectedInputs!AV193</f>
        <v>3.6505223470895505</v>
      </c>
    </row>
    <row r="132" spans="1:48" ht="15">
      <c r="A132" s="82"/>
      <c r="B132" s="82"/>
      <c r="C132" s="82"/>
      <c r="D132" s="82"/>
      <c r="E132" s="82" t="s">
        <v>578</v>
      </c>
      <c r="F132" s="82"/>
      <c r="G132" s="2" t="s">
        <v>105</v>
      </c>
      <c r="H132" s="82" t="s">
        <v>221</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-3.6512633256537765</v>
      </c>
      <c r="AS132" s="8">
        <f>SelectedInputs!AS194</f>
        <v>-3.6512633256537765</v>
      </c>
      <c r="AT132" s="8">
        <f>SelectedInputs!AT194</f>
        <v>-3.6512633256537765</v>
      </c>
      <c r="AU132" s="8">
        <f>SelectedInputs!AU194</f>
        <v>-3.6512633256537765</v>
      </c>
      <c r="AV132" s="8">
        <f>SelectedInputs!AV194</f>
        <v>-3.6512633256537765</v>
      </c>
    </row>
    <row r="133" spans="1:48" ht="15">
      <c r="A133" s="82"/>
      <c r="B133" s="82"/>
      <c r="C133" s="82"/>
      <c r="D133" s="82"/>
      <c r="E133" s="82" t="s">
        <v>579</v>
      </c>
      <c r="F133" s="82"/>
      <c r="G133" s="2" t="s">
        <v>105</v>
      </c>
      <c r="H133" s="82" t="s">
        <v>223</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1.5824153286714904</v>
      </c>
      <c r="AS133" s="8">
        <f>SelectedInputs!AS195</f>
        <v>1.5824153286714904</v>
      </c>
      <c r="AT133" s="8">
        <f>SelectedInputs!AT195</f>
        <v>1.5824153286714904</v>
      </c>
      <c r="AU133" s="8">
        <f>SelectedInputs!AU195</f>
        <v>1.5824153286714904</v>
      </c>
      <c r="AV133" s="8">
        <f>SelectedInputs!AV195</f>
        <v>1.5824153286714904</v>
      </c>
    </row>
    <row r="134" spans="1:48" ht="15">
      <c r="A134" s="82"/>
      <c r="B134" s="82"/>
      <c r="C134" s="82"/>
      <c r="D134" s="82"/>
      <c r="E134" s="82" t="s">
        <v>580</v>
      </c>
      <c r="F134" s="82"/>
      <c r="G134" s="2" t="s">
        <v>105</v>
      </c>
      <c r="H134" s="82" t="s">
        <v>225</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-1.3136782269317175</v>
      </c>
      <c r="AS134" s="8">
        <f>SelectedInputs!AS196</f>
        <v>-1.3136782269317175</v>
      </c>
      <c r="AT134" s="8">
        <f>SelectedInputs!AT196</f>
        <v>-1.3136782269317175</v>
      </c>
      <c r="AU134" s="8">
        <f>SelectedInputs!AU196</f>
        <v>-1.3136782269317175</v>
      </c>
      <c r="AV134" s="8">
        <f>SelectedInputs!AV196</f>
        <v>-1.3136782269317175</v>
      </c>
    </row>
    <row r="135" spans="1:48" ht="15">
      <c r="A135" s="82"/>
      <c r="B135" s="82"/>
      <c r="C135" s="82"/>
      <c r="D135" s="82"/>
      <c r="E135" s="82" t="s">
        <v>226</v>
      </c>
      <c r="F135" s="82"/>
      <c r="G135" s="2" t="s">
        <v>105</v>
      </c>
      <c r="H135" s="82" t="s">
        <v>227</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5">
      <c r="A136" s="82"/>
      <c r="B136" s="82"/>
      <c r="C136" s="82"/>
      <c r="D136" s="82"/>
      <c r="E136" s="82" t="s">
        <v>228</v>
      </c>
      <c r="F136" s="82"/>
      <c r="G136" s="2" t="s">
        <v>105</v>
      </c>
      <c r="H136" s="82" t="s">
        <v>229</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5">
      <c r="A137" s="82"/>
      <c r="B137" s="82"/>
      <c r="C137" s="82"/>
      <c r="D137" s="82"/>
      <c r="E137" s="82" t="s">
        <v>230</v>
      </c>
      <c r="F137" s="82"/>
      <c r="G137" s="2" t="s">
        <v>105</v>
      </c>
      <c r="H137" s="82" t="s">
        <v>231</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v>
      </c>
      <c r="AS137" s="8">
        <f>SelectedInputs!AS199</f>
        <v>0</v>
      </c>
      <c r="AT137" s="8">
        <f>SelectedInputs!AT199</f>
        <v>0</v>
      </c>
      <c r="AU137" s="8">
        <f>SelectedInputs!AU199</f>
        <v>0</v>
      </c>
      <c r="AV137" s="8">
        <f>SelectedInputs!AV199</f>
        <v>0</v>
      </c>
    </row>
    <row r="138" spans="1:48" ht="15">
      <c r="A138" s="82"/>
      <c r="B138" s="82"/>
      <c r="C138" s="82"/>
      <c r="D138" s="82"/>
      <c r="E138" s="82" t="s">
        <v>232</v>
      </c>
      <c r="F138" s="82"/>
      <c r="G138" s="2" t="s">
        <v>105</v>
      </c>
      <c r="H138" s="82" t="s">
        <v>233</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v>
      </c>
      <c r="AS138" s="8">
        <f>SelectedInputs!AS200</f>
        <v>0</v>
      </c>
      <c r="AT138" s="8">
        <f>SelectedInputs!AT200</f>
        <v>0</v>
      </c>
      <c r="AU138" s="8">
        <f>SelectedInputs!AU200</f>
        <v>0</v>
      </c>
      <c r="AV138" s="8">
        <f>SelectedInputs!AV200</f>
        <v>0</v>
      </c>
    </row>
    <row r="139" spans="1:48" ht="15">
      <c r="A139" s="82"/>
      <c r="B139" s="82"/>
      <c r="C139" s="82"/>
      <c r="D139" s="82"/>
      <c r="E139" s="82" t="s">
        <v>234</v>
      </c>
      <c r="F139" s="82"/>
      <c r="G139" s="2" t="s">
        <v>105</v>
      </c>
      <c r="H139" s="82" t="s">
        <v>235</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1.1352307266188899</v>
      </c>
      <c r="AS139" s="8">
        <f>SelectedInputs!AS201</f>
        <v>0.64529761871795399</v>
      </c>
      <c r="AT139" s="8">
        <f>SelectedInputs!AT201</f>
        <v>0.30960396111429667</v>
      </c>
      <c r="AU139" s="8">
        <f>SelectedInputs!AU201</f>
        <v>0.10523998392586797</v>
      </c>
      <c r="AV139" s="8">
        <f>SelectedInputs!AV201</f>
        <v>5.6766784139361093E-2</v>
      </c>
    </row>
    <row r="140" spans="1:48" ht="15">
      <c r="A140" s="82"/>
      <c r="B140" s="82"/>
      <c r="C140" s="82"/>
      <c r="D140" s="82"/>
      <c r="E140" s="82" t="s">
        <v>236</v>
      </c>
      <c r="F140" s="82"/>
      <c r="G140" s="2" t="s">
        <v>105</v>
      </c>
      <c r="H140" s="82" t="s">
        <v>237</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-4.5826821609020144E-2</v>
      </c>
      <c r="AS140" s="8">
        <f>SelectedInputs!AS202</f>
        <v>-4.5826821609020144E-2</v>
      </c>
      <c r="AT140" s="8">
        <f>SelectedInputs!AT202</f>
        <v>-4.5826821609020144E-2</v>
      </c>
      <c r="AU140" s="8">
        <f>SelectedInputs!AU202</f>
        <v>-4.5826821609020144E-2</v>
      </c>
      <c r="AV140" s="8">
        <f>SelectedInputs!AV202</f>
        <v>-4.5826821609020144E-2</v>
      </c>
    </row>
    <row r="141" spans="1:48" ht="15">
      <c r="A141" s="82"/>
      <c r="B141" s="82"/>
      <c r="C141" s="82"/>
      <c r="D141" s="82"/>
      <c r="E141" s="82" t="s">
        <v>238</v>
      </c>
      <c r="F141" s="82"/>
      <c r="G141" s="2" t="s">
        <v>105</v>
      </c>
      <c r="H141" s="82" t="s">
        <v>239</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5">
      <c r="A142" s="82"/>
      <c r="B142" s="82"/>
      <c r="C142" s="82"/>
      <c r="D142" s="82"/>
      <c r="E142" s="82" t="s">
        <v>240</v>
      </c>
      <c r="F142" s="82"/>
      <c r="G142" s="2" t="s">
        <v>105</v>
      </c>
      <c r="H142" s="82" t="s">
        <v>241</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5">
      <c r="A143" s="82"/>
      <c r="B143" s="82"/>
      <c r="C143" s="82"/>
      <c r="D143" s="82"/>
      <c r="E143" s="2" t="s">
        <v>581</v>
      </c>
      <c r="F143" s="82"/>
      <c r="G143" s="2" t="s">
        <v>105</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6"/>
      <c r="AK143" s="526"/>
      <c r="AL143" s="526"/>
      <c r="AM143" s="526"/>
      <c r="AN143" s="526"/>
      <c r="AO143" s="526"/>
      <c r="AP143" s="526"/>
      <c r="AQ143" s="531"/>
      <c r="AR143" s="526">
        <f t="shared" ref="AR143:AV144" si="9">(AR129+AR131+AR133+AR135+AR137+AR139+AR141)</f>
        <v>36.750845125591432</v>
      </c>
      <c r="AS143" s="526">
        <f t="shared" si="9"/>
        <v>36.232622546322872</v>
      </c>
      <c r="AT143" s="526">
        <f t="shared" si="9"/>
        <v>35.965505010682378</v>
      </c>
      <c r="AU143" s="526">
        <f t="shared" si="9"/>
        <v>35.90802825379803</v>
      </c>
      <c r="AV143" s="526">
        <f t="shared" si="9"/>
        <v>36.072167864332087</v>
      </c>
    </row>
    <row r="144" spans="1:48" ht="15">
      <c r="A144" s="82"/>
      <c r="B144" s="82"/>
      <c r="C144" s="82"/>
      <c r="D144" s="82"/>
      <c r="E144" s="2" t="s">
        <v>582</v>
      </c>
      <c r="F144" s="82"/>
      <c r="G144" s="2" t="s">
        <v>105</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8"/>
      <c r="AR144" s="30">
        <f t="shared" si="9"/>
        <v>-35.163470001970602</v>
      </c>
      <c r="AS144" s="30">
        <f t="shared" si="9"/>
        <v>-35.137189306824723</v>
      </c>
      <c r="AT144" s="30">
        <f t="shared" si="9"/>
        <v>-35.204926772931934</v>
      </c>
      <c r="AU144" s="30">
        <f t="shared" si="9"/>
        <v>-35.348840738044011</v>
      </c>
      <c r="AV144" s="30">
        <f t="shared" si="9"/>
        <v>-35.556884380931827</v>
      </c>
    </row>
    <row r="145" spans="1:48" ht="1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8"/>
      <c r="AR145" s="82"/>
      <c r="AS145" s="82"/>
      <c r="AT145" s="82"/>
      <c r="AU145" s="82"/>
      <c r="AV145" s="82"/>
    </row>
    <row r="146" spans="1:48" ht="15">
      <c r="A146" s="82"/>
      <c r="B146" s="82"/>
      <c r="C146" s="82"/>
      <c r="D146" s="82"/>
      <c r="E146" s="13" t="s">
        <v>242</v>
      </c>
      <c r="F146" s="13"/>
      <c r="G146" s="2" t="s">
        <v>105</v>
      </c>
      <c r="H146" s="82" t="s">
        <v>243</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8"/>
      <c r="AR146" s="30">
        <f>SelectedInputs!AR205</f>
        <v>3.7623428995071047E-2</v>
      </c>
      <c r="AS146" s="30">
        <f>SelectedInputs!AS205</f>
        <v>3.7623428995071047E-2</v>
      </c>
      <c r="AT146" s="30">
        <f>SelectedInputs!AT205</f>
        <v>3.7623428995071047E-2</v>
      </c>
      <c r="AU146" s="30">
        <f>SelectedInputs!AU205</f>
        <v>3.7623428995071047E-2</v>
      </c>
      <c r="AV146" s="30">
        <f>SelectedInputs!AV205</f>
        <v>3.7623428995071047E-2</v>
      </c>
    </row>
    <row r="147" spans="1:48" ht="15">
      <c r="A147" s="82"/>
      <c r="B147" s="82"/>
      <c r="C147" s="82"/>
      <c r="D147" s="82"/>
      <c r="E147" s="13" t="s">
        <v>244</v>
      </c>
      <c r="F147" s="13"/>
      <c r="G147" s="2" t="s">
        <v>105</v>
      </c>
      <c r="H147" s="82" t="s">
        <v>245</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8"/>
      <c r="AR147" s="30">
        <f>SelectedInputs!AR206</f>
        <v>0</v>
      </c>
      <c r="AS147" s="30">
        <f>SelectedInputs!AS206</f>
        <v>0</v>
      </c>
      <c r="AT147" s="30">
        <f>SelectedInputs!AT206</f>
        <v>0</v>
      </c>
      <c r="AU147" s="30">
        <f>SelectedInputs!AU206</f>
        <v>0</v>
      </c>
      <c r="AV147" s="30">
        <f>SelectedInputs!AV206</f>
        <v>0</v>
      </c>
    </row>
    <row r="148" spans="1:48" ht="15">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5">
      <c r="A149" s="82"/>
      <c r="B149" s="82"/>
      <c r="C149" s="82"/>
      <c r="D149" s="82"/>
      <c r="E149" s="2" t="s">
        <v>583</v>
      </c>
      <c r="F149" s="82"/>
      <c r="G149" s="2" t="s">
        <v>105</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-3.7623428995071047E-2</v>
      </c>
      <c r="AS149" s="30">
        <f>-SUM(AS146:AS147)</f>
        <v>-3.7623428995071047E-2</v>
      </c>
      <c r="AT149" s="30">
        <f>-SUM(AT146:AT147)</f>
        <v>-3.7623428995071047E-2</v>
      </c>
      <c r="AU149" s="30">
        <f>-SUM(AU146:AU147)</f>
        <v>-3.7623428995071047E-2</v>
      </c>
      <c r="AV149" s="30">
        <f>-SUM(AV146:AV147)</f>
        <v>-3.7623428995071047E-2</v>
      </c>
    </row>
    <row r="150" spans="1:48" ht="15">
      <c r="A150" s="82"/>
      <c r="B150" s="82"/>
      <c r="C150" s="82"/>
      <c r="D150" s="82"/>
      <c r="E150" s="2" t="s">
        <v>584</v>
      </c>
      <c r="F150" s="82"/>
      <c r="G150" s="2" t="s">
        <v>105</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1.6249985526159016</v>
      </c>
      <c r="AS150" s="30">
        <f>SUM(AS143:AS144) + SUM(AS146:AS147)</f>
        <v>1.1330566684932202</v>
      </c>
      <c r="AT150" s="30">
        <f>SUM(AT143:AT144) + SUM(AT146:AT147)</f>
        <v>0.79820166674551507</v>
      </c>
      <c r="AU150" s="30">
        <f>SUM(AU143:AU144) + SUM(AU146:AU147)</f>
        <v>0.5968109447490898</v>
      </c>
      <c r="AV150" s="30">
        <f>SUM(AV143:AV144) + SUM(AV146:AV147)</f>
        <v>0.55290691239533152</v>
      </c>
    </row>
    <row r="151" spans="1:48" ht="15">
      <c r="A151" s="82"/>
      <c r="B151" s="82"/>
      <c r="C151" s="82"/>
      <c r="D151" s="82"/>
      <c r="E151" s="2" t="s">
        <v>585</v>
      </c>
      <c r="F151" s="82"/>
      <c r="G151" s="2" t="s">
        <v>105</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3.7623428995071047E-2</v>
      </c>
      <c r="AS151" s="30">
        <f>SUM(AS146:AS147)</f>
        <v>3.7623428995071047E-2</v>
      </c>
      <c r="AT151" s="30">
        <f>SUM(AT146:AT147)</f>
        <v>3.7623428995071047E-2</v>
      </c>
      <c r="AU151" s="30">
        <f>SUM(AU146:AU147)</f>
        <v>3.7623428995071047E-2</v>
      </c>
      <c r="AV151" s="30">
        <f>SUM(AV146:AV147)</f>
        <v>3.7623428995071047E-2</v>
      </c>
    </row>
    <row r="152" spans="1:48" ht="15">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5">
      <c r="A153" s="2"/>
      <c r="B153" s="37" t="s">
        <v>246</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5">
      <c r="A155" s="2"/>
      <c r="B155" s="2"/>
      <c r="C155" s="28" t="s">
        <v>586</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5">
      <c r="A156" s="2"/>
      <c r="B156" s="2"/>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89"/>
      <c r="AR156" s="194"/>
      <c r="AS156" s="194"/>
      <c r="AT156" s="194"/>
      <c r="AU156" s="194"/>
      <c r="AV156" s="194"/>
    </row>
    <row r="157" spans="1:48" ht="15">
      <c r="A157" s="2"/>
      <c r="B157" s="2"/>
      <c r="C157" s="194"/>
      <c r="D157" s="2"/>
      <c r="E157" s="2" t="s">
        <v>248</v>
      </c>
      <c r="F157" s="2"/>
      <c r="G157" s="7" t="s">
        <v>249</v>
      </c>
      <c r="H157" s="82" t="s">
        <v>250</v>
      </c>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89"/>
      <c r="AR157" s="49">
        <f>SelectedInputs!AR211</f>
        <v>3.1E-2</v>
      </c>
      <c r="AS157" s="49">
        <f>SelectedInputs!AS211</f>
        <v>3.1699999999999999E-2</v>
      </c>
      <c r="AT157" s="49">
        <f>SelectedInputs!AT211</f>
        <v>3.2300000000000002E-2</v>
      </c>
      <c r="AU157" s="49">
        <f>SelectedInputs!AU211</f>
        <v>3.2399999999999998E-2</v>
      </c>
      <c r="AV157" s="49">
        <f>SelectedInputs!AV211</f>
        <v>3.2599999999999997E-2</v>
      </c>
    </row>
    <row r="158" spans="1:48" ht="15">
      <c r="A158" s="2"/>
      <c r="B158" s="2"/>
      <c r="C158" s="194"/>
      <c r="D158" s="194"/>
      <c r="E158" s="2" t="s">
        <v>587</v>
      </c>
      <c r="F158" s="2"/>
      <c r="G158" s="7" t="s">
        <v>249</v>
      </c>
      <c r="H158" s="194" t="s">
        <v>588</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89"/>
      <c r="AR158" s="532">
        <f>SUM(AR157:AR157)</f>
        <v>3.1E-2</v>
      </c>
      <c r="AS158" s="532">
        <f>SUM(AS157:AS157)</f>
        <v>3.1699999999999999E-2</v>
      </c>
      <c r="AT158" s="532">
        <f>SUM(AT157:AT157)</f>
        <v>3.2300000000000002E-2</v>
      </c>
      <c r="AU158" s="532">
        <f>SUM(AU157:AU157)</f>
        <v>3.2399999999999998E-2</v>
      </c>
      <c r="AV158" s="532">
        <f>SUM(AV157:AV157)</f>
        <v>3.2599999999999997E-2</v>
      </c>
    </row>
    <row r="159" spans="1:48" ht="15">
      <c r="A159" s="2"/>
      <c r="B159" s="2"/>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89"/>
      <c r="AR159" s="194"/>
      <c r="AS159" s="194"/>
      <c r="AT159" s="194"/>
      <c r="AU159" s="194"/>
      <c r="AV159" s="194"/>
    </row>
    <row r="160" spans="1:48" ht="15">
      <c r="A160" s="2"/>
      <c r="B160" s="2"/>
      <c r="C160" s="28" t="s">
        <v>589</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5">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5">
      <c r="A162" s="2"/>
      <c r="B162" s="2"/>
      <c r="C162" s="2"/>
      <c r="D162" s="2"/>
      <c r="E162" s="2" t="s">
        <v>251</v>
      </c>
      <c r="F162" s="2"/>
      <c r="G162" s="7" t="s">
        <v>249</v>
      </c>
      <c r="H162" s="7" t="s">
        <v>252</v>
      </c>
      <c r="I162" s="193"/>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2.4299999999999999E-2</v>
      </c>
      <c r="AU162" s="49">
        <f>SelectedInputs!AU213</f>
        <v>2.4899999999999999E-2</v>
      </c>
      <c r="AV162" s="49">
        <f>SelectedInputs!AV213</f>
        <v>2.5600000000000001E-2</v>
      </c>
    </row>
    <row r="163" spans="1:49" ht="15">
      <c r="A163" s="2"/>
      <c r="B163" s="2"/>
      <c r="C163" s="2"/>
      <c r="D163" s="2"/>
      <c r="E163" s="194" t="s">
        <v>253</v>
      </c>
      <c r="F163" s="194"/>
      <c r="G163" s="194" t="s">
        <v>100</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5">
      <c r="A164" s="2"/>
      <c r="B164" s="2"/>
      <c r="C164" s="2"/>
      <c r="D164" s="2"/>
      <c r="E164" s="7" t="s">
        <v>254</v>
      </c>
      <c r="F164" s="7"/>
      <c r="G164" s="7" t="s">
        <v>209</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5">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5">
      <c r="A166" s="2"/>
      <c r="B166" s="2"/>
      <c r="C166" s="2"/>
      <c r="D166" s="2"/>
      <c r="E166" s="2" t="s">
        <v>590</v>
      </c>
      <c r="F166" s="7"/>
      <c r="G166" s="7" t="s">
        <v>249</v>
      </c>
      <c r="H166" s="7" t="s">
        <v>591</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5.5175426999999999E-2</v>
      </c>
      <c r="AU166" s="112">
        <f>AU162 + AU163 * (AU164 - AU162)</f>
        <v>5.5320261000000003E-2</v>
      </c>
      <c r="AV166" s="112">
        <f>AV162 + AV163 * (AV164 - AV162)</f>
        <v>5.5489234000000005E-2</v>
      </c>
    </row>
    <row r="167" spans="1:49" ht="15">
      <c r="A167" s="2"/>
      <c r="B167" s="2"/>
      <c r="C167" s="2"/>
      <c r="D167" s="2"/>
      <c r="E167" s="7" t="s">
        <v>255</v>
      </c>
      <c r="F167" s="7"/>
      <c r="G167" s="7" t="s">
        <v>209</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5">
      <c r="A168" s="2"/>
      <c r="B168" s="2"/>
      <c r="C168" s="2"/>
      <c r="D168" s="2"/>
      <c r="E168" s="7" t="s">
        <v>592</v>
      </c>
      <c r="F168" s="7"/>
      <c r="G168" s="7" t="s">
        <v>249</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2">
        <f>(AR158 * AR167) + (AR166* (1 - AR167))</f>
        <v>3.97335776E-2</v>
      </c>
      <c r="AS168" s="532">
        <f>(AS158 * AS167) + (AS166* (1 - AS167))</f>
        <v>4.1370183200000001E-2</v>
      </c>
      <c r="AT168" s="532">
        <f>(AT158 * AT167) + (AT166* (1 - AT167))</f>
        <v>4.1450170800000005E-2</v>
      </c>
      <c r="AU168" s="532">
        <f>(AU158 * AU167) + (AU166* (1 - AU167))</f>
        <v>4.15681044E-2</v>
      </c>
      <c r="AV168" s="532">
        <f>(AV158 * AV167) + (AV166* (1 - AV167))</f>
        <v>4.1755693600000005E-2</v>
      </c>
    </row>
    <row r="169" spans="1:49" ht="15">
      <c r="A169" s="2"/>
      <c r="B169" s="2"/>
      <c r="C169" s="2"/>
      <c r="D169" s="2"/>
      <c r="E169" s="7" t="s">
        <v>593</v>
      </c>
      <c r="F169" s="7"/>
      <c r="G169" s="7" t="s">
        <v>249</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3">
        <f>(AR158 * AR167) + (AR166 * (1 - AR167))</f>
        <v>3.97335776E-2</v>
      </c>
      <c r="AS169" s="193">
        <f>(AS158 * AS167) + (AS166 * (1 - AS167))</f>
        <v>4.1370183200000001E-2</v>
      </c>
      <c r="AT169" s="193">
        <f>(AT158 * AT167) + (AT166 * (1 - AT167))</f>
        <v>4.1450170800000005E-2</v>
      </c>
      <c r="AU169" s="193">
        <f>(AU158 * AU167) + (AU166 * (1 - AU167))</f>
        <v>4.15681044E-2</v>
      </c>
      <c r="AV169" s="193">
        <f>(AV158 * AV167) + (AV166 * (1 - AV167))</f>
        <v>4.1755693600000005E-2</v>
      </c>
    </row>
    <row r="170" spans="1:49" ht="15">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4"/>
      <c r="AS170" s="484"/>
      <c r="AT170" s="484"/>
      <c r="AU170" s="484"/>
      <c r="AV170" s="484"/>
    </row>
    <row r="171" spans="1:49" ht="15">
      <c r="A171" s="2"/>
      <c r="B171" s="2"/>
      <c r="C171" s="2"/>
      <c r="D171" s="2"/>
      <c r="E171" s="2" t="s">
        <v>256</v>
      </c>
      <c r="F171" s="2"/>
      <c r="G171" s="7" t="s">
        <v>209</v>
      </c>
      <c r="H171" s="7" t="s">
        <v>290</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5">
      <c r="A172" s="2"/>
      <c r="B172" s="2"/>
      <c r="C172" s="2"/>
      <c r="D172" s="2"/>
      <c r="E172" s="2" t="s">
        <v>594</v>
      </c>
      <c r="F172" s="2"/>
      <c r="G172" s="7" t="s">
        <v>249</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2">
        <f>(AR168 - (AR171 * AR158)) / (1 - AR171)</f>
        <v>5.2833944000000001E-2</v>
      </c>
      <c r="AS172" s="532">
        <f>(AS168 - (AS171 * AS158)) / (1 - AS171)</f>
        <v>5.5875458000000003E-2</v>
      </c>
      <c r="AT172" s="532">
        <f>(AT168 - (AT171 * AT158)) / (1 - AT171)</f>
        <v>5.5175427000000006E-2</v>
      </c>
      <c r="AU172" s="532">
        <f>(AU168 - (AU171 * AU158)) / (1 - AU171)</f>
        <v>5.5320261000000003E-2</v>
      </c>
      <c r="AV172" s="532">
        <f>(AV168 - (AV171 * AV158)) / (1 - AV171)</f>
        <v>5.5489234000000012E-2</v>
      </c>
    </row>
    <row r="173" spans="1:49" ht="15">
      <c r="A173" s="2"/>
      <c r="B173" s="2"/>
      <c r="C173" s="2"/>
      <c r="D173" s="2"/>
      <c r="E173" s="2" t="s">
        <v>595</v>
      </c>
      <c r="F173" s="194"/>
      <c r="G173" s="7" t="s">
        <v>249</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3">
        <f>(AR169 - (AR158 * AR171)) / (1 - AR171)</f>
        <v>5.2833944000000001E-2</v>
      </c>
      <c r="AS173" s="193">
        <f>(AS169 - (AS158 * AS171)) / (1 - AS171)</f>
        <v>5.5875458000000003E-2</v>
      </c>
      <c r="AT173" s="193">
        <f>(AT169 - (AT158 * AT171)) / (1 - AT171)</f>
        <v>5.5175427000000006E-2</v>
      </c>
      <c r="AU173" s="193">
        <f>(AU169 - (AU158 * AU171)) / (1 - AU171)</f>
        <v>5.5320261000000003E-2</v>
      </c>
      <c r="AV173" s="193">
        <f>(AV169 - (AV158 * AV171)) / (1 - AV171)</f>
        <v>5.5489234000000012E-2</v>
      </c>
    </row>
    <row r="174" spans="1:49" ht="15">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5">
      <c r="A175" s="2"/>
      <c r="B175" s="2"/>
      <c r="C175" s="28" t="s">
        <v>596</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5">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9"/>
    </row>
    <row r="177" spans="1:49" ht="15">
      <c r="A177" s="2"/>
      <c r="B177" s="2"/>
      <c r="C177" s="2"/>
      <c r="D177" s="2"/>
      <c r="E177" s="7" t="s">
        <v>257</v>
      </c>
      <c r="F177" s="7"/>
      <c r="G177" s="7" t="s">
        <v>209</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3.7574999999999997E-2</v>
      </c>
      <c r="AK177" s="132">
        <f>SelectedInputs!AK219</f>
        <v>3.6729999999999999E-2</v>
      </c>
      <c r="AL177" s="132">
        <f>SelectedInputs!AL219</f>
        <v>3.5885E-2</v>
      </c>
      <c r="AM177" s="132">
        <f>SelectedInputs!AM219</f>
        <v>3.4584999999999998E-2</v>
      </c>
      <c r="AN177" s="132">
        <f>SelectedInputs!AN219</f>
        <v>3.3610000000000001E-2</v>
      </c>
      <c r="AO177" s="132">
        <f>SelectedInputs!AO219</f>
        <v>3.2570000000000002E-2</v>
      </c>
      <c r="AP177" s="132">
        <f>SelectedInputs!AP219</f>
        <v>3.1529999999999996E-2</v>
      </c>
      <c r="AQ177" s="216">
        <f>SelectedInputs!AQ219</f>
        <v>3.0359999999999998E-2</v>
      </c>
      <c r="AR177" s="7"/>
      <c r="AS177" s="7"/>
      <c r="AT177" s="126"/>
      <c r="AU177" s="126"/>
      <c r="AV177" s="126"/>
    </row>
    <row r="178" spans="1:49" ht="15">
      <c r="A178" s="2"/>
      <c r="B178" s="2"/>
      <c r="C178" s="2"/>
      <c r="D178" s="2"/>
      <c r="E178" s="7" t="s">
        <v>597</v>
      </c>
      <c r="F178" s="7"/>
      <c r="G178" s="7" t="s">
        <v>249</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4"/>
      <c r="AR178" s="485">
        <f>AR158</f>
        <v>3.1E-2</v>
      </c>
      <c r="AS178" s="485">
        <f>AS158</f>
        <v>3.1699999999999999E-2</v>
      </c>
      <c r="AT178" s="485">
        <f>AT158</f>
        <v>3.2300000000000002E-2</v>
      </c>
      <c r="AU178" s="485">
        <f>AU158</f>
        <v>3.2399999999999998E-2</v>
      </c>
      <c r="AV178" s="485">
        <f>AV158</f>
        <v>3.2599999999999997E-2</v>
      </c>
    </row>
    <row r="179" spans="1:49" ht="15">
      <c r="A179" s="2"/>
      <c r="B179" s="2"/>
      <c r="C179" s="2"/>
      <c r="D179" s="2"/>
      <c r="E179" s="7" t="s">
        <v>598</v>
      </c>
      <c r="F179" s="7"/>
      <c r="G179" s="7" t="s">
        <v>249</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3"/>
      <c r="AG179" s="193"/>
      <c r="AH179" s="193"/>
      <c r="AI179" s="193"/>
      <c r="AJ179" s="49"/>
      <c r="AK179" s="49"/>
      <c r="AL179" s="49"/>
      <c r="AM179" s="49"/>
      <c r="AN179" s="49"/>
      <c r="AO179" s="49"/>
      <c r="AP179" s="49"/>
      <c r="AQ179" s="214"/>
      <c r="AR179" s="485">
        <f>AR173</f>
        <v>5.2833944000000001E-2</v>
      </c>
      <c r="AS179" s="485">
        <f>AS173</f>
        <v>5.5875458000000003E-2</v>
      </c>
      <c r="AT179" s="485">
        <f>AT173</f>
        <v>5.5175427000000006E-2</v>
      </c>
      <c r="AU179" s="485">
        <f>AU173</f>
        <v>5.5320261000000003E-2</v>
      </c>
      <c r="AV179" s="485">
        <f>AV173</f>
        <v>5.5489234000000012E-2</v>
      </c>
    </row>
    <row r="180" spans="1:49" ht="15">
      <c r="A180" s="2"/>
      <c r="B180" s="2"/>
      <c r="C180" s="2"/>
      <c r="D180" s="2"/>
      <c r="E180" s="7" t="s">
        <v>256</v>
      </c>
      <c r="F180" s="7"/>
      <c r="G180" s="7" t="s">
        <v>209</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3"/>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4">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5">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3"/>
      <c r="AG181" s="193"/>
      <c r="AH181" s="193"/>
      <c r="AI181" s="193"/>
      <c r="AJ181" s="7"/>
      <c r="AK181" s="7"/>
      <c r="AL181" s="7"/>
      <c r="AM181" s="7"/>
      <c r="AN181" s="7"/>
      <c r="AO181" s="7"/>
      <c r="AP181" s="7"/>
      <c r="AQ181" s="187"/>
      <c r="AR181" s="193"/>
      <c r="AS181" s="193"/>
      <c r="AT181" s="193"/>
      <c r="AU181" s="193"/>
      <c r="AV181" s="193"/>
    </row>
    <row r="182" spans="1:49" ht="15">
      <c r="A182" s="82"/>
      <c r="B182" s="2"/>
      <c r="C182" s="2"/>
      <c r="D182" s="2"/>
      <c r="E182" s="7" t="s">
        <v>599</v>
      </c>
      <c r="F182" s="7"/>
      <c r="G182" s="7" t="s">
        <v>249</v>
      </c>
      <c r="H182" s="7" t="s">
        <v>600</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10">AJ177 + (AJ178 * AJ180) + (AJ179 * (1-AJ180))</f>
        <v>3.7574999999999997E-2</v>
      </c>
      <c r="AK182" s="186">
        <f t="shared" si="10"/>
        <v>3.6729999999999999E-2</v>
      </c>
      <c r="AL182" s="186">
        <f t="shared" si="10"/>
        <v>3.5885E-2</v>
      </c>
      <c r="AM182" s="186">
        <f t="shared" si="10"/>
        <v>3.4584999999999998E-2</v>
      </c>
      <c r="AN182" s="186">
        <f t="shared" si="10"/>
        <v>3.3610000000000001E-2</v>
      </c>
      <c r="AO182" s="186">
        <f t="shared" si="10"/>
        <v>3.2570000000000002E-2</v>
      </c>
      <c r="AP182" s="186">
        <f t="shared" si="10"/>
        <v>3.1529999999999996E-2</v>
      </c>
      <c r="AQ182" s="191">
        <f t="shared" si="10"/>
        <v>3.0359999999999998E-2</v>
      </c>
      <c r="AR182" s="186">
        <f t="shared" si="10"/>
        <v>3.97335776E-2</v>
      </c>
      <c r="AS182" s="186">
        <f t="shared" si="10"/>
        <v>4.1370183200000001E-2</v>
      </c>
      <c r="AT182" s="186">
        <f t="shared" si="10"/>
        <v>4.1450170800000005E-2</v>
      </c>
      <c r="AU182" s="186">
        <f t="shared" si="10"/>
        <v>4.15681044E-2</v>
      </c>
      <c r="AV182" s="186">
        <f t="shared" si="10"/>
        <v>4.1755693600000005E-2</v>
      </c>
      <c r="AW182" s="509"/>
    </row>
    <row r="183" spans="1:49" ht="15">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2"/>
      <c r="AR183" s="392"/>
      <c r="AS183" s="392"/>
      <c r="AT183" s="392"/>
      <c r="AU183" s="392"/>
      <c r="AV183" s="392"/>
    </row>
    <row r="184" spans="1:49" ht="15">
      <c r="A184" s="94"/>
      <c r="B184" s="2"/>
      <c r="C184" s="28" t="s">
        <v>601</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3"/>
      <c r="AR184" s="390"/>
      <c r="AS184" s="390"/>
      <c r="AT184" s="390"/>
      <c r="AU184" s="390"/>
      <c r="AV184" s="390"/>
    </row>
    <row r="185" spans="1:49" ht="15">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5">
      <c r="A186" s="2"/>
      <c r="B186" s="2"/>
      <c r="C186" s="2"/>
      <c r="D186" s="10" t="s">
        <v>602</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5">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8"/>
      <c r="AR187" s="30"/>
      <c r="AS187" s="30"/>
      <c r="AT187" s="30"/>
      <c r="AU187" s="30"/>
      <c r="AV187" s="30"/>
    </row>
    <row r="188" spans="1:49" ht="15">
      <c r="A188" s="2"/>
      <c r="B188" s="2"/>
      <c r="C188" s="2"/>
      <c r="D188" s="2"/>
      <c r="E188" s="2" t="s">
        <v>603</v>
      </c>
      <c r="F188" s="2"/>
      <c r="G188" s="7" t="s">
        <v>604</v>
      </c>
      <c r="H188" s="7"/>
      <c r="I188" s="186"/>
      <c r="J188" s="42"/>
      <c r="K188" s="209" t="str">
        <f>'Annual Inflation'!K24</f>
        <v/>
      </c>
      <c r="L188" s="209" t="str">
        <f>'Annual Inflation'!L24</f>
        <v/>
      </c>
      <c r="M188" s="209" t="str">
        <f>'Annual Inflation'!M24</f>
        <v/>
      </c>
      <c r="N188" s="209" t="str">
        <f>'Annual Inflation'!N24</f>
        <v/>
      </c>
      <c r="O188" s="209" t="str">
        <f>'Annual Inflation'!O24</f>
        <v/>
      </c>
      <c r="P188" s="209" t="str">
        <f>'Annual Inflation'!P24</f>
        <v/>
      </c>
      <c r="Q188" s="209" t="str">
        <f>'Annual Inflation'!Q24</f>
        <v/>
      </c>
      <c r="R188" s="209" t="str">
        <f>'Annual Inflation'!R24</f>
        <v/>
      </c>
      <c r="S188" s="209" t="str">
        <f>'Annual Inflation'!S24</f>
        <v/>
      </c>
      <c r="T188" s="209" t="str">
        <f>'Annual Inflation'!T24</f>
        <v/>
      </c>
      <c r="U188" s="209">
        <f>'Annual Inflation'!U24</f>
        <v>2.9856727782787029E-2</v>
      </c>
      <c r="V188" s="209">
        <f>'Annual Inflation'!V24</f>
        <v>1.4933359276194436E-2</v>
      </c>
      <c r="W188" s="209">
        <f>'Annual Inflation'!W24</f>
        <v>2.0944164869398429E-2</v>
      </c>
      <c r="X188" s="209">
        <f>'Annual Inflation'!X24</f>
        <v>2.7931649610365206E-2</v>
      </c>
      <c r="Y188" s="209">
        <f>'Annual Inflation'!Y24</f>
        <v>3.1100150705576146E-2</v>
      </c>
      <c r="Z188" s="209">
        <f>'Annual Inflation'!Z24</f>
        <v>2.635308707591455E-2</v>
      </c>
      <c r="AA188" s="209">
        <f>'Annual Inflation'!AA24</f>
        <v>3.7327924739999352E-2</v>
      </c>
      <c r="AB188" s="209">
        <f>'Annual Inflation'!AB24</f>
        <v>4.1309593144188472E-2</v>
      </c>
      <c r="AC188" s="209">
        <f>'Annual Inflation'!AC24</f>
        <v>2.9683192840877393E-2</v>
      </c>
      <c r="AD188" s="209">
        <f>'Annual Inflation'!AD24</f>
        <v>4.57825715837612E-3</v>
      </c>
      <c r="AE188" s="209">
        <f>'Annual Inflation'!AE24</f>
        <v>4.9629229105515371E-2</v>
      </c>
      <c r="AF188" s="209">
        <f>'Annual Inflation'!AF24</f>
        <v>4.7981749273282803E-2</v>
      </c>
      <c r="AG188" s="209">
        <f>'Annual Inflation'!AG24</f>
        <v>3.0897791510129391E-2</v>
      </c>
      <c r="AH188" s="209">
        <f>'Annual Inflation'!AH24</f>
        <v>2.8847791287762714E-2</v>
      </c>
      <c r="AI188" s="209">
        <f>'Annual Inflation'!AI24</f>
        <v>1.9597457627118731E-2</v>
      </c>
      <c r="AJ188" s="262">
        <f>'Annual Inflation'!AJ24</f>
        <v>1.0779220779220777E-2</v>
      </c>
      <c r="AK188" s="262">
        <f>'Annual Inflation'!AK24</f>
        <v>2.1424900424001248E-2</v>
      </c>
      <c r="AL188" s="262">
        <f>'Annual Inflation'!AL24</f>
        <v>3.7422560457875953E-2</v>
      </c>
      <c r="AM188" s="262">
        <f>'Annual Inflation'!AM24</f>
        <v>3.0555639758707454E-2</v>
      </c>
      <c r="AN188" s="262">
        <f>'Annual Inflation'!AN24</f>
        <v>2.5884636879724532E-2</v>
      </c>
      <c r="AO188" s="262">
        <f>'Annual Inflation'!AO24</f>
        <v>1.2128336726209277E-2</v>
      </c>
      <c r="AP188" s="262">
        <f>'Annual Inflation'!AP24</f>
        <v>5.7762039660056441E-2</v>
      </c>
      <c r="AQ188" s="298">
        <f>'Annual Inflation'!AQ24</f>
        <v>0.12873938777149907</v>
      </c>
      <c r="AR188" s="262">
        <f>'Annual Inflation'!AR24</f>
        <v>8.7530899065423995E-2</v>
      </c>
      <c r="AS188" s="262">
        <f>'Annual Inflation'!AS24</f>
        <v>4.3184769776843268E-2</v>
      </c>
      <c r="AT188" s="262">
        <f>'Annual Inflation'!AT24</f>
        <v>2.6233436648239294E-2</v>
      </c>
      <c r="AU188" s="262">
        <f>'Annual Inflation'!AU24</f>
        <v>2.6055468787939295E-2</v>
      </c>
      <c r="AV188" s="262">
        <f>'Annual Inflation'!AV24</f>
        <v>2.814630513484162E-2</v>
      </c>
    </row>
    <row r="189" spans="1:49" ht="15">
      <c r="A189" s="2"/>
      <c r="B189" s="2"/>
      <c r="C189" s="2"/>
      <c r="D189" s="2"/>
      <c r="E189" s="2" t="s">
        <v>605</v>
      </c>
      <c r="F189" s="7"/>
      <c r="G189" s="7" t="s">
        <v>604</v>
      </c>
      <c r="H189" s="7"/>
      <c r="I189" s="186"/>
      <c r="J189" s="42"/>
      <c r="K189" s="209" t="str">
        <f>'Annual Inflation'!K27</f>
        <v/>
      </c>
      <c r="L189" s="209" t="str">
        <f>'Annual Inflation'!L27</f>
        <v/>
      </c>
      <c r="M189" s="209" t="str">
        <f>'Annual Inflation'!M27</f>
        <v/>
      </c>
      <c r="N189" s="209" t="str">
        <f>'Annual Inflation'!N27</f>
        <v/>
      </c>
      <c r="O189" s="209" t="str">
        <f>'Annual Inflation'!O27</f>
        <v/>
      </c>
      <c r="P189" s="209" t="str">
        <f>'Annual Inflation'!P27</f>
        <v/>
      </c>
      <c r="Q189" s="209" t="str">
        <f>'Annual Inflation'!Q27</f>
        <v/>
      </c>
      <c r="R189" s="209" t="str">
        <f>'Annual Inflation'!R27</f>
        <v/>
      </c>
      <c r="S189" s="209" t="str">
        <f>'Annual Inflation'!S27</f>
        <v/>
      </c>
      <c r="T189" s="209" t="str">
        <f>'Annual Inflation'!T27</f>
        <v/>
      </c>
      <c r="U189" s="209">
        <f>'Annual Inflation'!U27</f>
        <v>1.2140648264803433E-2</v>
      </c>
      <c r="V189" s="209">
        <f>'Annual Inflation'!V27</f>
        <v>1.663460450379084E-2</v>
      </c>
      <c r="W189" s="209">
        <f>'Annual Inflation'!W27</f>
        <v>1.4581478183437246E-2</v>
      </c>
      <c r="X189" s="209">
        <f>'Annual Inflation'!X27</f>
        <v>1.3384530992868848E-2</v>
      </c>
      <c r="Y189" s="209">
        <f>'Annual Inflation'!Y27</f>
        <v>1.4939915556998917E-2</v>
      </c>
      <c r="Z189" s="209">
        <f>'Annual Inflation'!Z27</f>
        <v>2.1760000000000224E-2</v>
      </c>
      <c r="AA189" s="209">
        <f>'Annual Inflation'!AA27</f>
        <v>2.6203152729930013E-2</v>
      </c>
      <c r="AB189" s="209">
        <f>'Annual Inflation'!AB27</f>
        <v>2.3296032553407953E-2</v>
      </c>
      <c r="AC189" s="209">
        <f>'Annual Inflation'!AC27</f>
        <v>3.6186499652052895E-2</v>
      </c>
      <c r="AD189" s="209">
        <f>'Annual Inflation'!AD27</f>
        <v>1.8132975151108122E-2</v>
      </c>
      <c r="AE189" s="209">
        <f>'Annual Inflation'!AE27</f>
        <v>2.7987184319637981E-2</v>
      </c>
      <c r="AF189" s="209">
        <f>'Annual Inflation'!AF27</f>
        <v>3.7400311669264275E-2</v>
      </c>
      <c r="AG189" s="209">
        <f>'Annual Inflation'!AG27</f>
        <v>2.4123000795263305E-2</v>
      </c>
      <c r="AH189" s="209">
        <f>'Annual Inflation'!AH27</f>
        <v>2.088006902502193E-2</v>
      </c>
      <c r="AI189" s="209">
        <f>'Annual Inflation'!AI27</f>
        <v>1.1409736308316099E-2</v>
      </c>
      <c r="AJ189" s="262">
        <f>'Annual Inflation'!AJ27</f>
        <v>4.4288459931480784E-3</v>
      </c>
      <c r="AK189" s="262">
        <f>'Annual Inflation'!AK27</f>
        <v>1.3727121464226277E-2</v>
      </c>
      <c r="AL189" s="262">
        <f>'Annual Inflation'!AL27</f>
        <v>2.6343865408288814E-2</v>
      </c>
      <c r="AM189" s="262">
        <f>'Annual Inflation'!AM27</f>
        <v>2.1269790500559882E-2</v>
      </c>
      <c r="AN189" s="262">
        <f>'Annual Inflation'!AN27</f>
        <v>1.6990291262135582E-2</v>
      </c>
      <c r="AO189" s="262">
        <f>'Annual Inflation'!AO27</f>
        <v>8.0067749634311625E-3</v>
      </c>
      <c r="AP189" s="262">
        <f>'Annual Inflation'!AP27</f>
        <v>3.6737187810280236E-2</v>
      </c>
      <c r="AQ189" s="298">
        <f>'Annual Inflation'!AQ27</f>
        <v>8.7741270075143429E-2</v>
      </c>
      <c r="AR189" s="262">
        <f>'Annual Inflation'!AR27</f>
        <v>6.2497611347487325E-2</v>
      </c>
      <c r="AS189" s="262">
        <f>'Annual Inflation'!AS27</f>
        <v>3.04739603020312E-2</v>
      </c>
      <c r="AT189" s="262">
        <f>'Annual Inflation'!AT27</f>
        <v>1.710175025781635E-2</v>
      </c>
      <c r="AU189" s="262">
        <f>'Annual Inflation'!AU27</f>
        <v>1.5421581354723601E-2</v>
      </c>
      <c r="AV189" s="262">
        <f>'Annual Inflation'!AV27</f>
        <v>1.7961851291584674E-2</v>
      </c>
    </row>
    <row r="190" spans="1:49" ht="15">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19"/>
      <c r="AR190" s="40"/>
      <c r="AS190" s="40"/>
      <c r="AT190" s="40"/>
      <c r="AU190" s="40"/>
      <c r="AV190" s="40"/>
    </row>
    <row r="191" spans="1:49" ht="15">
      <c r="A191" s="2"/>
      <c r="B191" s="2"/>
      <c r="C191" s="2"/>
      <c r="D191" s="2"/>
      <c r="E191" s="7" t="s">
        <v>606</v>
      </c>
      <c r="F191" s="7"/>
      <c r="G191" s="7" t="s">
        <v>604</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6"/>
      <c r="AR191" s="128">
        <f>'Annual Inflation'!AR34</f>
        <v>0.03</v>
      </c>
      <c r="AS191" s="128">
        <f>'Annual Inflation'!AS34</f>
        <v>0.03</v>
      </c>
      <c r="AT191" s="128">
        <f>'Annual Inflation'!AT34</f>
        <v>0.03</v>
      </c>
      <c r="AU191" s="128">
        <f>'Annual Inflation'!AU34</f>
        <v>0.03</v>
      </c>
      <c r="AV191" s="128">
        <f>'Annual Inflation'!AV34</f>
        <v>0.03</v>
      </c>
    </row>
    <row r="192" spans="1:49" ht="15">
      <c r="A192" s="2"/>
      <c r="B192" s="2"/>
      <c r="C192" s="2"/>
      <c r="D192" s="2"/>
      <c r="E192" s="7" t="s">
        <v>607</v>
      </c>
      <c r="F192" s="7"/>
      <c r="G192" s="7" t="s">
        <v>604</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6"/>
      <c r="AR192" s="128">
        <f>'Annual Inflation'!AR35</f>
        <v>0.02</v>
      </c>
      <c r="AS192" s="128">
        <f>'Annual Inflation'!AS35</f>
        <v>0.02</v>
      </c>
      <c r="AT192" s="128">
        <f>'Annual Inflation'!AT35</f>
        <v>0.02</v>
      </c>
      <c r="AU192" s="128">
        <f>'Annual Inflation'!AU35</f>
        <v>0.02</v>
      </c>
      <c r="AV192" s="128">
        <f>'Annual Inflation'!AV35</f>
        <v>0.02</v>
      </c>
    </row>
    <row r="193" spans="1:48" ht="15">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19"/>
      <c r="AR193" s="128"/>
      <c r="AS193" s="128"/>
      <c r="AT193" s="128"/>
      <c r="AU193" s="128"/>
      <c r="AV193" s="128"/>
    </row>
    <row r="194" spans="1:48" ht="15">
      <c r="A194" s="2"/>
      <c r="B194" s="2"/>
      <c r="C194" s="2"/>
      <c r="D194" s="2"/>
      <c r="E194" s="2" t="s">
        <v>608</v>
      </c>
      <c r="F194" s="7"/>
      <c r="G194" s="2" t="s">
        <v>100</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6">
        <f>'Annual Inflation'!AJ32</f>
        <v>0.88192634560906513</v>
      </c>
      <c r="AK194" s="256">
        <f>'Annual Inflation'!AK32</f>
        <v>0.9008215297450427</v>
      </c>
      <c r="AL194" s="256">
        <f>'Annual Inflation'!AL32</f>
        <v>0.93453257790368272</v>
      </c>
      <c r="AM194" s="256">
        <f>'Annual Inflation'!AM32</f>
        <v>0.96308781869688376</v>
      </c>
      <c r="AN194" s="256">
        <f>'Annual Inflation'!AN32</f>
        <v>0.98801699716713864</v>
      </c>
      <c r="AO194" s="256">
        <f>'Annual Inflation'!AO32</f>
        <v>1</v>
      </c>
      <c r="AP194" s="256">
        <f>'Annual Inflation'!AP32</f>
        <v>1.0577620396600564</v>
      </c>
      <c r="AQ194" s="297">
        <f>'Annual Inflation'!AQ32</f>
        <v>1.1939376770538244</v>
      </c>
      <c r="AR194" s="256">
        <f>'Annual Inflation'!AR32</f>
        <v>1.2891506141768156</v>
      </c>
      <c r="AS194" s="256">
        <f>'Annual Inflation'!AS32</f>
        <v>1.3284361388165782</v>
      </c>
      <c r="AT194" s="256">
        <f>'Annual Inflation'!AT32</f>
        <v>1.3511547218960771</v>
      </c>
      <c r="AU194" s="256">
        <f>'Annual Inflation'!AU32</f>
        <v>1.3719916643626167</v>
      </c>
      <c r="AV194" s="256">
        <f>'Annual Inflation'!AV32</f>
        <v>1.3966351746111914</v>
      </c>
    </row>
    <row r="195" spans="1:48" ht="15">
      <c r="A195" s="2"/>
      <c r="B195" s="2"/>
      <c r="C195" s="2"/>
      <c r="D195" s="2"/>
      <c r="E195" s="2" t="s">
        <v>609</v>
      </c>
      <c r="F195" s="7"/>
      <c r="G195" s="2" t="s">
        <v>100</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6">
        <f>'Annual Inflation'!AJ46</f>
        <v>0.88810198300283283</v>
      </c>
      <c r="AK195" s="256">
        <f>'Annual Inflation'!AK46</f>
        <v>0.91767705382436271</v>
      </c>
      <c r="AL195" s="256">
        <f>'Annual Inflation'!AL46</f>
        <v>0.94844192634560898</v>
      </c>
      <c r="AM195" s="256">
        <f>'Annual Inflation'!AM46</f>
        <v>0.97444759206798848</v>
      </c>
      <c r="AN195" s="256">
        <f>'Annual Inflation'!AN46</f>
        <v>0.99467422096317282</v>
      </c>
      <c r="AO195" s="256">
        <f>'Annual Inflation'!AO46</f>
        <v>1.0164305949008499</v>
      </c>
      <c r="AP195" s="256">
        <f>'Annual Inflation'!AP46</f>
        <v>1.1185835694050992</v>
      </c>
      <c r="AQ195" s="297">
        <f>'Annual Inflation'!AQ46</f>
        <v>1.2567228174904603</v>
      </c>
      <c r="AR195" s="256">
        <f>'Annual Inflation'!AR46</f>
        <v>1.3123689983998859</v>
      </c>
      <c r="AS195" s="256">
        <f>'Annual Inflation'!AS46</f>
        <v>1.3406592815876854</v>
      </c>
      <c r="AT195" s="256">
        <f>'Annual Inflation'!AT46</f>
        <v>1.3609729496063137</v>
      </c>
      <c r="AU195" s="256">
        <f>'Annual Inflation'!AU46</f>
        <v>1.383709961204471</v>
      </c>
      <c r="AV195" s="256">
        <f>'Annual Inflation'!AV46</f>
        <v>1.4090308989490572</v>
      </c>
    </row>
    <row r="196" spans="1:48" ht="15">
      <c r="A196" s="2"/>
      <c r="B196" s="2"/>
      <c r="C196" s="2"/>
      <c r="D196" s="2"/>
      <c r="E196" s="2" t="s">
        <v>610</v>
      </c>
      <c r="F196" s="7"/>
      <c r="G196" s="2" t="s">
        <v>604</v>
      </c>
      <c r="H196" s="7"/>
      <c r="I196" s="7"/>
      <c r="J196" s="42"/>
      <c r="K196" s="42"/>
      <c r="L196" s="42"/>
      <c r="M196" s="42"/>
      <c r="N196" s="42"/>
      <c r="O196" s="42"/>
      <c r="P196" s="42"/>
      <c r="Q196" s="42"/>
      <c r="R196" s="42"/>
      <c r="S196" s="42"/>
      <c r="T196" s="42"/>
      <c r="U196" s="42"/>
      <c r="V196" s="42"/>
      <c r="W196" s="42"/>
      <c r="X196" s="256"/>
      <c r="Y196" s="256"/>
      <c r="Z196" s="256"/>
      <c r="AA196" s="256"/>
      <c r="AB196" s="256"/>
      <c r="AC196" s="256"/>
      <c r="AD196" s="256"/>
      <c r="AE196" s="256"/>
      <c r="AF196" s="256"/>
      <c r="AG196" s="256"/>
      <c r="AH196" s="256"/>
      <c r="AI196" s="256"/>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7">
        <f t="shared" si="11"/>
        <v>0.1234947945452376</v>
      </c>
      <c r="AR196" s="126">
        <f t="shared" si="11"/>
        <v>4.4278802083457691E-2</v>
      </c>
      <c r="AS196" s="126">
        <f t="shared" si="11"/>
        <v>2.1556653061976183E-2</v>
      </c>
      <c r="AT196" s="126">
        <f t="shared" si="11"/>
        <v>1.5151998943811806E-2</v>
      </c>
      <c r="AU196" s="126">
        <f t="shared" si="11"/>
        <v>1.6706439025650388E-2</v>
      </c>
      <c r="AV196" s="126">
        <f t="shared" si="11"/>
        <v>1.8299310154958448E-2</v>
      </c>
    </row>
    <row r="197" spans="1:48" ht="15">
      <c r="A197" s="2"/>
      <c r="B197" s="2"/>
      <c r="C197" s="2"/>
      <c r="D197" s="2"/>
      <c r="E197" s="2"/>
      <c r="F197" s="7"/>
      <c r="G197" s="2"/>
      <c r="H197" s="7"/>
      <c r="I197" s="7"/>
      <c r="J197" s="42"/>
      <c r="K197" s="42"/>
      <c r="L197" s="42"/>
      <c r="M197" s="42"/>
      <c r="N197" s="42"/>
      <c r="O197" s="42"/>
      <c r="P197" s="42"/>
      <c r="Q197" s="42"/>
      <c r="R197" s="42"/>
      <c r="S197" s="42"/>
      <c r="T197" s="42"/>
      <c r="U197" s="42"/>
      <c r="V197" s="42"/>
      <c r="W197" s="42"/>
      <c r="X197" s="256"/>
      <c r="Y197" s="256"/>
      <c r="Z197" s="256"/>
      <c r="AA197" s="256"/>
      <c r="AB197" s="256"/>
      <c r="AC197" s="256"/>
      <c r="AD197" s="256"/>
      <c r="AE197" s="256"/>
      <c r="AF197" s="256"/>
      <c r="AG197" s="256"/>
      <c r="AH197" s="256"/>
      <c r="AI197" s="256"/>
      <c r="AJ197" s="256"/>
      <c r="AK197" s="256"/>
      <c r="AL197" s="256"/>
      <c r="AM197" s="256"/>
      <c r="AN197" s="256"/>
      <c r="AO197" s="256"/>
      <c r="AP197" s="256"/>
      <c r="AQ197" s="297"/>
      <c r="AR197" s="256"/>
      <c r="AS197" s="256"/>
      <c r="AT197" s="256"/>
      <c r="AU197" s="256"/>
      <c r="AV197" s="256"/>
    </row>
    <row r="198" spans="1:48" ht="15">
      <c r="A198" s="2"/>
      <c r="B198" s="2"/>
      <c r="C198" s="20" t="s">
        <v>611</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5.75">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19"/>
      <c r="AR199" s="40"/>
      <c r="AS199" s="40"/>
      <c r="AT199" s="40"/>
      <c r="AU199" s="40"/>
      <c r="AV199" s="40"/>
    </row>
    <row r="200" spans="1:48" ht="15">
      <c r="A200" s="2"/>
      <c r="B200" s="2"/>
      <c r="C200" s="2"/>
      <c r="D200" s="2"/>
      <c r="E200" s="7" t="s">
        <v>263</v>
      </c>
      <c r="F200" s="7"/>
      <c r="G200" s="7" t="s">
        <v>209</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1"/>
      <c r="AR200" s="186">
        <f>SelectedInputs!AR226</f>
        <v>0.05</v>
      </c>
      <c r="AS200" s="186">
        <f>SelectedInputs!AS226</f>
        <v>0.05</v>
      </c>
      <c r="AT200" s="186">
        <f>SelectedInputs!AT226</f>
        <v>0.05</v>
      </c>
      <c r="AU200" s="186">
        <f>SelectedInputs!AU226</f>
        <v>0.05</v>
      </c>
      <c r="AV200" s="186">
        <f>SelectedInputs!AV226</f>
        <v>0.05</v>
      </c>
    </row>
    <row r="201" spans="1:48" ht="15">
      <c r="A201" s="2"/>
      <c r="B201" s="2"/>
      <c r="C201" s="2"/>
      <c r="D201" s="2"/>
      <c r="E201" s="7" t="s">
        <v>264</v>
      </c>
      <c r="F201" s="7"/>
      <c r="G201" s="7" t="s">
        <v>209</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1"/>
      <c r="AR201" s="186">
        <f>SelectedInputs!AR227</f>
        <v>0.05</v>
      </c>
      <c r="AS201" s="186">
        <f>SelectedInputs!AS227</f>
        <v>0.05</v>
      </c>
      <c r="AT201" s="186">
        <f>SelectedInputs!AT227</f>
        <v>0.05</v>
      </c>
      <c r="AU201" s="186">
        <f>SelectedInputs!AU227</f>
        <v>0.05</v>
      </c>
      <c r="AV201" s="186">
        <f>SelectedInputs!AV227</f>
        <v>0.05</v>
      </c>
    </row>
    <row r="202" spans="1:48" ht="15">
      <c r="A202" s="2"/>
      <c r="B202" s="2"/>
      <c r="C202" s="2"/>
      <c r="D202" s="2"/>
      <c r="E202" s="21" t="s">
        <v>265</v>
      </c>
      <c r="F202" s="21"/>
      <c r="G202" s="21" t="s">
        <v>209</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1"/>
      <c r="AR202" s="186">
        <f>SelectedInputs!AR228</f>
        <v>0.03</v>
      </c>
      <c r="AS202" s="186">
        <f>SelectedInputs!AS228</f>
        <v>0.03</v>
      </c>
      <c r="AT202" s="186">
        <f>SelectedInputs!AT228</f>
        <v>0.03</v>
      </c>
      <c r="AU202" s="186">
        <f>SelectedInputs!AU228</f>
        <v>0.03</v>
      </c>
      <c r="AV202" s="186">
        <f>SelectedInputs!AV228</f>
        <v>0.03</v>
      </c>
    </row>
    <row r="203" spans="1:48" ht="15">
      <c r="A203" s="7"/>
      <c r="B203" s="7"/>
      <c r="C203" s="2"/>
      <c r="D203" s="7"/>
      <c r="E203" s="7" t="s">
        <v>266</v>
      </c>
      <c r="F203" s="7"/>
      <c r="G203" s="21" t="s">
        <v>209</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1"/>
      <c r="AR203" s="186">
        <f>SelectedInputs!AR229</f>
        <v>0.6</v>
      </c>
      <c r="AS203" s="186">
        <f>SelectedInputs!AS229</f>
        <v>0.6</v>
      </c>
      <c r="AT203" s="186">
        <f>SelectedInputs!AT229</f>
        <v>0.6</v>
      </c>
      <c r="AU203" s="186">
        <f>SelectedInputs!AU229</f>
        <v>0.6</v>
      </c>
      <c r="AV203" s="186">
        <f>SelectedInputs!AV229</f>
        <v>0.6</v>
      </c>
    </row>
    <row r="204" spans="1:48" ht="15">
      <c r="A204" s="2"/>
      <c r="B204" s="2"/>
      <c r="C204" s="2"/>
      <c r="D204" s="2"/>
      <c r="E204" s="7" t="s">
        <v>267</v>
      </c>
      <c r="F204" s="7"/>
      <c r="G204" s="21" t="s">
        <v>209</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1"/>
      <c r="AR204" s="186">
        <f>SelectedInputs!AR230</f>
        <v>0.25</v>
      </c>
      <c r="AS204" s="186">
        <f>SelectedInputs!AS230</f>
        <v>0.25</v>
      </c>
      <c r="AT204" s="186">
        <f>SelectedInputs!AT230</f>
        <v>0.25</v>
      </c>
      <c r="AU204" s="186">
        <f>SelectedInputs!AU230</f>
        <v>0.25</v>
      </c>
      <c r="AV204" s="186">
        <f>SelectedInputs!AV230</f>
        <v>0.25</v>
      </c>
    </row>
    <row r="205" spans="1:48" ht="15">
      <c r="A205" s="2"/>
      <c r="B205" s="2"/>
      <c r="C205" s="2"/>
      <c r="D205" s="2"/>
      <c r="E205" s="7" t="s">
        <v>268</v>
      </c>
      <c r="F205" s="7"/>
      <c r="G205" s="21" t="s">
        <v>209</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1"/>
      <c r="AR205" s="186">
        <f>SelectedInputs!AR231</f>
        <v>0</v>
      </c>
      <c r="AS205" s="186">
        <f>SelectedInputs!AS231</f>
        <v>0</v>
      </c>
      <c r="AT205" s="186">
        <f>SelectedInputs!AT231</f>
        <v>0</v>
      </c>
      <c r="AU205" s="186">
        <f>SelectedInputs!AU231</f>
        <v>0</v>
      </c>
      <c r="AV205" s="186">
        <f>SelectedInputs!AV231</f>
        <v>0</v>
      </c>
    </row>
    <row r="206" spans="1:48" ht="15">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8"/>
      <c r="AR206" s="46"/>
      <c r="AS206" s="46"/>
      <c r="AT206" s="46"/>
      <c r="AU206" s="46"/>
      <c r="AV206" s="46"/>
    </row>
    <row r="207" spans="1:48" ht="15">
      <c r="A207" s="2"/>
      <c r="B207" s="2"/>
      <c r="C207" s="20" t="s">
        <v>612</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5">
      <c r="A209" s="2"/>
      <c r="B209" s="2"/>
      <c r="C209" s="2"/>
      <c r="D209" s="2"/>
      <c r="E209" s="82" t="s">
        <v>270</v>
      </c>
      <c r="F209" s="2"/>
      <c r="G209" s="2" t="s">
        <v>209</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2"/>
      <c r="AK209" s="262"/>
      <c r="AL209" s="262"/>
      <c r="AM209" s="262"/>
      <c r="AN209" s="262"/>
      <c r="AO209" s="262"/>
      <c r="AP209" s="262"/>
      <c r="AQ209" s="298"/>
      <c r="AR209" s="262">
        <f>SelectedInputs!$I234</f>
        <v>0.73</v>
      </c>
      <c r="AS209" s="262">
        <f>SelectedInputs!$I234</f>
        <v>0.73</v>
      </c>
      <c r="AT209" s="262">
        <f>SelectedInputs!$I234</f>
        <v>0.73</v>
      </c>
      <c r="AU209" s="262">
        <f>SelectedInputs!$I234</f>
        <v>0.73</v>
      </c>
      <c r="AV209" s="262">
        <f>SelectedInputs!$I234</f>
        <v>0.73</v>
      </c>
    </row>
    <row r="210" spans="1:48" ht="15">
      <c r="A210" s="2"/>
      <c r="B210" s="2"/>
      <c r="C210" s="2"/>
      <c r="D210" s="2"/>
      <c r="E210" s="82" t="s">
        <v>271</v>
      </c>
      <c r="F210" s="2"/>
      <c r="G210" s="2" t="s">
        <v>209</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2"/>
      <c r="AK210" s="262"/>
      <c r="AL210" s="262"/>
      <c r="AM210" s="262"/>
      <c r="AN210" s="262"/>
      <c r="AO210" s="262"/>
      <c r="AP210" s="262"/>
      <c r="AQ210" s="298"/>
      <c r="AR210" s="262">
        <f>SelectedInputs!$I235</f>
        <v>0.85</v>
      </c>
      <c r="AS210" s="262">
        <f>SelectedInputs!$I235</f>
        <v>0.85</v>
      </c>
      <c r="AT210" s="262">
        <f>SelectedInputs!$I235</f>
        <v>0.85</v>
      </c>
      <c r="AU210" s="262">
        <f>SelectedInputs!$I235</f>
        <v>0.85</v>
      </c>
      <c r="AV210" s="262">
        <f>SelectedInputs!$I235</f>
        <v>0.85</v>
      </c>
    </row>
    <row r="211" spans="1:48" ht="15">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8"/>
      <c r="AR211" s="30"/>
      <c r="AS211" s="30"/>
      <c r="AT211" s="30"/>
      <c r="AU211" s="30"/>
      <c r="AV211" s="30"/>
    </row>
    <row r="212" spans="1:48" ht="15">
      <c r="A212" s="2"/>
      <c r="B212" s="13"/>
      <c r="C212" s="13"/>
      <c r="D212" s="13"/>
      <c r="E212" s="2" t="s">
        <v>272</v>
      </c>
      <c r="F212" s="13"/>
      <c r="G212" s="14" t="s">
        <v>209</v>
      </c>
      <c r="H212" s="474"/>
      <c r="I212" s="186">
        <f>SelectedInputs!I237</f>
        <v>0.499</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5">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5">
      <c r="A214" s="2"/>
      <c r="B214" s="37" t="s">
        <v>613</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5">
      <c r="A216" s="2"/>
      <c r="B216" s="2"/>
      <c r="C216" s="28" t="s">
        <v>614</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5">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5">
      <c r="A218" s="82"/>
      <c r="B218" s="82"/>
      <c r="C218" s="82"/>
      <c r="D218" s="82"/>
      <c r="E218" s="41" t="s">
        <v>280</v>
      </c>
      <c r="F218" s="2"/>
      <c r="G218" s="2" t="s">
        <v>281</v>
      </c>
      <c r="H218" s="2"/>
      <c r="I218" s="30">
        <f>SelectedInputs!I245</f>
        <v>14</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5">
      <c r="A219" s="82"/>
      <c r="B219" s="7"/>
      <c r="C219" s="7"/>
      <c r="D219" s="7"/>
      <c r="E219" s="7" t="s">
        <v>275</v>
      </c>
      <c r="F219" s="7"/>
      <c r="G219" s="2" t="s">
        <v>105</v>
      </c>
      <c r="H219" s="7"/>
      <c r="I219" s="30">
        <f>SelectedInputs!I241</f>
        <v>25.519621594927063</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8"/>
      <c r="AR219" s="30"/>
      <c r="AS219" s="30"/>
      <c r="AT219" s="30"/>
      <c r="AU219" s="30"/>
      <c r="AV219" s="30"/>
    </row>
    <row r="220" spans="1:48" ht="15">
      <c r="A220" s="2"/>
      <c r="B220" s="82"/>
      <c r="C220" s="82"/>
      <c r="D220" s="82"/>
      <c r="E220" s="82" t="s">
        <v>276</v>
      </c>
      <c r="F220" s="82"/>
      <c r="G220" s="82" t="s">
        <v>277</v>
      </c>
      <c r="H220" s="82"/>
      <c r="I220" s="487">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5">
      <c r="A221" s="2"/>
      <c r="B221" s="82"/>
      <c r="C221" s="82"/>
      <c r="D221" s="82"/>
      <c r="E221" s="41" t="s">
        <v>278</v>
      </c>
      <c r="F221" s="2"/>
      <c r="G221" s="2" t="s">
        <v>279</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5">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8"/>
      <c r="AR222" s="30"/>
      <c r="AS222" s="30"/>
      <c r="AT222" s="30"/>
      <c r="AU222" s="30"/>
      <c r="AV222" s="30"/>
    </row>
    <row r="223" spans="1:48" ht="15">
      <c r="A223" s="2"/>
      <c r="B223" s="2"/>
      <c r="C223" s="28" t="s">
        <v>615</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5">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5">
      <c r="A225" s="82"/>
      <c r="B225" s="82"/>
      <c r="C225" s="82"/>
      <c r="D225" s="10" t="s">
        <v>616</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5">
      <c r="A226" s="82"/>
      <c r="B226" s="82"/>
      <c r="C226" s="82"/>
      <c r="D226" s="82"/>
      <c r="E226" s="41" t="s">
        <v>282</v>
      </c>
      <c r="F226" s="2"/>
      <c r="G226" s="2" t="s">
        <v>281</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8">
        <f>SelectedInputs!AQ246</f>
        <v>45</v>
      </c>
      <c r="AR226" s="82"/>
      <c r="AS226" s="82"/>
      <c r="AT226" s="82"/>
      <c r="AU226" s="82"/>
      <c r="AV226" s="82"/>
    </row>
    <row r="227" spans="1:48" ht="15">
      <c r="A227" s="82"/>
      <c r="B227" s="82"/>
      <c r="C227" s="82"/>
      <c r="D227" s="82"/>
      <c r="E227" s="7" t="s">
        <v>283</v>
      </c>
      <c r="F227" s="82"/>
      <c r="G227" s="2" t="s">
        <v>281</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8">
        <f>SelectedInputs!AQ247</f>
        <v>45</v>
      </c>
      <c r="AR227" s="82"/>
      <c r="AS227" s="82"/>
      <c r="AT227" s="82"/>
      <c r="AU227" s="82"/>
      <c r="AV227" s="82"/>
    </row>
    <row r="228" spans="1:48" ht="15">
      <c r="A228" s="82"/>
      <c r="B228" s="82"/>
      <c r="C228" s="82"/>
      <c r="D228" s="82"/>
      <c r="E228" s="41" t="s">
        <v>284</v>
      </c>
      <c r="F228" s="2"/>
      <c r="G228" s="2" t="s">
        <v>281</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5">
      <c r="A229" s="82"/>
      <c r="B229" s="82"/>
      <c r="C229" s="82"/>
      <c r="D229" s="82"/>
      <c r="E229" s="7" t="s">
        <v>286</v>
      </c>
      <c r="F229" s="82"/>
      <c r="G229" s="2" t="s">
        <v>105</v>
      </c>
      <c r="H229" s="82"/>
      <c r="I229" s="82"/>
      <c r="J229" s="43"/>
      <c r="K229" s="30">
        <f>SelectedInputs!K250</f>
        <v>24.265624180091308</v>
      </c>
      <c r="L229" s="30">
        <f>SelectedInputs!L250</f>
        <v>75.575379125780543</v>
      </c>
      <c r="M229" s="30">
        <f>SelectedInputs!M250</f>
        <v>78.539119483654289</v>
      </c>
      <c r="N229" s="30">
        <f>SelectedInputs!N250</f>
        <v>89.097444508579528</v>
      </c>
      <c r="O229" s="30">
        <f>SelectedInputs!O250</f>
        <v>105.21278270451801</v>
      </c>
      <c r="P229" s="30">
        <f>SelectedInputs!P250</f>
        <v>77.61295062181874</v>
      </c>
      <c r="Q229" s="30">
        <f>SelectedInputs!Q250</f>
        <v>83.169963792832021</v>
      </c>
      <c r="R229" s="30">
        <f>SelectedInputs!R250</f>
        <v>76.316314215248994</v>
      </c>
      <c r="S229" s="30">
        <f>SelectedInputs!S250</f>
        <v>81.374484759045359</v>
      </c>
      <c r="T229" s="30">
        <f>SelectedInputs!T250</f>
        <v>86.472798316801928</v>
      </c>
      <c r="U229" s="30">
        <f>SelectedInputs!U250</f>
        <v>88.773713396244773</v>
      </c>
      <c r="V229" s="30">
        <f>SelectedInputs!V250</f>
        <v>99.987059669302653</v>
      </c>
      <c r="W229" s="30">
        <f>SelectedInputs!W250</f>
        <v>92.334630861645195</v>
      </c>
      <c r="X229" s="30">
        <f>SelectedInputs!X250</f>
        <v>97.405183056914325</v>
      </c>
      <c r="Y229" s="30">
        <f>SelectedInputs!Y250</f>
        <v>91.254455029953064</v>
      </c>
      <c r="Z229" s="30">
        <f>SelectedInputs!Z250</f>
        <v>107.8513973764981</v>
      </c>
      <c r="AA229" s="30">
        <f>SelectedInputs!AA250</f>
        <v>112.7814106362575</v>
      </c>
      <c r="AB229" s="30">
        <f>SelectedInputs!AB250</f>
        <v>129.46104758722427</v>
      </c>
      <c r="AC229" s="30">
        <f>SelectedInputs!AC250</f>
        <v>128.05734461084816</v>
      </c>
      <c r="AD229" s="30">
        <f>SelectedInputs!AD250</f>
        <v>124.36188074160526</v>
      </c>
      <c r="AE229" s="30">
        <f>SelectedInputs!AE250</f>
        <v>110.51366635320358</v>
      </c>
      <c r="AF229" s="30">
        <f>SelectedInputs!AF250</f>
        <v>110.87417588734979</v>
      </c>
      <c r="AG229" s="30">
        <f>SelectedInputs!AG250</f>
        <v>159.43632367418397</v>
      </c>
      <c r="AH229" s="30">
        <f>SelectedInputs!AH250</f>
        <v>179.23991373181218</v>
      </c>
      <c r="AI229" s="30">
        <f>SelectedInputs!AI250</f>
        <v>158.09167183610603</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8">
        <f>SelectedInputs!AQ250</f>
        <v>0</v>
      </c>
      <c r="AR229" s="82"/>
      <c r="AS229" s="82"/>
      <c r="AT229" s="82"/>
      <c r="AU229" s="82"/>
      <c r="AV229" s="82"/>
    </row>
    <row r="230" spans="1:48" ht="15">
      <c r="A230" s="82"/>
      <c r="B230" s="82"/>
      <c r="C230" s="82"/>
      <c r="D230" s="82"/>
      <c r="E230" s="41" t="s">
        <v>287</v>
      </c>
      <c r="F230" s="82"/>
      <c r="G230" s="2" t="s">
        <v>105</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8">
        <f>SelectedInputs!AQ251</f>
        <v>0</v>
      </c>
      <c r="AR230" s="82"/>
      <c r="AS230" s="82"/>
      <c r="AT230" s="82"/>
      <c r="AU230" s="82"/>
      <c r="AV230" s="82"/>
    </row>
    <row r="231" spans="1:48" ht="15">
      <c r="A231" s="82"/>
      <c r="B231" s="82"/>
      <c r="C231" s="82"/>
      <c r="D231" s="82"/>
      <c r="E231" s="41" t="s">
        <v>288</v>
      </c>
      <c r="F231" s="82"/>
      <c r="G231" s="2" t="s">
        <v>105</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-0.45374134482442691</v>
      </c>
      <c r="AI231" s="166">
        <f>SelectedInputs!AI252</f>
        <v>31.826224156279334</v>
      </c>
      <c r="AJ231" s="82"/>
      <c r="AK231" s="82"/>
      <c r="AL231" s="82"/>
      <c r="AM231" s="82"/>
      <c r="AN231" s="82"/>
      <c r="AO231" s="82"/>
      <c r="AP231" s="82"/>
      <c r="AQ231" s="147"/>
      <c r="AR231" s="82"/>
      <c r="AS231" s="82"/>
      <c r="AT231" s="82"/>
      <c r="AU231" s="82"/>
      <c r="AV231" s="82"/>
    </row>
    <row r="232" spans="1:48" ht="15">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8"/>
      <c r="AR232" s="30"/>
      <c r="AS232" s="30"/>
      <c r="AT232" s="30"/>
      <c r="AU232" s="30"/>
      <c r="AV232" s="30"/>
    </row>
    <row r="233" spans="1:48" ht="15">
      <c r="A233" s="82"/>
      <c r="B233" s="82"/>
      <c r="C233" s="82"/>
      <c r="D233" s="10" t="s">
        <v>617</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5">
      <c r="A234" s="82"/>
      <c r="B234" s="82"/>
      <c r="C234" s="82"/>
      <c r="D234" s="82"/>
      <c r="E234" s="41" t="s">
        <v>618</v>
      </c>
      <c r="F234" s="82"/>
      <c r="G234" s="82" t="s">
        <v>281</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5">
      <c r="A235" s="2"/>
      <c r="B235" s="2"/>
      <c r="C235" s="194"/>
      <c r="D235" s="194"/>
      <c r="E235" s="194" t="s">
        <v>401</v>
      </c>
      <c r="F235" s="194"/>
      <c r="G235" s="2" t="s">
        <v>105</v>
      </c>
      <c r="H235" s="194" t="s">
        <v>402</v>
      </c>
      <c r="J235" s="194"/>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SelectedInputs!AJ343 * Legacy!$I12</f>
        <v>152.1933132965795</v>
      </c>
      <c r="AK235" s="30">
        <f>SelectedInputs!AK343 * Legacy!$I12</f>
        <v>149.29665090420096</v>
      </c>
      <c r="AL235" s="30">
        <f>SelectedInputs!AL343 * Legacy!$I12</f>
        <v>137.40108385479559</v>
      </c>
      <c r="AM235" s="30">
        <f>SelectedInputs!AM343 * Legacy!$I12</f>
        <v>137.82070013287711</v>
      </c>
      <c r="AN235" s="30">
        <f>SelectedInputs!AN343 * Legacy!$I12</f>
        <v>144.79272984739924</v>
      </c>
      <c r="AO235" s="30">
        <f>SelectedInputs!AO343 * Legacy!$I12</f>
        <v>137.73435049766616</v>
      </c>
      <c r="AP235" s="30">
        <f>SelectedInputs!AP343 * Legacy!$I12</f>
        <v>127.41662175284937</v>
      </c>
      <c r="AQ235" s="218">
        <f>SelectedInputs!AQ343 * Legacy!$I12</f>
        <v>115.22666816849804</v>
      </c>
      <c r="AR235" s="30"/>
      <c r="AS235" s="30"/>
      <c r="AT235" s="30"/>
      <c r="AU235" s="30"/>
      <c r="AV235" s="30"/>
    </row>
    <row r="236" spans="1:48" ht="15">
      <c r="A236" s="2"/>
      <c r="B236" s="2"/>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89"/>
      <c r="AR236" s="194"/>
      <c r="AS236" s="194"/>
      <c r="AT236" s="194"/>
      <c r="AU236" s="194"/>
      <c r="AV236" s="194"/>
    </row>
    <row r="237" spans="1:48" ht="15">
      <c r="A237" s="2"/>
      <c r="B237" s="37" t="s">
        <v>289</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5">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5">
      <c r="A239" s="82"/>
      <c r="B239" s="82"/>
      <c r="C239" s="82"/>
      <c r="D239" s="82"/>
      <c r="E239" s="82" t="s">
        <v>256</v>
      </c>
      <c r="F239" s="82"/>
      <c r="G239" s="2" t="s">
        <v>209</v>
      </c>
      <c r="H239" s="2" t="s">
        <v>290</v>
      </c>
      <c r="I239" s="488">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5">
      <c r="A240" s="82"/>
      <c r="B240" s="82"/>
      <c r="C240" s="82"/>
      <c r="D240" s="82"/>
      <c r="E240" s="21" t="s">
        <v>291</v>
      </c>
      <c r="F240" s="82"/>
      <c r="G240" s="2" t="s">
        <v>249</v>
      </c>
      <c r="H240" s="21" t="s">
        <v>292</v>
      </c>
      <c r="I240" s="488">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5">
      <c r="A241" s="82"/>
      <c r="B241" s="82"/>
      <c r="C241" s="82"/>
      <c r="D241" s="82"/>
      <c r="E241" s="21" t="s">
        <v>293</v>
      </c>
      <c r="F241" s="82"/>
      <c r="G241" s="2" t="s">
        <v>249</v>
      </c>
      <c r="H241" s="21" t="s">
        <v>294</v>
      </c>
      <c r="I241" s="488">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5">
      <c r="A242" s="82"/>
      <c r="B242" s="82"/>
      <c r="C242" s="82"/>
      <c r="D242" s="82"/>
      <c r="E242" s="56" t="s">
        <v>295</v>
      </c>
      <c r="F242" s="82"/>
      <c r="G242" s="2" t="s">
        <v>209</v>
      </c>
      <c r="H242" s="21" t="s">
        <v>296</v>
      </c>
      <c r="I242" s="488">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5">
      <c r="A243" s="82"/>
      <c r="B243" s="82"/>
      <c r="C243" s="82"/>
      <c r="D243" s="82"/>
      <c r="E243" s="56" t="s">
        <v>297</v>
      </c>
      <c r="F243" s="82"/>
      <c r="G243" s="2" t="s">
        <v>209</v>
      </c>
      <c r="H243" s="21" t="s">
        <v>298</v>
      </c>
      <c r="I243" s="488">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5">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5">
      <c r="A245" s="2"/>
      <c r="B245" s="37" t="s">
        <v>299</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5">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5">
      <c r="A247" s="2"/>
      <c r="B247" s="2"/>
      <c r="C247" s="2"/>
      <c r="D247" s="2"/>
      <c r="E247" s="131" t="s">
        <v>300</v>
      </c>
      <c r="F247" s="2"/>
      <c r="G247" s="2" t="s">
        <v>105</v>
      </c>
      <c r="H247" s="82" t="s">
        <v>302</v>
      </c>
      <c r="I247" s="2"/>
      <c r="J247" s="4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8">
        <f>SelectedInputs!AQ264</f>
        <v>0</v>
      </c>
      <c r="AR247" s="186"/>
      <c r="AS247" s="186"/>
      <c r="AT247" s="186"/>
      <c r="AU247" s="186"/>
      <c r="AV247" s="186"/>
    </row>
    <row r="248" spans="1:48" ht="15">
      <c r="A248" s="2"/>
      <c r="B248" s="2"/>
      <c r="C248" s="2"/>
      <c r="D248" s="2"/>
      <c r="E248" s="131" t="s">
        <v>303</v>
      </c>
      <c r="F248" s="2"/>
      <c r="G248" s="21" t="s">
        <v>304</v>
      </c>
      <c r="H248" s="82" t="s">
        <v>305</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8">
        <f>SelectedInputs!AQ355</f>
        <v>387.98965212000002</v>
      </c>
      <c r="AR248" s="30">
        <f>SelectedInputs!AR265</f>
        <v>358.9475594299426</v>
      </c>
      <c r="AS248" s="30">
        <f>SelectedInputs!AS265</f>
        <v>501.22414267437853</v>
      </c>
      <c r="AT248" s="30">
        <f>SelectedInputs!AT265</f>
        <v>0</v>
      </c>
      <c r="AU248" s="30">
        <f>SelectedInputs!AU265</f>
        <v>0</v>
      </c>
      <c r="AV248" s="30">
        <f>SelectedInputs!AV265</f>
        <v>0</v>
      </c>
    </row>
    <row r="249" spans="1:48" ht="15">
      <c r="A249" s="2"/>
      <c r="B249" s="2"/>
      <c r="C249" s="2"/>
      <c r="D249" s="2"/>
      <c r="E249" s="131" t="s">
        <v>1227</v>
      </c>
      <c r="F249" s="2"/>
      <c r="G249" s="21" t="s">
        <v>304</v>
      </c>
      <c r="H249" s="2" t="s">
        <v>619</v>
      </c>
      <c r="I249" s="7"/>
      <c r="J249" s="2"/>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2"/>
      <c r="AK249" s="2"/>
      <c r="AL249" s="46"/>
      <c r="AM249" s="184"/>
      <c r="AN249" s="46"/>
      <c r="AO249" s="46"/>
      <c r="AP249" s="46"/>
      <c r="AQ249" s="218">
        <f>AQ248 - (AQ252+AQ253)*InputSummary!AQ18</f>
        <v>387.98965212000002</v>
      </c>
      <c r="AR249" s="30">
        <f>AR248 - (AR252+AR253)*InputSummary!AR18</f>
        <v>358.98039111327591</v>
      </c>
      <c r="AS249" s="30">
        <f>AS248 - (AS252+AS253)*InputSummary!AS18</f>
        <v>501.22414267437853</v>
      </c>
      <c r="AT249" s="30">
        <f>AT248 - (AT252+AT253)*InputSummary!AT18</f>
        <v>0</v>
      </c>
      <c r="AU249" s="30">
        <f>AU248 - (AU252+AU253)*InputSummary!AU18</f>
        <v>0</v>
      </c>
      <c r="AV249" s="30">
        <f>AV248 - (AV252+AV253)*InputSummary!AV18</f>
        <v>0</v>
      </c>
    </row>
    <row r="250" spans="1:48" ht="15">
      <c r="A250" s="2"/>
      <c r="B250" s="2"/>
      <c r="C250" s="2"/>
      <c r="D250" s="2"/>
      <c r="E250" s="131" t="s">
        <v>306</v>
      </c>
      <c r="F250" s="2"/>
      <c r="G250" s="21" t="s">
        <v>304</v>
      </c>
      <c r="H250" s="82" t="s">
        <v>307</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8"/>
      <c r="AR250" s="30">
        <f>SelectedInputs!AR266</f>
        <v>0</v>
      </c>
      <c r="AS250" s="30">
        <f>SelectedInputs!AS266</f>
        <v>0</v>
      </c>
      <c r="AT250" s="30">
        <f>SelectedInputs!AT266</f>
        <v>0</v>
      </c>
      <c r="AU250" s="30">
        <f>SelectedInputs!AU266</f>
        <v>0</v>
      </c>
      <c r="AV250" s="30">
        <f>SelectedInputs!AV266</f>
        <v>0</v>
      </c>
    </row>
    <row r="251" spans="1:48" ht="15">
      <c r="A251" s="2"/>
      <c r="B251" s="2"/>
      <c r="C251" s="2"/>
      <c r="D251" s="2"/>
      <c r="E251" s="131" t="s">
        <v>308</v>
      </c>
      <c r="F251" s="2"/>
      <c r="G251" s="2" t="s">
        <v>105</v>
      </c>
      <c r="H251" s="82" t="s">
        <v>309</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8">
        <f>SelectedInputs!AQ267</f>
        <v>0</v>
      </c>
      <c r="AR251" s="30">
        <f>SelectedInputs!AR267</f>
        <v>0</v>
      </c>
      <c r="AS251" s="30">
        <f>SelectedInputs!AS267</f>
        <v>0</v>
      </c>
      <c r="AT251" s="30">
        <f>SelectedInputs!AT267</f>
        <v>0</v>
      </c>
      <c r="AU251" s="30">
        <f>SelectedInputs!AU267</f>
        <v>0</v>
      </c>
      <c r="AV251" s="30">
        <f>SelectedInputs!AV267</f>
        <v>0</v>
      </c>
    </row>
    <row r="252" spans="1:48" ht="15">
      <c r="A252" s="2"/>
      <c r="B252" s="2"/>
      <c r="C252" s="2"/>
      <c r="D252" s="2"/>
      <c r="E252" s="82" t="s">
        <v>310</v>
      </c>
      <c r="F252" s="82"/>
      <c r="G252" s="82" t="s">
        <v>304</v>
      </c>
      <c r="H252" s="82" t="s">
        <v>311</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8"/>
      <c r="AR252" s="30">
        <f>SelectedInputs!AR268</f>
        <v>0</v>
      </c>
      <c r="AS252" s="30">
        <f>SelectedInputs!AS268</f>
        <v>0</v>
      </c>
      <c r="AT252" s="30">
        <f>SelectedInputs!AT268</f>
        <v>0</v>
      </c>
      <c r="AU252" s="30">
        <f>SelectedInputs!AU268</f>
        <v>0</v>
      </c>
      <c r="AV252" s="30">
        <f>SelectedInputs!AV268</f>
        <v>0</v>
      </c>
    </row>
    <row r="253" spans="1:48" ht="15">
      <c r="A253" s="2"/>
      <c r="B253" s="2"/>
      <c r="C253" s="2"/>
      <c r="D253" s="2"/>
      <c r="E253" s="82" t="s">
        <v>519</v>
      </c>
      <c r="F253" s="82"/>
      <c r="G253" s="82" t="s">
        <v>304</v>
      </c>
      <c r="H253" s="82" t="s">
        <v>313</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8"/>
      <c r="AR253" s="30">
        <f>SelectedInputs!AR269</f>
        <v>-3.2831683333333334E-2</v>
      </c>
      <c r="AS253" s="30">
        <f>SelectedInputs!AS269</f>
        <v>0</v>
      </c>
      <c r="AT253" s="30">
        <f>SelectedInputs!AT269</f>
        <v>0</v>
      </c>
      <c r="AU253" s="30">
        <f>SelectedInputs!AU269</f>
        <v>0</v>
      </c>
      <c r="AV253" s="30">
        <f>SelectedInputs!AV269</f>
        <v>0</v>
      </c>
    </row>
    <row r="254" spans="1:48" ht="15">
      <c r="A254" s="2"/>
      <c r="B254" s="2"/>
      <c r="C254" s="2"/>
      <c r="D254" s="2"/>
      <c r="E254" s="131" t="s">
        <v>314</v>
      </c>
      <c r="F254" s="34"/>
      <c r="G254" s="7" t="s">
        <v>315</v>
      </c>
      <c r="H254" s="34" t="s">
        <v>316</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8">
        <f>SelectedInputs!AQ270</f>
        <v>0</v>
      </c>
      <c r="AR254" s="30">
        <f>SelectedInputs!AR270</f>
        <v>0</v>
      </c>
      <c r="AS254" s="30">
        <f>SelectedInputs!AS270</f>
        <v>0</v>
      </c>
      <c r="AT254" s="30">
        <f>SelectedInputs!AT270</f>
        <v>0</v>
      </c>
      <c r="AU254" s="30">
        <f>SelectedInputs!AU270</f>
        <v>0</v>
      </c>
      <c r="AV254" s="30">
        <f>SelectedInputs!AV270</f>
        <v>0</v>
      </c>
    </row>
    <row r="255" spans="1:48" ht="15">
      <c r="A255" s="2"/>
      <c r="B255" s="2"/>
      <c r="C255" s="2"/>
      <c r="D255" s="2"/>
      <c r="E255" s="131" t="s">
        <v>317</v>
      </c>
      <c r="F255" s="34"/>
      <c r="G255" s="7" t="s">
        <v>315</v>
      </c>
      <c r="H255" s="34" t="s">
        <v>318</v>
      </c>
      <c r="I255" s="7"/>
      <c r="J255" s="43"/>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364"/>
      <c r="AK255" s="364"/>
      <c r="AL255" s="126"/>
      <c r="AM255" s="364"/>
      <c r="AN255" s="126"/>
      <c r="AO255" s="126"/>
      <c r="AP255" s="136"/>
      <c r="AQ255" s="218">
        <f>SelectedInputs!AQ271</f>
        <v>0</v>
      </c>
      <c r="AR255" s="30">
        <f>SelectedInputs!AR271</f>
        <v>0</v>
      </c>
      <c r="AS255" s="30">
        <f>SelectedInputs!AS271</f>
        <v>0</v>
      </c>
      <c r="AT255" s="30">
        <f>SelectedInputs!AT271</f>
        <v>0</v>
      </c>
      <c r="AU255" s="30">
        <f>SelectedInputs!AU271</f>
        <v>0</v>
      </c>
      <c r="AV255" s="30">
        <f>SelectedInputs!AV271</f>
        <v>0</v>
      </c>
    </row>
    <row r="256" spans="1:48" ht="15">
      <c r="A256" s="2"/>
      <c r="B256" s="2"/>
      <c r="C256" s="2"/>
      <c r="D256" s="2"/>
      <c r="E256" s="131" t="s">
        <v>319</v>
      </c>
      <c r="F256" s="21"/>
      <c r="G256" s="21" t="s">
        <v>209</v>
      </c>
      <c r="H256" s="2"/>
      <c r="I256" s="128">
        <f>SelectedInputs!I272</f>
        <v>0.06</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8"/>
      <c r="AR256" s="30"/>
      <c r="AS256" s="30"/>
      <c r="AT256" s="30"/>
      <c r="AU256" s="30"/>
      <c r="AV256" s="30"/>
    </row>
    <row r="257" spans="1:48" ht="15">
      <c r="A257" s="2"/>
      <c r="B257" s="2"/>
      <c r="C257" s="2"/>
      <c r="D257" s="2"/>
      <c r="E257" s="34" t="s">
        <v>320</v>
      </c>
      <c r="F257" s="34"/>
      <c r="G257" s="21" t="s">
        <v>209</v>
      </c>
      <c r="H257" s="2"/>
      <c r="I257" s="128">
        <f>SelectedInputs!I273</f>
        <v>1.15E-2</v>
      </c>
      <c r="J257" s="2"/>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46"/>
      <c r="AQ257" s="188"/>
      <c r="AR257" s="30"/>
      <c r="AS257" s="30"/>
      <c r="AT257" s="30"/>
      <c r="AU257" s="30"/>
      <c r="AV257" s="30"/>
    </row>
    <row r="258" spans="1:48" ht="15">
      <c r="A258" s="2"/>
      <c r="B258" s="2"/>
      <c r="C258" s="2"/>
      <c r="D258" s="2"/>
      <c r="E258" s="34" t="s">
        <v>321</v>
      </c>
      <c r="F258" s="34"/>
      <c r="G258" s="21" t="s">
        <v>209</v>
      </c>
      <c r="H258" s="131"/>
      <c r="I258" s="128">
        <f>SelectedInputs!I274</f>
        <v>1.15E-2</v>
      </c>
      <c r="J258" s="21"/>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23"/>
      <c r="AQ258" s="491"/>
      <c r="AR258" s="23"/>
      <c r="AS258" s="23"/>
      <c r="AT258" s="23"/>
      <c r="AU258" s="23"/>
      <c r="AV258" s="23"/>
    </row>
    <row r="259" spans="1:48" ht="15">
      <c r="A259" s="2"/>
      <c r="B259" s="2"/>
      <c r="C259" s="2"/>
      <c r="D259" s="2"/>
      <c r="E259" s="7"/>
      <c r="F259" s="7"/>
      <c r="G259" s="7"/>
      <c r="H259" s="7"/>
      <c r="I259" s="7"/>
      <c r="J259" s="43"/>
      <c r="K259" s="43"/>
      <c r="L259" s="43"/>
      <c r="M259" s="43"/>
      <c r="N259" s="43"/>
      <c r="O259" s="43"/>
      <c r="P259" s="43"/>
      <c r="Q259" s="43"/>
      <c r="R259" s="43"/>
      <c r="S259" s="43"/>
      <c r="T259" s="43"/>
      <c r="U259" s="43"/>
      <c r="V259" s="43"/>
      <c r="W259" s="43"/>
      <c r="X259" s="43"/>
      <c r="Y259" s="43"/>
      <c r="Z259" s="43"/>
      <c r="AA259" s="2"/>
      <c r="AB259" s="2"/>
      <c r="AC259" s="2"/>
      <c r="AD259" s="2"/>
      <c r="AE259" s="2"/>
      <c r="AF259" s="2"/>
      <c r="AG259" s="2"/>
      <c r="AH259" s="2"/>
      <c r="AI259" s="2"/>
      <c r="AJ259" s="2"/>
      <c r="AK259" s="2"/>
      <c r="AL259" s="46"/>
      <c r="AM259" s="184"/>
      <c r="AN259" s="46"/>
      <c r="AO259" s="46"/>
      <c r="AP259" s="46"/>
      <c r="AQ259" s="188"/>
      <c r="AR259" s="46"/>
      <c r="AS259" s="46"/>
      <c r="AT259" s="46"/>
      <c r="AU259" s="46"/>
      <c r="AV259" s="46"/>
    </row>
    <row r="260" spans="1:48" ht="15">
      <c r="A260" s="2"/>
      <c r="B260" s="37" t="s">
        <v>620</v>
      </c>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8"/>
      <c r="AR260" s="37"/>
      <c r="AS260" s="37"/>
      <c r="AT260" s="37"/>
      <c r="AU260" s="37"/>
      <c r="AV260" s="37"/>
    </row>
    <row r="261" spans="1:48" ht="1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57"/>
      <c r="AR261" s="2"/>
      <c r="AS261" s="2"/>
      <c r="AT261" s="2"/>
      <c r="AU261" s="2"/>
      <c r="AV261" s="2"/>
    </row>
    <row r="262" spans="1:48" ht="15">
      <c r="A262" s="2"/>
      <c r="B262" s="2"/>
      <c r="C262" s="28" t="s">
        <v>621</v>
      </c>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9"/>
      <c r="AR262" s="28"/>
      <c r="AS262" s="28"/>
      <c r="AT262" s="28"/>
      <c r="AU262" s="28"/>
      <c r="AV262" s="28"/>
    </row>
    <row r="263" spans="1:48" ht="15">
      <c r="A263" s="82"/>
      <c r="B263" s="82"/>
      <c r="C263" s="82"/>
      <c r="D263" s="82"/>
      <c r="E263" s="41"/>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147"/>
      <c r="AR263" s="82"/>
      <c r="AS263" s="82"/>
      <c r="AT263" s="82"/>
      <c r="AU263" s="82"/>
      <c r="AV263" s="82"/>
    </row>
    <row r="264" spans="1:48" ht="15">
      <c r="A264" s="2"/>
      <c r="B264" s="2"/>
      <c r="C264" s="2"/>
      <c r="D264" s="2"/>
      <c r="E264" s="7" t="s">
        <v>335</v>
      </c>
      <c r="F264" s="2"/>
      <c r="G264" s="7" t="s">
        <v>209</v>
      </c>
      <c r="H264" s="2" t="s">
        <v>336</v>
      </c>
      <c r="I264" s="2"/>
      <c r="J264" s="4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86"/>
      <c r="AJ264" s="262"/>
      <c r="AK264" s="262"/>
      <c r="AL264" s="262"/>
      <c r="AM264" s="262"/>
      <c r="AN264" s="262"/>
      <c r="AO264" s="262"/>
      <c r="AP264" s="262"/>
      <c r="AQ264" s="298"/>
      <c r="AR264" s="262">
        <f>SelectedInputs!AR286</f>
        <v>0.25</v>
      </c>
      <c r="AS264" s="262">
        <f>SelectedInputs!AS286</f>
        <v>0.25</v>
      </c>
      <c r="AT264" s="262">
        <f>SelectedInputs!AT286</f>
        <v>0.25</v>
      </c>
      <c r="AU264" s="262">
        <f>SelectedInputs!AU286</f>
        <v>0.25</v>
      </c>
      <c r="AV264" s="262">
        <f>SelectedInputs!AV286</f>
        <v>0.25</v>
      </c>
    </row>
    <row r="265" spans="1:48" ht="15">
      <c r="A265" s="2"/>
      <c r="B265" s="2"/>
      <c r="C265" s="2"/>
      <c r="D265" s="2"/>
      <c r="E265" s="7" t="s">
        <v>337</v>
      </c>
      <c r="F265" s="7"/>
      <c r="G265" s="7" t="s">
        <v>209</v>
      </c>
      <c r="H265" s="7" t="s">
        <v>338</v>
      </c>
      <c r="I265" s="7"/>
      <c r="J265" s="86"/>
      <c r="K265" s="7"/>
      <c r="L265" s="7"/>
      <c r="M265" s="7"/>
      <c r="N265" s="7"/>
      <c r="O265" s="7"/>
      <c r="P265" s="7"/>
      <c r="Q265" s="7"/>
      <c r="R265" s="7"/>
      <c r="S265" s="7"/>
      <c r="T265" s="7"/>
      <c r="U265" s="7"/>
      <c r="V265" s="2"/>
      <c r="W265" s="2"/>
      <c r="X265" s="2"/>
      <c r="Y265" s="2"/>
      <c r="Z265" s="2"/>
      <c r="AA265" s="2"/>
      <c r="AB265" s="2"/>
      <c r="AC265" s="2"/>
      <c r="AD265" s="2"/>
      <c r="AE265" s="2"/>
      <c r="AF265" s="2"/>
      <c r="AG265" s="2"/>
      <c r="AH265" s="2"/>
      <c r="AI265" s="286"/>
      <c r="AJ265" s="262"/>
      <c r="AK265" s="262"/>
      <c r="AL265" s="262"/>
      <c r="AM265" s="262"/>
      <c r="AN265" s="262"/>
      <c r="AO265" s="262"/>
      <c r="AP265" s="262"/>
      <c r="AQ265" s="298"/>
      <c r="AR265" s="262">
        <f>SelectedInputs!AR287</f>
        <v>0.18</v>
      </c>
      <c r="AS265" s="262">
        <f>SelectedInputs!AS287</f>
        <v>0.18</v>
      </c>
      <c r="AT265" s="262">
        <f>SelectedInputs!AT287</f>
        <v>0.18</v>
      </c>
      <c r="AU265" s="262">
        <f>SelectedInputs!AU287</f>
        <v>0.18</v>
      </c>
      <c r="AV265" s="262">
        <f>SelectedInputs!AV287</f>
        <v>0.18</v>
      </c>
    </row>
    <row r="266" spans="1:48" ht="15">
      <c r="A266" s="2"/>
      <c r="B266" s="2"/>
      <c r="C266" s="2"/>
      <c r="D266" s="2"/>
      <c r="E266" s="7" t="s">
        <v>339</v>
      </c>
      <c r="F266" s="7"/>
      <c r="G266" s="7" t="s">
        <v>209</v>
      </c>
      <c r="H266" s="7" t="s">
        <v>340</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2"/>
      <c r="AK266" s="262"/>
      <c r="AL266" s="262"/>
      <c r="AM266" s="262"/>
      <c r="AN266" s="262"/>
      <c r="AO266" s="262"/>
      <c r="AP266" s="262"/>
      <c r="AQ266" s="298"/>
      <c r="AR266" s="262">
        <f>SelectedInputs!AR288</f>
        <v>0.06</v>
      </c>
      <c r="AS266" s="262">
        <f>SelectedInputs!AS288</f>
        <v>0.06</v>
      </c>
      <c r="AT266" s="262">
        <f>SelectedInputs!AT288</f>
        <v>0.06</v>
      </c>
      <c r="AU266" s="262">
        <f>SelectedInputs!AU288</f>
        <v>0.06</v>
      </c>
      <c r="AV266" s="262">
        <f>SelectedInputs!AV288</f>
        <v>0.06</v>
      </c>
    </row>
    <row r="267" spans="1:48" ht="15">
      <c r="A267" s="2"/>
      <c r="B267" s="2"/>
      <c r="C267" s="2"/>
      <c r="D267" s="2"/>
      <c r="E267" s="7" t="s">
        <v>341</v>
      </c>
      <c r="F267" s="2"/>
      <c r="G267" s="7" t="s">
        <v>209</v>
      </c>
      <c r="H267" s="7" t="s">
        <v>342</v>
      </c>
      <c r="I267" s="7"/>
      <c r="J267" s="86"/>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86"/>
      <c r="AJ267" s="262"/>
      <c r="AK267" s="262"/>
      <c r="AL267" s="262"/>
      <c r="AM267" s="262"/>
      <c r="AN267" s="262"/>
      <c r="AO267" s="262"/>
      <c r="AP267" s="262"/>
      <c r="AQ267" s="298"/>
      <c r="AR267" s="262">
        <f>SelectedInputs!AR289</f>
        <v>0.03</v>
      </c>
      <c r="AS267" s="262">
        <f>SelectedInputs!AS289</f>
        <v>0.03</v>
      </c>
      <c r="AT267" s="262">
        <f>SelectedInputs!AT289</f>
        <v>0.03</v>
      </c>
      <c r="AU267" s="262">
        <f>SelectedInputs!AU289</f>
        <v>0.03</v>
      </c>
      <c r="AV267" s="262">
        <f>SelectedInputs!AV289</f>
        <v>0.03</v>
      </c>
    </row>
    <row r="268" spans="1:48" ht="15">
      <c r="A268" s="2"/>
      <c r="B268" s="2"/>
      <c r="C268" s="2"/>
      <c r="D268" s="2"/>
      <c r="E268" s="7" t="s">
        <v>343</v>
      </c>
      <c r="F268" s="7"/>
      <c r="G268" s="7" t="s">
        <v>209</v>
      </c>
      <c r="H268" s="7" t="s">
        <v>344</v>
      </c>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2"/>
      <c r="AK268" s="262"/>
      <c r="AL268" s="262"/>
      <c r="AM268" s="262"/>
      <c r="AN268" s="262"/>
      <c r="AO268" s="262"/>
      <c r="AP268" s="262"/>
      <c r="AQ268" s="298"/>
      <c r="AR268" s="262">
        <f>SelectedInputs!AR290</f>
        <v>2.2200000000000001E-2</v>
      </c>
      <c r="AS268" s="262">
        <f>SelectedInputs!AS290</f>
        <v>2.2200000000000001E-2</v>
      </c>
      <c r="AT268" s="262">
        <f>SelectedInputs!AT290</f>
        <v>2.2200000000000001E-2</v>
      </c>
      <c r="AU268" s="262">
        <f>SelectedInputs!AU290</f>
        <v>2.2200000000000001E-2</v>
      </c>
      <c r="AV268" s="262">
        <f>SelectedInputs!AV290</f>
        <v>2.2200000000000001E-2</v>
      </c>
    </row>
    <row r="269" spans="1:48" ht="15">
      <c r="A269" s="2"/>
      <c r="B269" s="2"/>
      <c r="C269" s="2"/>
      <c r="D269" s="2"/>
      <c r="E269" s="7"/>
      <c r="F269" s="7"/>
      <c r="G269" s="7"/>
      <c r="H269" s="7"/>
      <c r="I269" s="7"/>
      <c r="J269" s="86"/>
      <c r="K269" s="7"/>
      <c r="L269" s="7"/>
      <c r="M269" s="7"/>
      <c r="N269" s="7"/>
      <c r="O269" s="7"/>
      <c r="P269" s="7"/>
      <c r="Q269" s="7"/>
      <c r="R269" s="7"/>
      <c r="S269" s="7"/>
      <c r="T269" s="7"/>
      <c r="U269" s="7"/>
      <c r="V269" s="7"/>
      <c r="W269" s="7"/>
      <c r="X269" s="2"/>
      <c r="Y269" s="2"/>
      <c r="Z269" s="2"/>
      <c r="AA269" s="2"/>
      <c r="AB269" s="2"/>
      <c r="AC269" s="2"/>
      <c r="AD269" s="112"/>
      <c r="AE269" s="112"/>
      <c r="AF269" s="112"/>
      <c r="AG269" s="112"/>
      <c r="AH269" s="112"/>
      <c r="AI269" s="286"/>
      <c r="AJ269" s="262"/>
      <c r="AK269" s="262"/>
      <c r="AL269" s="262"/>
      <c r="AM269" s="262"/>
      <c r="AN269" s="262"/>
      <c r="AO269" s="262"/>
      <c r="AP269" s="262"/>
      <c r="AQ269" s="298"/>
      <c r="AR269" s="262"/>
      <c r="AS269" s="262"/>
      <c r="AT269" s="262"/>
      <c r="AU269" s="262"/>
      <c r="AV269" s="262"/>
    </row>
    <row r="270" spans="1:48" ht="15">
      <c r="A270" s="82"/>
      <c r="B270" s="82"/>
      <c r="C270" s="20" t="s">
        <v>622</v>
      </c>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39"/>
      <c r="AR270" s="20"/>
      <c r="AS270" s="20"/>
      <c r="AT270" s="20"/>
      <c r="AU270" s="20"/>
      <c r="AV270" s="20"/>
    </row>
    <row r="271" spans="1:48" ht="15">
      <c r="A271" s="82"/>
      <c r="B271" s="82"/>
      <c r="C271" s="2"/>
      <c r="D271" s="2"/>
      <c r="E271" s="2"/>
      <c r="F271" s="2"/>
      <c r="G271" s="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147"/>
      <c r="AR271" s="82"/>
      <c r="AS271" s="82"/>
      <c r="AT271" s="82"/>
      <c r="AU271" s="82"/>
      <c r="AV271" s="82"/>
    </row>
    <row r="272" spans="1:48" ht="15">
      <c r="A272" s="82"/>
      <c r="B272" s="82"/>
      <c r="C272" s="82"/>
      <c r="D272" s="21"/>
      <c r="E272" s="82" t="s">
        <v>404</v>
      </c>
      <c r="F272" s="82"/>
      <c r="G272" s="82" t="s">
        <v>304</v>
      </c>
      <c r="H272" s="82" t="s">
        <v>405</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8"/>
      <c r="AR272" s="30">
        <f>SelectedInputs!AR345</f>
        <v>52.108534054652672</v>
      </c>
      <c r="AS272" s="30"/>
      <c r="AT272" s="30"/>
      <c r="AU272" s="30"/>
      <c r="AV272" s="30"/>
    </row>
    <row r="273" spans="1:57" ht="15">
      <c r="A273" s="82"/>
      <c r="B273" s="82"/>
      <c r="C273" s="82"/>
      <c r="D273" s="21"/>
      <c r="E273" s="82" t="s">
        <v>406</v>
      </c>
      <c r="F273" s="82"/>
      <c r="G273" s="82" t="s">
        <v>304</v>
      </c>
      <c r="H273" s="82" t="s">
        <v>407</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8"/>
      <c r="AR273" s="30">
        <f>SelectedInputs!AR346</f>
        <v>257.11796666810397</v>
      </c>
      <c r="AS273" s="30"/>
      <c r="AT273" s="30"/>
      <c r="AU273" s="30"/>
      <c r="AV273" s="30"/>
    </row>
    <row r="274" spans="1:57" ht="15">
      <c r="A274" s="82"/>
      <c r="B274" s="82"/>
      <c r="C274" s="82"/>
      <c r="D274" s="21"/>
      <c r="E274" s="82" t="s">
        <v>408</v>
      </c>
      <c r="F274" s="82"/>
      <c r="G274" s="82" t="s">
        <v>304</v>
      </c>
      <c r="H274" s="82" t="s">
        <v>409</v>
      </c>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30"/>
      <c r="AK274" s="30"/>
      <c r="AL274" s="30"/>
      <c r="AM274" s="30"/>
      <c r="AN274" s="30"/>
      <c r="AO274" s="30"/>
      <c r="AP274" s="30"/>
      <c r="AQ274" s="218"/>
      <c r="AR274" s="30">
        <f>SelectedInputs!AR347</f>
        <v>1369.3486602701878</v>
      </c>
      <c r="AS274" s="30"/>
      <c r="AT274" s="30"/>
      <c r="AU274" s="30"/>
      <c r="AV274" s="30"/>
    </row>
    <row r="275" spans="1:57" s="82" customFormat="1" ht="15">
      <c r="E275" s="82" t="s">
        <v>410</v>
      </c>
      <c r="G275" s="82" t="s">
        <v>304</v>
      </c>
      <c r="H275" s="82" t="s">
        <v>411</v>
      </c>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18">
        <f>SelectedInputs!AQ348</f>
        <v>1697.8640410247963</v>
      </c>
      <c r="AR275" s="455"/>
      <c r="AS275" s="184"/>
      <c r="AT275" s="184"/>
      <c r="AU275" s="184"/>
      <c r="AV275" s="184"/>
      <c r="AW275" s="184"/>
      <c r="AX275" s="184"/>
      <c r="AY275" s="184"/>
      <c r="AZ275" s="184"/>
      <c r="BA275" s="184"/>
      <c r="BC275"/>
      <c r="BD275"/>
      <c r="BE275"/>
    </row>
    <row r="276" spans="1:57" ht="15">
      <c r="A276" s="82"/>
      <c r="B276" s="82"/>
      <c r="C276" s="82"/>
      <c r="D276" s="21"/>
      <c r="E276" s="82" t="s">
        <v>412</v>
      </c>
      <c r="F276" s="82"/>
      <c r="G276" s="82" t="s">
        <v>304</v>
      </c>
      <c r="H276" s="82" t="s">
        <v>413</v>
      </c>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30"/>
      <c r="AK276" s="30"/>
      <c r="AL276" s="30"/>
      <c r="AM276" s="30"/>
      <c r="AN276" s="30"/>
      <c r="AO276" s="30"/>
      <c r="AP276" s="30"/>
      <c r="AQ276" s="218"/>
      <c r="AR276" s="30">
        <f>SelectedInputs!AR349</f>
        <v>0</v>
      </c>
      <c r="AS276" s="30"/>
      <c r="AT276" s="30"/>
      <c r="AU276" s="30"/>
      <c r="AV276" s="30"/>
    </row>
    <row r="277" spans="1:57" ht="15">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147"/>
      <c r="AR277" s="82"/>
      <c r="AS277" s="82"/>
      <c r="AT277" s="82"/>
      <c r="AU277" s="82"/>
      <c r="AV277" s="82"/>
    </row>
    <row r="278" spans="1:57" ht="15">
      <c r="A278" s="82"/>
      <c r="B278" s="82"/>
      <c r="C278" s="82"/>
      <c r="D278" s="82"/>
      <c r="E278" s="293" t="s">
        <v>414</v>
      </c>
      <c r="F278" s="82"/>
      <c r="G278" s="82" t="s">
        <v>304</v>
      </c>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8"/>
      <c r="AR278" s="184">
        <f>SelectedInputs!AR350</f>
        <v>0</v>
      </c>
      <c r="AS278" s="184"/>
      <c r="AT278" s="184"/>
      <c r="AU278" s="184"/>
      <c r="AV278" s="184"/>
      <c r="AW278" s="184"/>
      <c r="AX278" s="184"/>
      <c r="AY278" s="184"/>
      <c r="AZ278" s="184"/>
      <c r="BA278" s="184"/>
      <c r="BB278" s="82"/>
    </row>
    <row r="279" spans="1:57" ht="15">
      <c r="A279" s="82"/>
      <c r="B279" s="82"/>
      <c r="C279" s="82"/>
      <c r="D279" s="82"/>
      <c r="E279" s="346"/>
      <c r="F279" s="82"/>
      <c r="G279" s="82"/>
      <c r="H279" s="82"/>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18"/>
      <c r="AR279" s="184"/>
      <c r="AS279" s="184"/>
      <c r="AT279" s="184"/>
      <c r="AU279" s="184"/>
      <c r="AV279" s="184"/>
      <c r="AW279" s="184"/>
      <c r="AX279" s="184"/>
      <c r="AY279" s="184"/>
      <c r="AZ279" s="184"/>
      <c r="BA279" s="184"/>
      <c r="BB279" s="82"/>
    </row>
    <row r="280" spans="1:57" ht="15">
      <c r="A280" s="82"/>
      <c r="B280" s="82"/>
      <c r="C280" s="20" t="s">
        <v>623</v>
      </c>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39"/>
      <c r="AR280" s="20"/>
      <c r="AS280" s="20"/>
      <c r="AT280" s="20"/>
      <c r="AU280" s="20"/>
      <c r="AV280" s="20"/>
    </row>
    <row r="281" spans="1:57" ht="15">
      <c r="A281" s="82"/>
      <c r="B281" s="82"/>
      <c r="C281" s="141"/>
      <c r="D281" s="141"/>
      <c r="E281" s="141"/>
      <c r="F281" s="141"/>
      <c r="G281" s="141"/>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82"/>
      <c r="AK281" s="82"/>
      <c r="AL281" s="82"/>
      <c r="AM281" s="82"/>
      <c r="AN281" s="82"/>
      <c r="AO281" s="82"/>
      <c r="AP281" s="82"/>
      <c r="AQ281" s="147"/>
      <c r="AR281" s="30"/>
      <c r="AS281" s="82"/>
      <c r="AT281" s="82"/>
      <c r="AU281" s="82"/>
      <c r="AV281" s="82"/>
    </row>
    <row r="282" spans="1:57" ht="15">
      <c r="A282" s="82"/>
      <c r="B282" s="82"/>
      <c r="C282" s="21"/>
      <c r="D282" s="21"/>
      <c r="E282" s="82" t="s">
        <v>323</v>
      </c>
      <c r="F282" s="21"/>
      <c r="G282" s="82" t="s">
        <v>105</v>
      </c>
      <c r="H282" s="82" t="s">
        <v>324</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8"/>
      <c r="AR282" s="30">
        <f>SelectedInputs!AR278</f>
        <v>-7.9935858132739916</v>
      </c>
      <c r="AS282" s="30">
        <f>SelectedInputs!AS278</f>
        <v>-11.634130968728453</v>
      </c>
      <c r="AT282" s="30">
        <f>SelectedInputs!AT278</f>
        <v>-12.361923422214995</v>
      </c>
      <c r="AU282" s="30">
        <f>SelectedInputs!AU278</f>
        <v>0</v>
      </c>
      <c r="AV282" s="30">
        <f>SelectedInputs!AV278</f>
        <v>0</v>
      </c>
    </row>
    <row r="283" spans="1:57" ht="15">
      <c r="A283" s="82"/>
      <c r="B283" s="82"/>
      <c r="C283" s="141"/>
      <c r="D283" s="141"/>
      <c r="E283" s="141" t="s">
        <v>325</v>
      </c>
      <c r="F283" s="141"/>
      <c r="G283" s="141" t="s">
        <v>304</v>
      </c>
      <c r="H283" s="82" t="s">
        <v>326</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8"/>
      <c r="AR283" s="30">
        <f>SelectedInputs!AR279</f>
        <v>0</v>
      </c>
      <c r="AS283" s="30">
        <f>SelectedInputs!AS279</f>
        <v>0</v>
      </c>
      <c r="AT283" s="30">
        <f>SelectedInputs!AT279</f>
        <v>0</v>
      </c>
      <c r="AU283" s="30">
        <f>SelectedInputs!AU279</f>
        <v>0</v>
      </c>
      <c r="AV283" s="30">
        <f>SelectedInputs!AV279</f>
        <v>0</v>
      </c>
    </row>
    <row r="284" spans="1:57" ht="15">
      <c r="A284" s="82"/>
      <c r="B284" s="82"/>
      <c r="C284" s="21"/>
      <c r="D284" s="21"/>
      <c r="E284" s="7" t="s">
        <v>327</v>
      </c>
      <c r="F284" s="21"/>
      <c r="G284" s="82" t="s">
        <v>304</v>
      </c>
      <c r="H284" s="82" t="s">
        <v>328</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8"/>
      <c r="AR284" s="30">
        <f>SelectedInputs!AR280</f>
        <v>0</v>
      </c>
      <c r="AS284" s="30">
        <f>SelectedInputs!AS280</f>
        <v>0</v>
      </c>
      <c r="AT284" s="30">
        <f>SelectedInputs!AT280</f>
        <v>0</v>
      </c>
      <c r="AU284" s="30">
        <f>SelectedInputs!AU280</f>
        <v>0</v>
      </c>
      <c r="AV284" s="30">
        <f>SelectedInputs!AV280</f>
        <v>0</v>
      </c>
    </row>
    <row r="285" spans="1:57" ht="15">
      <c r="A285" s="82"/>
      <c r="B285" s="82"/>
      <c r="C285" s="21"/>
      <c r="D285" s="21"/>
      <c r="E285" s="7" t="s">
        <v>329</v>
      </c>
      <c r="F285" s="21"/>
      <c r="G285" s="82" t="s">
        <v>304</v>
      </c>
      <c r="H285" s="82" t="s">
        <v>330</v>
      </c>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30"/>
      <c r="AK285" s="30"/>
      <c r="AL285" s="30"/>
      <c r="AM285" s="30"/>
      <c r="AN285" s="30"/>
      <c r="AO285" s="30"/>
      <c r="AP285" s="30"/>
      <c r="AQ285" s="218"/>
      <c r="AR285" s="30">
        <f>SelectedInputs!AR281</f>
        <v>0</v>
      </c>
      <c r="AS285" s="30">
        <f>SelectedInputs!AS281</f>
        <v>0</v>
      </c>
      <c r="AT285" s="30">
        <f>SelectedInputs!AT281</f>
        <v>0</v>
      </c>
      <c r="AU285" s="30">
        <f>SelectedInputs!AU281</f>
        <v>0</v>
      </c>
      <c r="AV285" s="30">
        <f>SelectedInputs!AV281</f>
        <v>0</v>
      </c>
    </row>
    <row r="286" spans="1:57" ht="15">
      <c r="A286" s="82"/>
      <c r="B286" s="82"/>
      <c r="C286" s="21"/>
      <c r="D286" s="21"/>
      <c r="E286" s="7"/>
      <c r="F286" s="21"/>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c r="AS286" s="30"/>
      <c r="AT286" s="30"/>
      <c r="AU286" s="30"/>
      <c r="AV286" s="30"/>
    </row>
    <row r="287" spans="1:57" ht="15">
      <c r="A287" s="82"/>
      <c r="B287" s="82"/>
      <c r="C287" s="21"/>
      <c r="D287" s="21"/>
      <c r="E287" s="7" t="s">
        <v>345</v>
      </c>
      <c r="F287" s="21"/>
      <c r="G287" s="82" t="s">
        <v>105</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30">
        <f>SelectedInputs!AR292</f>
        <v>1.368578491828039</v>
      </c>
      <c r="AS287" s="30">
        <f>SelectedInputs!AS292</f>
        <v>1.4008338175049104</v>
      </c>
      <c r="AT287" s="30">
        <f>SelectedInputs!AT292</f>
        <v>1.2944169556388054</v>
      </c>
      <c r="AU287" s="30">
        <f>SelectedInputs!AU292</f>
        <v>1.1615288221705597</v>
      </c>
      <c r="AV287" s="30">
        <f>SelectedInputs!AV292</f>
        <v>1.0171476978779488</v>
      </c>
    </row>
    <row r="288" spans="1:57" ht="15">
      <c r="A288" s="82"/>
      <c r="B288" s="82"/>
      <c r="C288" s="21"/>
      <c r="D288" s="21"/>
      <c r="E288" s="7" t="s">
        <v>346</v>
      </c>
      <c r="F288" s="21"/>
      <c r="G288" s="82" t="s">
        <v>209</v>
      </c>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30"/>
      <c r="AI288" s="82"/>
      <c r="AJ288" s="82"/>
      <c r="AK288" s="82"/>
      <c r="AL288" s="82"/>
      <c r="AM288" s="82"/>
      <c r="AN288" s="82"/>
      <c r="AO288" s="82"/>
      <c r="AP288" s="82"/>
      <c r="AQ288" s="147"/>
      <c r="AR288" s="489">
        <f>SelectedInputs!AR293</f>
        <v>0.65</v>
      </c>
      <c r="AS288" s="489">
        <f>SelectedInputs!AS293</f>
        <v>0.64</v>
      </c>
      <c r="AT288" s="489">
        <f>SelectedInputs!AT293</f>
        <v>0.63</v>
      </c>
      <c r="AU288" s="489">
        <f>SelectedInputs!AU293</f>
        <v>0.61</v>
      </c>
      <c r="AV288" s="489">
        <f>SelectedInputs!AV293</f>
        <v>0.6</v>
      </c>
    </row>
    <row r="289" spans="1:48" ht="15">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147"/>
      <c r="AR289" s="82"/>
      <c r="AS289" s="82"/>
      <c r="AT289" s="82"/>
      <c r="AU289" s="82"/>
      <c r="AV289" s="82"/>
    </row>
    <row r="290" spans="1:48" ht="15">
      <c r="A290" s="2"/>
      <c r="B290" s="37" t="s">
        <v>630</v>
      </c>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8"/>
      <c r="AR290" s="37"/>
      <c r="AS290" s="37"/>
      <c r="AT290" s="37"/>
      <c r="AU290" s="37"/>
      <c r="AV290" s="37"/>
    </row>
    <row r="291" spans="1:48" ht="15">
      <c r="A291" s="2"/>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269"/>
      <c r="AR291" s="83"/>
      <c r="AS291" s="83"/>
      <c r="AT291" s="83"/>
      <c r="AU291" s="83"/>
      <c r="AV291" s="83"/>
    </row>
    <row r="292" spans="1:48" ht="15">
      <c r="A292" s="2"/>
      <c r="B292" s="2"/>
      <c r="C292" s="28" t="s">
        <v>631</v>
      </c>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9"/>
      <c r="AR292" s="28"/>
      <c r="AS292" s="28"/>
      <c r="AT292" s="28"/>
      <c r="AU292" s="28"/>
      <c r="AV292" s="28"/>
    </row>
    <row r="293" spans="1:48" ht="1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65"/>
      <c r="AR293" s="7"/>
      <c r="AS293" s="7"/>
      <c r="AT293" s="7"/>
      <c r="AU293" s="7"/>
      <c r="AV293" s="7"/>
    </row>
    <row r="294" spans="1:48" ht="15.75">
      <c r="A294" s="82"/>
      <c r="B294" s="82"/>
      <c r="C294" s="82"/>
      <c r="D294" s="82"/>
      <c r="E294" s="259" t="s">
        <v>632</v>
      </c>
      <c r="F294" s="268"/>
      <c r="G294" s="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147"/>
      <c r="AR294" s="7"/>
      <c r="AS294" s="7"/>
      <c r="AT294" s="7"/>
      <c r="AU294" s="7"/>
      <c r="AV294" s="7"/>
    </row>
    <row r="295" spans="1:48" ht="15.75">
      <c r="A295" s="82"/>
      <c r="B295" s="82"/>
      <c r="C295" s="82"/>
      <c r="D295" s="82"/>
      <c r="E295" s="82" t="s">
        <v>633</v>
      </c>
      <c r="F295" s="268"/>
      <c r="G295" s="2" t="s">
        <v>105</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4"/>
      <c r="AR295" s="7">
        <f t="shared" ref="AR295:AV301" si="12">AR31 + AR313 + AR322</f>
        <v>28.925203753931321</v>
      </c>
      <c r="AS295" s="7">
        <f t="shared" si="12"/>
        <v>37.60455987893252</v>
      </c>
      <c r="AT295" s="7">
        <f t="shared" si="12"/>
        <v>24.079862032469187</v>
      </c>
      <c r="AU295" s="7">
        <f t="shared" si="12"/>
        <v>29.310197078776987</v>
      </c>
      <c r="AV295" s="7">
        <f t="shared" si="12"/>
        <v>27.647299610506426</v>
      </c>
    </row>
    <row r="296" spans="1:48" ht="15.75">
      <c r="A296" s="82"/>
      <c r="B296" s="82"/>
      <c r="C296" s="82"/>
      <c r="D296" s="82"/>
      <c r="E296" s="82" t="s">
        <v>634</v>
      </c>
      <c r="F296" s="268"/>
      <c r="G296" s="2" t="s">
        <v>105</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4"/>
      <c r="AR296" s="7">
        <f t="shared" si="12"/>
        <v>61.503289112902401</v>
      </c>
      <c r="AS296" s="7">
        <f t="shared" si="12"/>
        <v>69.421619576087181</v>
      </c>
      <c r="AT296" s="7">
        <f t="shared" si="12"/>
        <v>68.291655123948615</v>
      </c>
      <c r="AU296" s="7">
        <f t="shared" si="12"/>
        <v>67.024845221089805</v>
      </c>
      <c r="AV296" s="7">
        <f t="shared" si="12"/>
        <v>70.283718452217471</v>
      </c>
    </row>
    <row r="297" spans="1:48" ht="15.75">
      <c r="A297" s="82"/>
      <c r="B297" s="82"/>
      <c r="C297" s="82"/>
      <c r="D297" s="82"/>
      <c r="E297" s="82" t="s">
        <v>635</v>
      </c>
      <c r="F297" s="268"/>
      <c r="G297" s="2" t="s">
        <v>105</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4"/>
      <c r="AR297" s="7">
        <f t="shared" si="12"/>
        <v>23.102043487500566</v>
      </c>
      <c r="AS297" s="7">
        <f t="shared" si="12"/>
        <v>33.7661379965188</v>
      </c>
      <c r="AT297" s="7">
        <f t="shared" si="12"/>
        <v>38.786354661143207</v>
      </c>
      <c r="AU297" s="7">
        <f t="shared" si="12"/>
        <v>37.801321251268178</v>
      </c>
      <c r="AV297" s="7">
        <f t="shared" si="12"/>
        <v>26.028961582071652</v>
      </c>
    </row>
    <row r="298" spans="1:48" ht="15.75">
      <c r="A298" s="82"/>
      <c r="B298" s="82"/>
      <c r="C298" s="82"/>
      <c r="D298" s="82"/>
      <c r="E298" s="82" t="s">
        <v>636</v>
      </c>
      <c r="F298" s="268"/>
      <c r="G298" s="2" t="s">
        <v>105</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4"/>
      <c r="AR298" s="7">
        <f t="shared" si="12"/>
        <v>23.705405599999999</v>
      </c>
      <c r="AS298" s="7">
        <f t="shared" si="12"/>
        <v>24.002463181301323</v>
      </c>
      <c r="AT298" s="7">
        <f t="shared" si="12"/>
        <v>24.147721676816172</v>
      </c>
      <c r="AU298" s="7">
        <f t="shared" si="12"/>
        <v>24.835827175742264</v>
      </c>
      <c r="AV298" s="7">
        <f t="shared" si="12"/>
        <v>24.707668386607708</v>
      </c>
    </row>
    <row r="299" spans="1:48" ht="15.75">
      <c r="A299" s="82"/>
      <c r="B299" s="82"/>
      <c r="C299" s="82"/>
      <c r="D299" s="82"/>
      <c r="E299" s="82" t="s">
        <v>637</v>
      </c>
      <c r="F299" s="268"/>
      <c r="G299" s="2" t="s">
        <v>105</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4"/>
      <c r="AR299" s="7">
        <f t="shared" si="12"/>
        <v>3.9503216000000001</v>
      </c>
      <c r="AS299" s="7">
        <f t="shared" si="12"/>
        <v>3.5134259530589431</v>
      </c>
      <c r="AT299" s="7">
        <f t="shared" si="12"/>
        <v>3.5362559200738617</v>
      </c>
      <c r="AU299" s="7">
        <f t="shared" si="12"/>
        <v>3.9240955199766754</v>
      </c>
      <c r="AV299" s="7">
        <f t="shared" si="12"/>
        <v>3.590979727294815</v>
      </c>
    </row>
    <row r="300" spans="1:48" ht="15.75">
      <c r="A300" s="82"/>
      <c r="B300" s="82"/>
      <c r="C300" s="82"/>
      <c r="D300" s="82"/>
      <c r="E300" s="82" t="s">
        <v>638</v>
      </c>
      <c r="F300" s="268"/>
      <c r="G300" s="2" t="s">
        <v>105</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4"/>
      <c r="AR300" s="7">
        <f t="shared" si="12"/>
        <v>6.1702173999999994</v>
      </c>
      <c r="AS300" s="7">
        <f t="shared" si="12"/>
        <v>6.2357466996452695</v>
      </c>
      <c r="AT300" s="7">
        <f t="shared" si="12"/>
        <v>6.1608157436610131</v>
      </c>
      <c r="AU300" s="7">
        <f t="shared" si="12"/>
        <v>6.2742879546333645</v>
      </c>
      <c r="AV300" s="7">
        <f t="shared" si="12"/>
        <v>6.216157588415375</v>
      </c>
    </row>
    <row r="301" spans="1:48" ht="15.75">
      <c r="A301" s="82"/>
      <c r="B301" s="82"/>
      <c r="C301" s="82"/>
      <c r="D301" s="82"/>
      <c r="E301" s="82" t="s">
        <v>639</v>
      </c>
      <c r="F301" s="268"/>
      <c r="G301" s="2" t="s">
        <v>105</v>
      </c>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434"/>
      <c r="AR301" s="7">
        <f t="shared" si="12"/>
        <v>73.657525695857586</v>
      </c>
      <c r="AS301" s="7">
        <f t="shared" si="12"/>
        <v>74.223277109554701</v>
      </c>
      <c r="AT301" s="7">
        <f t="shared" si="12"/>
        <v>72.681004245367077</v>
      </c>
      <c r="AU301" s="7">
        <f t="shared" si="12"/>
        <v>72.947663388728586</v>
      </c>
      <c r="AV301" s="7">
        <f t="shared" si="12"/>
        <v>72.232488313072224</v>
      </c>
    </row>
    <row r="302" spans="1:48" ht="15.75">
      <c r="A302" s="82"/>
      <c r="B302" s="82"/>
      <c r="C302" s="82"/>
      <c r="D302" s="82"/>
      <c r="E302" s="82"/>
      <c r="F302" s="268"/>
      <c r="G302" s="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7"/>
      <c r="AR302" s="7"/>
      <c r="AS302" s="7"/>
      <c r="AT302" s="7"/>
      <c r="AU302" s="7"/>
      <c r="AV302" s="7"/>
    </row>
    <row r="303" spans="1:48" ht="15">
      <c r="A303" s="82"/>
      <c r="B303" s="82"/>
      <c r="C303" s="82"/>
      <c r="D303" s="82"/>
      <c r="E303" s="259" t="s">
        <v>640</v>
      </c>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251"/>
      <c r="AS303" s="251"/>
      <c r="AT303" s="251"/>
      <c r="AU303" s="251"/>
      <c r="AV303" s="251"/>
    </row>
    <row r="304" spans="1:48" ht="15.75">
      <c r="A304" s="82"/>
      <c r="B304" s="82"/>
      <c r="C304" s="82"/>
      <c r="D304" s="82"/>
      <c r="E304" s="82" t="s">
        <v>633</v>
      </c>
      <c r="F304" s="268"/>
      <c r="G304" s="2" t="s">
        <v>105</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7"/>
      <c r="AR304" s="7">
        <f t="shared" ref="AR304:AV310" si="13">AR31</f>
        <v>17.89</v>
      </c>
      <c r="AS304" s="7">
        <f t="shared" si="13"/>
        <v>19.670000000000002</v>
      </c>
      <c r="AT304" s="7">
        <f t="shared" si="13"/>
        <v>13.05</v>
      </c>
      <c r="AU304" s="7">
        <f t="shared" si="13"/>
        <v>15.39</v>
      </c>
      <c r="AV304" s="7">
        <f t="shared" si="13"/>
        <v>13.06</v>
      </c>
    </row>
    <row r="305" spans="1:48" ht="15.75">
      <c r="A305" s="82"/>
      <c r="B305" s="82"/>
      <c r="C305" s="82"/>
      <c r="D305" s="82"/>
      <c r="E305" s="82" t="s">
        <v>634</v>
      </c>
      <c r="F305" s="268"/>
      <c r="G305" s="2" t="s">
        <v>105</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7"/>
      <c r="AR305" s="7">
        <f t="shared" si="13"/>
        <v>32.18</v>
      </c>
      <c r="AS305" s="7">
        <f t="shared" si="13"/>
        <v>34.229999999999997</v>
      </c>
      <c r="AT305" s="7">
        <f t="shared" si="13"/>
        <v>35.53</v>
      </c>
      <c r="AU305" s="7">
        <f t="shared" si="13"/>
        <v>38.090000000000003</v>
      </c>
      <c r="AV305" s="7">
        <f t="shared" si="13"/>
        <v>38.51</v>
      </c>
    </row>
    <row r="306" spans="1:48" ht="15.75">
      <c r="A306" s="82"/>
      <c r="B306" s="82"/>
      <c r="C306" s="82"/>
      <c r="D306" s="82"/>
      <c r="E306" s="82" t="s">
        <v>635</v>
      </c>
      <c r="F306" s="268"/>
      <c r="G306" s="2" t="s">
        <v>105</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7"/>
      <c r="AR306" s="7">
        <f t="shared" si="13"/>
        <v>18.34</v>
      </c>
      <c r="AS306" s="7">
        <f t="shared" si="13"/>
        <v>20.21</v>
      </c>
      <c r="AT306" s="7">
        <f t="shared" si="13"/>
        <v>18.8</v>
      </c>
      <c r="AU306" s="7">
        <f t="shared" si="13"/>
        <v>20.56</v>
      </c>
      <c r="AV306" s="7">
        <f t="shared" si="13"/>
        <v>20.3</v>
      </c>
    </row>
    <row r="307" spans="1:48" ht="15.75">
      <c r="A307" s="82"/>
      <c r="B307" s="82"/>
      <c r="C307" s="82"/>
      <c r="D307" s="82"/>
      <c r="E307" s="82" t="s">
        <v>636</v>
      </c>
      <c r="F307" s="268"/>
      <c r="G307" s="2" t="s">
        <v>105</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7"/>
      <c r="AR307" s="7">
        <f t="shared" si="13"/>
        <v>23.9</v>
      </c>
      <c r="AS307" s="7">
        <f t="shared" si="13"/>
        <v>23.98</v>
      </c>
      <c r="AT307" s="7">
        <f t="shared" si="13"/>
        <v>23.91</v>
      </c>
      <c r="AU307" s="7">
        <f t="shared" si="13"/>
        <v>24.35</v>
      </c>
      <c r="AV307" s="7">
        <f t="shared" si="13"/>
        <v>23.98</v>
      </c>
    </row>
    <row r="308" spans="1:48" ht="15.75">
      <c r="A308" s="82"/>
      <c r="B308" s="82"/>
      <c r="C308" s="82"/>
      <c r="D308" s="82"/>
      <c r="E308" s="82" t="s">
        <v>637</v>
      </c>
      <c r="F308" s="268"/>
      <c r="G308" s="2" t="s">
        <v>105</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7"/>
      <c r="AR308" s="7">
        <f t="shared" si="13"/>
        <v>3.98</v>
      </c>
      <c r="AS308" s="7">
        <f t="shared" si="13"/>
        <v>3.51</v>
      </c>
      <c r="AT308" s="7">
        <f t="shared" si="13"/>
        <v>3.5</v>
      </c>
      <c r="AU308" s="7">
        <f t="shared" si="13"/>
        <v>3.85</v>
      </c>
      <c r="AV308" s="7">
        <f t="shared" si="13"/>
        <v>3.48</v>
      </c>
    </row>
    <row r="309" spans="1:48" ht="15.75">
      <c r="A309" s="82"/>
      <c r="B309" s="82"/>
      <c r="C309" s="82"/>
      <c r="D309" s="82"/>
      <c r="E309" s="82" t="s">
        <v>638</v>
      </c>
      <c r="F309" s="268"/>
      <c r="G309" s="2" t="s">
        <v>105</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7"/>
      <c r="AR309" s="7">
        <f t="shared" si="13"/>
        <v>6.22</v>
      </c>
      <c r="AS309" s="7">
        <f t="shared" si="13"/>
        <v>6.23</v>
      </c>
      <c r="AT309" s="7">
        <f t="shared" si="13"/>
        <v>6.1</v>
      </c>
      <c r="AU309" s="7">
        <f t="shared" si="13"/>
        <v>6.15</v>
      </c>
      <c r="AV309" s="7">
        <f t="shared" si="13"/>
        <v>6.03</v>
      </c>
    </row>
    <row r="310" spans="1:48" ht="15.75">
      <c r="A310" s="82"/>
      <c r="B310" s="82"/>
      <c r="C310" s="82"/>
      <c r="D310" s="82"/>
      <c r="E310" s="82" t="s">
        <v>639</v>
      </c>
      <c r="F310" s="268"/>
      <c r="G310" s="2" t="s">
        <v>105</v>
      </c>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7"/>
      <c r="AR310" s="7">
        <f t="shared" si="13"/>
        <v>71.31</v>
      </c>
      <c r="AS310" s="7">
        <f t="shared" si="13"/>
        <v>71.17</v>
      </c>
      <c r="AT310" s="7">
        <f t="shared" si="13"/>
        <v>69.37</v>
      </c>
      <c r="AU310" s="7">
        <f t="shared" si="13"/>
        <v>69.37</v>
      </c>
      <c r="AV310" s="7">
        <f t="shared" si="13"/>
        <v>67.930000000000007</v>
      </c>
    </row>
    <row r="311" spans="1:48" ht="15.75">
      <c r="A311" s="82"/>
      <c r="B311" s="82"/>
      <c r="C311" s="82"/>
      <c r="D311" s="82"/>
      <c r="E311" s="82"/>
      <c r="F311" s="268"/>
      <c r="G311" s="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7"/>
      <c r="AS311" s="7"/>
      <c r="AT311" s="7"/>
      <c r="AU311" s="7"/>
      <c r="AV311" s="7"/>
    </row>
    <row r="312" spans="1:48" ht="15">
      <c r="A312" s="82"/>
      <c r="B312" s="82"/>
      <c r="C312" s="82"/>
      <c r="D312" s="82"/>
      <c r="E312" s="259" t="s">
        <v>641</v>
      </c>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251"/>
      <c r="AS312" s="251"/>
      <c r="AT312" s="251"/>
      <c r="AU312" s="251"/>
      <c r="AV312" s="251"/>
    </row>
    <row r="313" spans="1:48" ht="15.75">
      <c r="A313" s="82"/>
      <c r="B313" s="82"/>
      <c r="C313" s="82"/>
      <c r="D313" s="82"/>
      <c r="E313" s="82" t="s">
        <v>633</v>
      </c>
      <c r="F313" s="268"/>
      <c r="G313" s="2" t="s">
        <v>105</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cm="1">
        <f t="array" ref="AR313">SUMPRODUCT(--($AM$385:$AM$432=1),AR$332:AR$379,$AO$385:$AO$432)</f>
        <v>-0.12807719999999992</v>
      </c>
      <c r="AS313" s="7" cm="1">
        <f t="array" ref="AS313">SUMPRODUCT(--($AM$385:$AM$432=1),AS$332:AS$379,$AO$385:$AO$432)</f>
        <v>1.4784707906116261E-2</v>
      </c>
      <c r="AT313" s="7" cm="1">
        <f t="array" ref="AT313">SUMPRODUCT(--($AM$385:$AM$432=1),AT$332:AT$379,$AO$385:$AO$432)</f>
        <v>0.15646250224014752</v>
      </c>
      <c r="AU313" s="7" cm="1">
        <f t="array" ref="AU313">SUMPRODUCT(--($AM$385:$AM$432=1),AU$332:AU$379,$AO$385:$AO$432)</f>
        <v>0.31975937823995332</v>
      </c>
      <c r="AV313" s="7" cm="1">
        <f t="array" ref="AV313">SUMPRODUCT(--($AM$385:$AM$432=1),AV$332:AV$379,$AO$385:$AO$432)</f>
        <v>0.47893325545458904</v>
      </c>
    </row>
    <row r="314" spans="1:48" ht="15.75">
      <c r="A314" s="82"/>
      <c r="B314" s="82"/>
      <c r="C314" s="82"/>
      <c r="D314" s="82"/>
      <c r="E314" s="82" t="s">
        <v>634</v>
      </c>
      <c r="F314" s="268"/>
      <c r="G314" s="2" t="s">
        <v>105</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cm="1">
        <f t="array" ref="AR314">SUMPRODUCT(--($AM$385:$AM$432=1),AR$332:AR$379,$AP$385:$AP$432)</f>
        <v>26.5460712</v>
      </c>
      <c r="AS314" s="7" cm="1">
        <f t="array" ref="AS314">SUMPRODUCT(--($AM$385:$AM$432=1),AS$332:AS$379,$AP$385:$AP$432)</f>
        <v>27.829325837795803</v>
      </c>
      <c r="AT314" s="7" cm="1">
        <f t="array" ref="AT314">SUMPRODUCT(--($AM$385:$AM$432=1),AT$332:AT$379,$AP$385:$AP$432)</f>
        <v>27.17782904389912</v>
      </c>
      <c r="AU314" s="7" cm="1">
        <f t="array" ref="AU314">SUMPRODUCT(--($AM$385:$AM$432=1),AU$332:AU$379,$AP$385:$AP$432)</f>
        <v>28.863082028242381</v>
      </c>
      <c r="AV314" s="7" cm="1">
        <f t="array" ref="AV314">SUMPRODUCT(--($AM$385:$AM$432=1),AV$332:AV$379,$AP$385:$AP$432)</f>
        <v>31.661790867194711</v>
      </c>
    </row>
    <row r="315" spans="1:48" ht="15.75">
      <c r="A315" s="82"/>
      <c r="B315" s="82"/>
      <c r="C315" s="82"/>
      <c r="D315" s="82"/>
      <c r="E315" s="82" t="s">
        <v>635</v>
      </c>
      <c r="F315" s="268"/>
      <c r="G315" s="2" t="s">
        <v>105</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cm="1">
        <f t="array" ref="AR315">SUMPRODUCT(--($AM$385:$AM$432=1),AR$332:AR$379,$AQ$385:$AQ$432)</f>
        <v>3.4020434875005652</v>
      </c>
      <c r="AS315" s="7" cm="1">
        <f t="array" ref="AS315">SUMPRODUCT(--($AM$385:$AM$432=1),AS$332:AS$379,$AQ$385:$AQ$432)</f>
        <v>6.4624301398954263</v>
      </c>
      <c r="AT315" s="7" cm="1">
        <f t="array" ref="AT315">SUMPRODUCT(--($AM$385:$AM$432=1),AT$332:AT$379,$AQ$385:$AQ$432)</f>
        <v>4.0250206535241624</v>
      </c>
      <c r="AU315" s="7" cm="1">
        <f t="array" ref="AU315">SUMPRODUCT(--($AM$385:$AM$432=1),AU$332:AU$379,$AQ$385:$AQ$432)</f>
        <v>2.2512162339521606</v>
      </c>
      <c r="AV315" s="7" cm="1">
        <f t="array" ref="AV315">SUMPRODUCT(--($AM$385:$AM$432=1),AV$332:AV$379,$AQ$385:$AQ$432)</f>
        <v>2.4886870236300935</v>
      </c>
    </row>
    <row r="316" spans="1:48" ht="15.75">
      <c r="A316" s="82"/>
      <c r="B316" s="82"/>
      <c r="C316" s="82"/>
      <c r="D316" s="82"/>
      <c r="E316" s="82" t="s">
        <v>636</v>
      </c>
      <c r="F316" s="268"/>
      <c r="G316" s="2" t="s">
        <v>105</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cm="1">
        <f t="array" ref="AR316">SUMPRODUCT(--($AM$385:$AM$432=1),AR$332:AR$379,$AR$385:$AR$432)</f>
        <v>-0.19459439999999986</v>
      </c>
      <c r="AS316" s="7" cm="1">
        <f t="array" ref="AS316">SUMPRODUCT(--($AM$385:$AM$432=1),AS$332:AS$379,$AR$385:$AR$432)</f>
        <v>2.2463181301324121E-2</v>
      </c>
      <c r="AT316" s="7" cm="1">
        <f t="array" ref="AT316">SUMPRODUCT(--($AM$385:$AM$432=1),AT$332:AT$379,$AR$385:$AR$432)</f>
        <v>0.23772167681617146</v>
      </c>
      <c r="AU316" s="7" cm="1">
        <f t="array" ref="AU316">SUMPRODUCT(--($AM$385:$AM$432=1),AU$332:AU$379,$AR$385:$AR$432)</f>
        <v>0.48582717574226142</v>
      </c>
      <c r="AV316" s="7" cm="1">
        <f t="array" ref="AV316">SUMPRODUCT(--($AM$385:$AM$432=1),AV$332:AV$379,$AR$385:$AR$432)</f>
        <v>0.72766838660770594</v>
      </c>
    </row>
    <row r="317" spans="1:48" ht="15.75">
      <c r="A317" s="82"/>
      <c r="B317" s="82"/>
      <c r="C317" s="82"/>
      <c r="D317" s="82"/>
      <c r="E317" s="82" t="s">
        <v>637</v>
      </c>
      <c r="F317" s="268"/>
      <c r="G317" s="2" t="s">
        <v>105</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cm="1">
        <f t="array" ref="AR317">SUMPRODUCT(--($AM$385:$AM$432=1),AR$332:AR$379,$AS$385:$AS$432)</f>
        <v>-2.9678399999999983E-2</v>
      </c>
      <c r="AS317" s="7" cm="1">
        <f t="array" ref="AS317">SUMPRODUCT(--($AM$385:$AM$432=1),AS$332:AS$379,$AS$385:$AS$432)</f>
        <v>3.4259530589432065E-3</v>
      </c>
      <c r="AT317" s="7" cm="1">
        <f t="array" ref="AT317">SUMPRODUCT(--($AM$385:$AM$432=1),AT$332:AT$379,$AS$385:$AS$432)</f>
        <v>3.625592007386165E-2</v>
      </c>
      <c r="AU317" s="7" cm="1">
        <f t="array" ref="AU317">SUMPRODUCT(--($AM$385:$AM$432=1),AU$332:AU$379,$AS$385:$AS$432)</f>
        <v>7.4095519976675253E-2</v>
      </c>
      <c r="AV317" s="7" cm="1">
        <f t="array" ref="AV317">SUMPRODUCT(--($AM$385:$AM$432=1),AV$332:AV$379,$AS$385:$AS$432)</f>
        <v>0.11097972729481496</v>
      </c>
    </row>
    <row r="318" spans="1:48" ht="15.75">
      <c r="A318" s="82"/>
      <c r="B318" s="82"/>
      <c r="C318" s="82"/>
      <c r="D318" s="82"/>
      <c r="E318" s="82" t="s">
        <v>638</v>
      </c>
      <c r="F318" s="268"/>
      <c r="G318" s="2" t="s">
        <v>105</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cm="1">
        <f t="array" ref="AR318">SUMPRODUCT(--($AM$385:$AM$432=1),AR$332:AR$379,$AT$385:$AT$432)</f>
        <v>-4.9782599999999962E-2</v>
      </c>
      <c r="AS318" s="7" cm="1">
        <f t="array" ref="AS318">SUMPRODUCT(--($AM$385:$AM$432=1),AS$332:AS$379,$AT$385:$AT$432)</f>
        <v>5.7466996452688168E-3</v>
      </c>
      <c r="AT318" s="7" cm="1">
        <f t="array" ref="AT318">SUMPRODUCT(--($AM$385:$AM$432=1),AT$332:AT$379,$AT$385:$AT$432)</f>
        <v>6.0815743661013555E-2</v>
      </c>
      <c r="AU318" s="7" cm="1">
        <f t="array" ref="AU318">SUMPRODUCT(--($AM$385:$AM$432=1),AU$332:AU$379,$AT$385:$AT$432)</f>
        <v>0.12428795463336408</v>
      </c>
      <c r="AV318" s="7" cm="1">
        <f t="array" ref="AV318">SUMPRODUCT(--($AM$385:$AM$432=1),AV$332:AV$379,$AT$385:$AT$432)</f>
        <v>0.18615758841537464</v>
      </c>
    </row>
    <row r="319" spans="1:48" ht="15.75">
      <c r="A319" s="82"/>
      <c r="B319" s="82"/>
      <c r="C319" s="82"/>
      <c r="D319" s="82"/>
      <c r="E319" s="82" t="s">
        <v>639</v>
      </c>
      <c r="F319" s="268"/>
      <c r="G319" s="2" t="s">
        <v>105</v>
      </c>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cm="1">
        <f t="array" ref="AR319">SUMPRODUCT(--($AM$385:$AM$432=1),AR$332:AR$379,$AU$385:$AU$432)</f>
        <v>1.3071032000000002</v>
      </c>
      <c r="AS319" s="7" cm="1">
        <f t="array" ref="AS319">SUMPRODUCT(--($AM$385:$AM$432=1),AS$332:AS$379,$AU$385:$AU$432)</f>
        <v>1.8861328624325697</v>
      </c>
      <c r="AT319" s="7" cm="1">
        <f t="array" ref="AT319">SUMPRODUCT(--($AM$385:$AM$432=1),AT$332:AT$379,$AU$385:$AU$432)</f>
        <v>1.0398659156615959</v>
      </c>
      <c r="AU319" s="7" cm="1">
        <f t="array" ref="AU319">SUMPRODUCT(--($AM$385:$AM$432=1),AU$332:AU$379,$AU$385:$AU$432)</f>
        <v>1.6603023845279168</v>
      </c>
      <c r="AV319" s="7" cm="1">
        <f t="array" ref="AV319">SUMPRODUCT(--($AM$385:$AM$432=1),AV$332:AV$379,$AU$385:$AU$432)</f>
        <v>2.362296438894016</v>
      </c>
    </row>
    <row r="320" spans="1:48" ht="15.75">
      <c r="A320" s="82"/>
      <c r="B320" s="82"/>
      <c r="C320" s="82"/>
      <c r="D320" s="82"/>
      <c r="E320" s="82"/>
      <c r="F320" s="268"/>
      <c r="G320" s="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7"/>
      <c r="AS320" s="7"/>
      <c r="AT320" s="7"/>
      <c r="AU320" s="7"/>
      <c r="AV320" s="7"/>
    </row>
    <row r="321" spans="1:48" ht="15">
      <c r="A321" s="82"/>
      <c r="B321" s="82"/>
      <c r="C321" s="82"/>
      <c r="D321" s="82"/>
      <c r="E321" s="259" t="s">
        <v>642</v>
      </c>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251"/>
      <c r="AS321" s="251"/>
      <c r="AT321" s="251"/>
      <c r="AU321" s="251"/>
      <c r="AV321" s="251"/>
    </row>
    <row r="322" spans="1:48" ht="15.75">
      <c r="A322" s="82"/>
      <c r="B322" s="82"/>
      <c r="C322" s="82"/>
      <c r="D322" s="82"/>
      <c r="E322" s="82" t="s">
        <v>633</v>
      </c>
      <c r="F322" s="268"/>
      <c r="G322" s="2" t="s">
        <v>105</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SUMPRODUCT(--($AM$385:$AM$432=2),AR$332:AR$379,$AO$385:$AO$432)</f>
        <v>11.16328095393132</v>
      </c>
      <c r="AS322" s="7" cm="1">
        <f t="array" ref="AS322">SUMPRODUCT(--($AM$385:$AM$432=2),AS$332:AS$379,$AO$385:$AO$432)</f>
        <v>17.919775171026401</v>
      </c>
      <c r="AT322" s="7" cm="1">
        <f t="array" ref="AT322">SUMPRODUCT(--($AM$385:$AM$432=2),AT$332:AT$379,$AO$385:$AO$432)</f>
        <v>10.87339953022904</v>
      </c>
      <c r="AU322" s="7" cm="1">
        <f t="array" ref="AU322">SUMPRODUCT(--($AM$385:$AM$432=2),AU$332:AU$379,$AO$385:$AO$432)</f>
        <v>13.600437700537034</v>
      </c>
      <c r="AV322" s="7" cm="1">
        <f t="array" ref="AV322">SUMPRODUCT(--($AM$385:$AM$432=2),AV$332:AV$379,$AO$385:$AO$432)</f>
        <v>14.108366355051837</v>
      </c>
    </row>
    <row r="323" spans="1:48" ht="15.75">
      <c r="A323" s="82"/>
      <c r="B323" s="82"/>
      <c r="C323" s="82"/>
      <c r="D323" s="82"/>
      <c r="E323" s="82" t="s">
        <v>634</v>
      </c>
      <c r="F323" s="268"/>
      <c r="G323" s="2" t="s">
        <v>105</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SUMPRODUCT(--($AM$385:$AM$432=2),AR$332:AR$379,$AP$385:$AP$432)</f>
        <v>2.7772179129024015</v>
      </c>
      <c r="AS323" s="7" cm="1">
        <f t="array" ref="AS323">SUMPRODUCT(--($AM$385:$AM$432=2),AS$332:AS$379,$AP$385:$AP$432)</f>
        <v>7.36229373829139</v>
      </c>
      <c r="AT323" s="7" cm="1">
        <f t="array" ref="AT323">SUMPRODUCT(--($AM$385:$AM$432=2),AT$332:AT$379,$AP$385:$AP$432)</f>
        <v>5.5838260800494925</v>
      </c>
      <c r="AU323" s="7" cm="1">
        <f t="array" ref="AU323">SUMPRODUCT(--($AM$385:$AM$432=2),AU$332:AU$379,$AP$385:$AP$432)</f>
        <v>7.1763192847417084E-2</v>
      </c>
      <c r="AV323" s="7" cm="1">
        <f t="array" ref="AV323">SUMPRODUCT(--($AM$385:$AM$432=2),AV$332:AV$379,$AP$385:$AP$432)</f>
        <v>0.11192758502274965</v>
      </c>
    </row>
    <row r="324" spans="1:48" ht="15.75">
      <c r="A324" s="82"/>
      <c r="B324" s="82"/>
      <c r="C324" s="82"/>
      <c r="D324" s="82"/>
      <c r="E324" s="82" t="s">
        <v>635</v>
      </c>
      <c r="F324" s="268"/>
      <c r="G324" s="2" t="s">
        <v>105</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SUMPRODUCT(--($AM$385:$AM$432=2),AR$332:AR$379,$AQ$385:$AQ$432)</f>
        <v>1.36</v>
      </c>
      <c r="AS324" s="7" cm="1">
        <f t="array" ref="AS324">SUMPRODUCT(--($AM$385:$AM$432=2),AS$332:AS$379,$AQ$385:$AQ$432)</f>
        <v>7.0937078566233769</v>
      </c>
      <c r="AT324" s="7" cm="1">
        <f t="array" ref="AT324">SUMPRODUCT(--($AM$385:$AM$432=2),AT$332:AT$379,$AQ$385:$AQ$432)</f>
        <v>15.961334007619048</v>
      </c>
      <c r="AU324" s="7" cm="1">
        <f t="array" ref="AU324">SUMPRODUCT(--($AM$385:$AM$432=2),AU$332:AU$379,$AQ$385:$AQ$432)</f>
        <v>14.990105017316019</v>
      </c>
      <c r="AV324" s="7" cm="1">
        <f t="array" ref="AV324">SUMPRODUCT(--($AM$385:$AM$432=2),AV$332:AV$379,$AQ$385:$AQ$432)</f>
        <v>3.2402745584415582</v>
      </c>
    </row>
    <row r="325" spans="1:48" ht="15.75">
      <c r="A325" s="82"/>
      <c r="B325" s="82"/>
      <c r="C325" s="82"/>
      <c r="D325" s="82"/>
      <c r="E325" s="82" t="s">
        <v>636</v>
      </c>
      <c r="F325" s="268"/>
      <c r="G325" s="2" t="s">
        <v>105</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SUMPRODUCT(--($AM$385:$AM$432=2),AR$332:AR$379,$AR$385:$AR$432)</f>
        <v>0</v>
      </c>
      <c r="AS325" s="7" cm="1">
        <f t="array" ref="AS325">SUMPRODUCT(--($AM$385:$AM$432=2),AS$332:AS$379,$AR$385:$AR$432)</f>
        <v>0</v>
      </c>
      <c r="AT325" s="7" cm="1">
        <f t="array" ref="AT325">SUMPRODUCT(--($AM$385:$AM$432=2),AT$332:AT$379,$AR$385:$AR$432)</f>
        <v>0</v>
      </c>
      <c r="AU325" s="7" cm="1">
        <f t="array" ref="AU325">SUMPRODUCT(--($AM$385:$AM$432=2),AU$332:AU$379,$AR$385:$AR$432)</f>
        <v>0</v>
      </c>
      <c r="AV325" s="7" cm="1">
        <f t="array" ref="AV325">SUMPRODUCT(--($AM$385:$AM$432=2),AV$332:AV$379,$AR$385:$AR$432)</f>
        <v>0</v>
      </c>
    </row>
    <row r="326" spans="1:48" ht="15.75">
      <c r="A326" s="82"/>
      <c r="B326" s="82"/>
      <c r="C326" s="82"/>
      <c r="D326" s="82"/>
      <c r="E326" s="82" t="s">
        <v>637</v>
      </c>
      <c r="F326" s="268"/>
      <c r="G326" s="2" t="s">
        <v>105</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SUMPRODUCT(--($AM$385:$AM$432=2),AR$332:AR$379,$AS$385:$AS$432)</f>
        <v>0</v>
      </c>
      <c r="AS326" s="7" cm="1">
        <f t="array" ref="AS326">SUMPRODUCT(--($AM$385:$AM$432=2),AS$332:AS$379,$AS$385:$AS$432)</f>
        <v>0</v>
      </c>
      <c r="AT326" s="7" cm="1">
        <f t="array" ref="AT326">SUMPRODUCT(--($AM$385:$AM$432=2),AT$332:AT$379,$AS$385:$AS$432)</f>
        <v>0</v>
      </c>
      <c r="AU326" s="7" cm="1">
        <f t="array" ref="AU326">SUMPRODUCT(--($AM$385:$AM$432=2),AU$332:AU$379,$AS$385:$AS$432)</f>
        <v>0</v>
      </c>
      <c r="AV326" s="7" cm="1">
        <f t="array" ref="AV326">SUMPRODUCT(--($AM$385:$AM$432=2),AV$332:AV$379,$AS$385:$AS$432)</f>
        <v>0</v>
      </c>
    </row>
    <row r="327" spans="1:48" ht="15.75">
      <c r="A327" s="82"/>
      <c r="B327" s="82"/>
      <c r="C327" s="82"/>
      <c r="D327" s="82"/>
      <c r="E327" s="82" t="s">
        <v>638</v>
      </c>
      <c r="F327" s="268"/>
      <c r="G327" s="2" t="s">
        <v>105</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SUMPRODUCT(--($AM$385:$AM$432=2),AR$332:AR$379,$AT$385:$AT$432)</f>
        <v>0</v>
      </c>
      <c r="AS327" s="7" cm="1">
        <f t="array" ref="AS327">SUMPRODUCT(--($AM$385:$AM$432=2),AS$332:AS$379,$AT$385:$AT$432)</f>
        <v>0</v>
      </c>
      <c r="AT327" s="7" cm="1">
        <f t="array" ref="AT327">SUMPRODUCT(--($AM$385:$AM$432=2),AT$332:AT$379,$AT$385:$AT$432)</f>
        <v>0</v>
      </c>
      <c r="AU327" s="7" cm="1">
        <f t="array" ref="AU327">SUMPRODUCT(--($AM$385:$AM$432=2),AU$332:AU$379,$AT$385:$AT$432)</f>
        <v>0</v>
      </c>
      <c r="AV327" s="7" cm="1">
        <f t="array" ref="AV327">SUMPRODUCT(--($AM$385:$AM$432=2),AV$332:AV$379,$AT$385:$AT$432)</f>
        <v>0</v>
      </c>
    </row>
    <row r="328" spans="1:48" ht="15.75">
      <c r="A328" s="82"/>
      <c r="B328" s="82"/>
      <c r="C328" s="82"/>
      <c r="D328" s="82"/>
      <c r="E328" s="82" t="s">
        <v>639</v>
      </c>
      <c r="F328" s="268"/>
      <c r="G328" s="2" t="s">
        <v>105</v>
      </c>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147"/>
      <c r="AR328" s="7" cm="1">
        <f t="array" ref="AR328">SUMPRODUCT(--($AM$385:$AM$432=2),AR$332:AR$379,$AU$385:$AU$432)</f>
        <v>1.0404224958575865</v>
      </c>
      <c r="AS328" s="7" cm="1">
        <f t="array" ref="AS328">SUMPRODUCT(--($AM$385:$AM$432=2),AS$332:AS$379,$AU$385:$AU$432)</f>
        <v>1.1671442471221247</v>
      </c>
      <c r="AT328" s="7" cm="1">
        <f t="array" ref="AT328">SUMPRODUCT(--($AM$385:$AM$432=2),AT$332:AT$379,$AU$385:$AU$432)</f>
        <v>2.2711383297054857</v>
      </c>
      <c r="AU328" s="7" cm="1">
        <f t="array" ref="AU328">SUMPRODUCT(--($AM$385:$AM$432=2),AU$332:AU$379,$AU$385:$AU$432)</f>
        <v>1.9173610042006672</v>
      </c>
      <c r="AV328" s="7" cm="1">
        <f t="array" ref="AV328">SUMPRODUCT(--($AM$385:$AM$432=2),AV$332:AV$379,$AU$385:$AU$432)</f>
        <v>1.9401918741782023</v>
      </c>
    </row>
    <row r="329" spans="1:48" ht="15.75">
      <c r="A329" s="82"/>
      <c r="B329" s="82"/>
      <c r="C329" s="82"/>
      <c r="D329" s="82"/>
      <c r="E329" s="82"/>
      <c r="F329" s="268"/>
      <c r="G329" s="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311"/>
      <c r="AQ329" s="147"/>
      <c r="AR329" s="7"/>
      <c r="AS329" s="7"/>
      <c r="AT329" s="7"/>
      <c r="AU329" s="7"/>
      <c r="AV329" s="7"/>
    </row>
    <row r="330" spans="1:48" ht="15">
      <c r="A330" s="2"/>
      <c r="B330" s="2"/>
      <c r="C330" s="28" t="s">
        <v>643</v>
      </c>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9"/>
      <c r="AR330" s="28"/>
      <c r="AS330" s="28"/>
      <c r="AT330" s="28"/>
      <c r="AU330" s="28"/>
      <c r="AV330" s="28"/>
    </row>
    <row r="331" spans="1:48" ht="15">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147"/>
      <c r="AR331" s="82"/>
      <c r="AS331" s="82"/>
      <c r="AT331" s="82"/>
      <c r="AU331" s="82"/>
      <c r="AV331" s="82"/>
    </row>
    <row r="332" spans="1:48" ht="15">
      <c r="A332" s="82"/>
      <c r="B332" s="82"/>
      <c r="C332" s="82"/>
      <c r="D332" s="82"/>
      <c r="E332" s="82" t="str">
        <f>SelectedInputs!E24</f>
        <v>RPEs (bucket 1 allowances)</v>
      </c>
      <c r="F332" s="82"/>
      <c r="G332" s="2" t="s">
        <v>105</v>
      </c>
      <c r="H332" s="82" t="str">
        <f>SelectedInputs!H24</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2">
        <f t="shared" ref="AN332:AN379" si="14">AM385</f>
        <v>1</v>
      </c>
      <c r="AO332" s="523">
        <f t="shared" ref="AO332:AO379" si="15">SUM(AO385:AU385)</f>
        <v>1</v>
      </c>
      <c r="AP332" s="352">
        <f t="shared" ref="AP332:AP379" si="16">SUM(AR332:AV332)</f>
        <v>10.956672999999968</v>
      </c>
      <c r="AQ332" s="147"/>
      <c r="AR332" s="8">
        <f>SelectedInputs!AR24</f>
        <v>-1.666898999999999</v>
      </c>
      <c r="AS332" s="8">
        <f>SelectedInputs!AS24</f>
        <v>0.19241999999997883</v>
      </c>
      <c r="AT332" s="8">
        <f>SelectedInputs!AT24</f>
        <v>2.036327999999997</v>
      </c>
      <c r="AU332" s="8">
        <f>SelectedInputs!AU24</f>
        <v>4.1616039999999996</v>
      </c>
      <c r="AV332" s="8">
        <f>SelectedInputs!AV24</f>
        <v>6.2332199999999922</v>
      </c>
    </row>
    <row r="333" spans="1:48" ht="15">
      <c r="A333" s="82"/>
      <c r="B333" s="82"/>
      <c r="C333" s="82"/>
      <c r="D333" s="82"/>
      <c r="E333" s="82" t="str">
        <f>SelectedInputs!E25</f>
        <v>RPEs (bucket 2 allowances)</v>
      </c>
      <c r="F333" s="82"/>
      <c r="G333" s="2" t="s">
        <v>105</v>
      </c>
      <c r="H333" s="82" t="str">
        <f>SelectedInputs!H25</f>
        <v>RPEAt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2">
        <f t="shared" si="14"/>
        <v>2</v>
      </c>
      <c r="AO333" s="523">
        <f t="shared" si="15"/>
        <v>1</v>
      </c>
      <c r="AP333" s="352">
        <f t="shared" si="16"/>
        <v>0.83643481264134889</v>
      </c>
      <c r="AQ333" s="147"/>
      <c r="AR333" s="8">
        <f>SelectedInputs!AR25</f>
        <v>-3.3098222389318969E-2</v>
      </c>
      <c r="AS333" s="8">
        <f>SelectedInputs!AS25</f>
        <v>1.0433110592683224E-2</v>
      </c>
      <c r="AT333" s="8">
        <f>SelectedInputs!AT25</f>
        <v>0.16616877967218457</v>
      </c>
      <c r="AU333" s="8">
        <f>SelectedInputs!AU25</f>
        <v>0.27071011374864323</v>
      </c>
      <c r="AV333" s="8">
        <f>SelectedInputs!AV25</f>
        <v>0.4222210310171568</v>
      </c>
    </row>
    <row r="334" spans="1:48" ht="15">
      <c r="A334" s="82"/>
      <c r="B334" s="82"/>
      <c r="C334" s="82"/>
      <c r="D334" s="82"/>
      <c r="E334" s="82" t="str">
        <f>SelectedInputs!E26</f>
        <v>Physical Security Re-opener</v>
      </c>
      <c r="F334" s="82"/>
      <c r="G334" s="2" t="s">
        <v>105</v>
      </c>
      <c r="H334" s="82" t="str">
        <f>SelectedInputs!H26</f>
        <v>PSUPt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2">
        <f t="shared" si="14"/>
        <v>2</v>
      </c>
      <c r="AO334" s="523">
        <f t="shared" si="15"/>
        <v>1</v>
      </c>
      <c r="AP334" s="352">
        <f t="shared" si="16"/>
        <v>0</v>
      </c>
      <c r="AQ334" s="147"/>
      <c r="AR334" s="8">
        <f>SelectedInputs!AR26</f>
        <v>0</v>
      </c>
      <c r="AS334" s="8">
        <f>SelectedInputs!AS26</f>
        <v>0</v>
      </c>
      <c r="AT334" s="8">
        <f>SelectedInputs!AT26</f>
        <v>0</v>
      </c>
      <c r="AU334" s="8">
        <f>SelectedInputs!AU26</f>
        <v>0</v>
      </c>
      <c r="AV334" s="8">
        <f>SelectedInputs!AV26</f>
        <v>0</v>
      </c>
    </row>
    <row r="335" spans="1:48" ht="15">
      <c r="A335" s="82"/>
      <c r="B335" s="82"/>
      <c r="C335" s="82"/>
      <c r="D335" s="82"/>
      <c r="E335" s="82" t="str">
        <f>SelectedInputs!E27</f>
        <v>Specified Street Works Costs Re-opener</v>
      </c>
      <c r="F335" s="82"/>
      <c r="G335" s="2" t="s">
        <v>105</v>
      </c>
      <c r="H335" s="82" t="str">
        <f>SelectedInputs!H27</f>
        <v>SWRt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2">
        <f t="shared" si="14"/>
        <v>2</v>
      </c>
      <c r="AO335" s="523">
        <f t="shared" si="15"/>
        <v>1</v>
      </c>
      <c r="AP335" s="352">
        <f t="shared" si="16"/>
        <v>0</v>
      </c>
      <c r="AQ335" s="147"/>
      <c r="AR335" s="8">
        <f>SelectedInputs!AR27</f>
        <v>0</v>
      </c>
      <c r="AS335" s="8">
        <f>SelectedInputs!AS27</f>
        <v>0</v>
      </c>
      <c r="AT335" s="8">
        <f>SelectedInputs!AT27</f>
        <v>0</v>
      </c>
      <c r="AU335" s="8">
        <f>SelectedInputs!AU27</f>
        <v>0</v>
      </c>
      <c r="AV335" s="8">
        <f>SelectedInputs!AV27</f>
        <v>0</v>
      </c>
    </row>
    <row r="336" spans="1:48" ht="15">
      <c r="A336" s="82"/>
      <c r="B336" s="82"/>
      <c r="C336" s="82"/>
      <c r="D336" s="82"/>
      <c r="E336" s="82" t="str">
        <f>SelectedInputs!E28</f>
        <v>Rail Electrification Costs Re-opener</v>
      </c>
      <c r="F336" s="82"/>
      <c r="G336" s="2" t="s">
        <v>105</v>
      </c>
      <c r="H336" s="82" t="str">
        <f>SelectedInputs!H28</f>
        <v>RECt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2">
        <f t="shared" si="14"/>
        <v>2</v>
      </c>
      <c r="AO336" s="523">
        <f t="shared" si="15"/>
        <v>1</v>
      </c>
      <c r="AP336" s="352">
        <f t="shared" si="16"/>
        <v>0</v>
      </c>
      <c r="AQ336" s="147"/>
      <c r="AR336" s="8">
        <f>SelectedInputs!AR28</f>
        <v>0</v>
      </c>
      <c r="AS336" s="8">
        <f>SelectedInputs!AS28</f>
        <v>0</v>
      </c>
      <c r="AT336" s="8">
        <f>SelectedInputs!AT28</f>
        <v>0</v>
      </c>
      <c r="AU336" s="8">
        <f>SelectedInputs!AU28</f>
        <v>0</v>
      </c>
      <c r="AV336" s="8">
        <f>SelectedInputs!AV28</f>
        <v>0</v>
      </c>
    </row>
    <row r="337" spans="1:48" ht="15">
      <c r="A337" s="82"/>
      <c r="B337" s="82"/>
      <c r="C337" s="82"/>
      <c r="D337" s="82"/>
      <c r="E337" s="82" t="str">
        <f>SelectedInputs!E29</f>
        <v>Net Zero Re-opener</v>
      </c>
      <c r="F337" s="82"/>
      <c r="G337" s="2" t="s">
        <v>105</v>
      </c>
      <c r="H337" s="82" t="str">
        <f>SelectedInputs!H29</f>
        <v>NZt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2">
        <f t="shared" si="14"/>
        <v>2</v>
      </c>
      <c r="AO337" s="523">
        <f t="shared" si="15"/>
        <v>1</v>
      </c>
      <c r="AP337" s="352">
        <f t="shared" si="16"/>
        <v>0</v>
      </c>
      <c r="AQ337" s="147"/>
      <c r="AR337" s="8">
        <f>SelectedInputs!AR29</f>
        <v>0</v>
      </c>
      <c r="AS337" s="8">
        <f>SelectedInputs!AS29</f>
        <v>0</v>
      </c>
      <c r="AT337" s="8">
        <f>SelectedInputs!AT29</f>
        <v>0</v>
      </c>
      <c r="AU337" s="8">
        <f>SelectedInputs!AU29</f>
        <v>0</v>
      </c>
      <c r="AV337" s="8">
        <f>SelectedInputs!AV29</f>
        <v>0</v>
      </c>
    </row>
    <row r="338" spans="1:48" ht="15">
      <c r="A338" s="82"/>
      <c r="B338" s="82"/>
      <c r="C338" s="82"/>
      <c r="D338" s="82"/>
      <c r="E338" s="82" t="str">
        <f>SelectedInputs!E30</f>
        <v>Coordinated Adjustment Mechanism Re-opener</v>
      </c>
      <c r="F338" s="82"/>
      <c r="G338" s="2" t="s">
        <v>105</v>
      </c>
      <c r="H338" s="82" t="str">
        <f>SelectedInputs!H30</f>
        <v>CAMt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2">
        <f t="shared" si="14"/>
        <v>2</v>
      </c>
      <c r="AO338" s="523">
        <f t="shared" si="15"/>
        <v>1</v>
      </c>
      <c r="AP338" s="352">
        <f t="shared" si="16"/>
        <v>0</v>
      </c>
      <c r="AQ338" s="147"/>
      <c r="AR338" s="8">
        <f>SelectedInputs!AR30</f>
        <v>0</v>
      </c>
      <c r="AS338" s="8">
        <f>SelectedInputs!AS30</f>
        <v>0</v>
      </c>
      <c r="AT338" s="8">
        <f>SelectedInputs!AT30</f>
        <v>0</v>
      </c>
      <c r="AU338" s="8">
        <f>SelectedInputs!AU30</f>
        <v>0</v>
      </c>
      <c r="AV338" s="8">
        <f>SelectedInputs!AV30</f>
        <v>0</v>
      </c>
    </row>
    <row r="339" spans="1:48" ht="15">
      <c r="A339" s="82"/>
      <c r="B339" s="82"/>
      <c r="C339" s="82"/>
      <c r="D339" s="82"/>
      <c r="E339" s="82" t="str">
        <f>SelectedInputs!E31</f>
        <v>Electricity System Restoration Re-opener</v>
      </c>
      <c r="F339" s="82"/>
      <c r="G339" s="2" t="s">
        <v>105</v>
      </c>
      <c r="H339" s="82" t="str">
        <f>SelectedInputs!H31</f>
        <v>ESRt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2">
        <f t="shared" si="14"/>
        <v>2</v>
      </c>
      <c r="AO339" s="523">
        <f t="shared" si="15"/>
        <v>1</v>
      </c>
      <c r="AP339" s="352">
        <f t="shared" si="16"/>
        <v>0</v>
      </c>
      <c r="AQ339" s="147"/>
      <c r="AR339" s="8">
        <f>SelectedInputs!AR31</f>
        <v>0</v>
      </c>
      <c r="AS339" s="8">
        <f>SelectedInputs!AS31</f>
        <v>0</v>
      </c>
      <c r="AT339" s="8">
        <f>SelectedInputs!AT31</f>
        <v>0</v>
      </c>
      <c r="AU339" s="8">
        <f>SelectedInputs!AU31</f>
        <v>0</v>
      </c>
      <c r="AV339" s="8">
        <f>SelectedInputs!AV31</f>
        <v>0</v>
      </c>
    </row>
    <row r="340" spans="1:48" ht="15">
      <c r="A340" s="82"/>
      <c r="B340" s="82"/>
      <c r="C340" s="82"/>
      <c r="D340" s="82"/>
      <c r="E340" s="82" t="str">
        <f>SelectedInputs!E32</f>
        <v>Environmental Re-opener</v>
      </c>
      <c r="F340" s="82"/>
      <c r="G340" s="2" t="s">
        <v>105</v>
      </c>
      <c r="H340" s="82" t="str">
        <f>SelectedInputs!H32</f>
        <v>EVRt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2">
        <f t="shared" si="14"/>
        <v>2</v>
      </c>
      <c r="AO340" s="523">
        <f t="shared" si="15"/>
        <v>1</v>
      </c>
      <c r="AP340" s="352">
        <f t="shared" si="16"/>
        <v>0</v>
      </c>
      <c r="AQ340" s="147"/>
      <c r="AR340" s="8">
        <f>SelectedInputs!AR32</f>
        <v>0</v>
      </c>
      <c r="AS340" s="8">
        <f>SelectedInputs!AS32</f>
        <v>0</v>
      </c>
      <c r="AT340" s="8">
        <f>SelectedInputs!AT32</f>
        <v>0</v>
      </c>
      <c r="AU340" s="8">
        <f>SelectedInputs!AU32</f>
        <v>0</v>
      </c>
      <c r="AV340" s="8">
        <f>SelectedInputs!AV32</f>
        <v>0</v>
      </c>
    </row>
    <row r="341" spans="1:48" ht="15">
      <c r="A341" s="82"/>
      <c r="B341" s="82"/>
      <c r="C341" s="82"/>
      <c r="D341" s="82"/>
      <c r="E341" s="82" t="str">
        <f>SelectedInputs!E33</f>
        <v>Network Asset Risk Metric Expenditure</v>
      </c>
      <c r="F341" s="82"/>
      <c r="G341" s="2" t="s">
        <v>105</v>
      </c>
      <c r="H341" s="82" t="str">
        <f>SelectedInputs!H33</f>
        <v>NARMt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2">
        <f t="shared" si="14"/>
        <v>1</v>
      </c>
      <c r="AO341" s="523">
        <f t="shared" si="15"/>
        <v>1</v>
      </c>
      <c r="AP341" s="352">
        <f t="shared" si="16"/>
        <v>138.69999999999999</v>
      </c>
      <c r="AQ341" s="147"/>
      <c r="AR341" s="8">
        <f>SelectedInputs!AR33</f>
        <v>27.06</v>
      </c>
      <c r="AS341" s="8">
        <f>SelectedInputs!AS33</f>
        <v>27.77</v>
      </c>
      <c r="AT341" s="8">
        <f>SelectedInputs!AT33</f>
        <v>26.55</v>
      </c>
      <c r="AU341" s="8">
        <f>SelectedInputs!AU33</f>
        <v>27.58</v>
      </c>
      <c r="AV341" s="8">
        <f>SelectedInputs!AV33</f>
        <v>29.74</v>
      </c>
    </row>
    <row r="342" spans="1:48" ht="15">
      <c r="A342" s="82"/>
      <c r="B342" s="82"/>
      <c r="C342" s="82"/>
      <c r="D342" s="82"/>
      <c r="E342" s="82" t="str">
        <f>SelectedInputs!E34</f>
        <v>Load Related Expenditure: Secondary Reinforcement</v>
      </c>
      <c r="F342" s="82"/>
      <c r="G342" s="2" t="s">
        <v>105</v>
      </c>
      <c r="H342" s="82" t="str">
        <f>SelectedInputs!H34</f>
        <v>SRVDt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2">
        <f t="shared" si="14"/>
        <v>2</v>
      </c>
      <c r="AO342" s="523">
        <f t="shared" si="15"/>
        <v>1</v>
      </c>
      <c r="AP342" s="352">
        <f t="shared" si="16"/>
        <v>28.584918677931245</v>
      </c>
      <c r="AQ342" s="147"/>
      <c r="AR342" s="8">
        <f>SelectedInputs!AR34</f>
        <v>0.62049115946140299</v>
      </c>
      <c r="AS342" s="8">
        <f>SelectedInputs!AS34</f>
        <v>2.4783244561256863</v>
      </c>
      <c r="AT342" s="8">
        <f>SelectedInputs!AT34</f>
        <v>6.383613974424172</v>
      </c>
      <c r="AU342" s="8">
        <f>SelectedInputs!AU34</f>
        <v>9.7291923685449895</v>
      </c>
      <c r="AV342" s="8">
        <f>SelectedInputs!AV34</f>
        <v>9.373296719374995</v>
      </c>
    </row>
    <row r="343" spans="1:48" ht="15">
      <c r="A343" s="82"/>
      <c r="B343" s="82"/>
      <c r="C343" s="82"/>
      <c r="D343" s="82"/>
      <c r="E343" s="82" t="str">
        <f>SelectedInputs!E35</f>
        <v>Load Related Expenditure: Low Voltage Services</v>
      </c>
      <c r="F343" s="82"/>
      <c r="G343" s="2" t="s">
        <v>105</v>
      </c>
      <c r="H343" s="82" t="str">
        <f>SelectedInputs!H35</f>
        <v>LVSVDt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2">
        <f t="shared" si="14"/>
        <v>2</v>
      </c>
      <c r="AO343" s="523">
        <f t="shared" si="15"/>
        <v>1</v>
      </c>
      <c r="AP343" s="352">
        <f t="shared" si="16"/>
        <v>14.89895123932863</v>
      </c>
      <c r="AQ343" s="147"/>
      <c r="AR343" s="8">
        <f>SelectedInputs!AR35</f>
        <v>0.67971713551624946</v>
      </c>
      <c r="AS343" s="8">
        <f>SelectedInputs!AS35</f>
        <v>1.7544926468569502</v>
      </c>
      <c r="AT343" s="8">
        <f>SelectedInputs!AT35</f>
        <v>4.3676668561821774</v>
      </c>
      <c r="AU343" s="8">
        <f>SelectedInputs!AU35</f>
        <v>3.6722984110908179</v>
      </c>
      <c r="AV343" s="8">
        <f>SelectedInputs!AV35</f>
        <v>4.4247761896824347</v>
      </c>
    </row>
    <row r="344" spans="1:48" ht="15">
      <c r="A344" s="82"/>
      <c r="B344" s="82"/>
      <c r="C344" s="82"/>
      <c r="D344" s="82"/>
      <c r="E344" s="82" t="str">
        <f>SelectedInputs!E36</f>
        <v>Load Related Expenditure Re-opener</v>
      </c>
      <c r="F344" s="82"/>
      <c r="G344" s="2" t="s">
        <v>105</v>
      </c>
      <c r="H344" s="82" t="str">
        <f>SelectedInputs!H36</f>
        <v>LREt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522">
        <f t="shared" si="14"/>
        <v>2</v>
      </c>
      <c r="AO344" s="523">
        <f t="shared" si="15"/>
        <v>1</v>
      </c>
      <c r="AP344" s="352">
        <f t="shared" si="16"/>
        <v>0</v>
      </c>
      <c r="AQ344" s="147"/>
      <c r="AR344" s="8">
        <f>SelectedInputs!AR36</f>
        <v>0</v>
      </c>
      <c r="AS344" s="8">
        <f>SelectedInputs!AS36</f>
        <v>0</v>
      </c>
      <c r="AT344" s="8">
        <f>SelectedInputs!AT36</f>
        <v>0</v>
      </c>
      <c r="AU344" s="8">
        <f>SelectedInputs!AU36</f>
        <v>0</v>
      </c>
      <c r="AV344" s="8">
        <f>SelectedInputs!AV36</f>
        <v>0</v>
      </c>
    </row>
    <row r="345" spans="1:48" ht="15">
      <c r="A345" s="82"/>
      <c r="B345" s="82"/>
      <c r="C345" s="82"/>
      <c r="D345" s="82"/>
      <c r="E345" s="82" t="str">
        <f>SelectedInputs!E37</f>
        <v>Digitalisation Re-opener</v>
      </c>
      <c r="F345" s="82"/>
      <c r="G345" s="2" t="s">
        <v>105</v>
      </c>
      <c r="H345" s="82" t="str">
        <f>SelectedInputs!H37</f>
        <v>DIGIt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2"/>
      <c r="AM345" s="362"/>
      <c r="AN345" s="522">
        <f t="shared" si="14"/>
        <v>2</v>
      </c>
      <c r="AO345" s="523">
        <f t="shared" si="15"/>
        <v>1</v>
      </c>
      <c r="AP345" s="352">
        <f t="shared" si="16"/>
        <v>0</v>
      </c>
      <c r="AQ345" s="147"/>
      <c r="AR345" s="8">
        <f>SelectedInputs!AR37</f>
        <v>0</v>
      </c>
      <c r="AS345" s="8">
        <f>SelectedInputs!AS37</f>
        <v>0</v>
      </c>
      <c r="AT345" s="8">
        <f>SelectedInputs!AT37</f>
        <v>0</v>
      </c>
      <c r="AU345" s="8">
        <f>SelectedInputs!AU37</f>
        <v>0</v>
      </c>
      <c r="AV345" s="8">
        <f>SelectedInputs!AV37</f>
        <v>0</v>
      </c>
    </row>
    <row r="346" spans="1:48" ht="15">
      <c r="A346" s="82"/>
      <c r="B346" s="82"/>
      <c r="C346" s="82"/>
      <c r="D346" s="82"/>
      <c r="E346" s="82" t="str">
        <f>SelectedInputs!E38</f>
        <v>PCB Interventions</v>
      </c>
      <c r="F346" s="82"/>
      <c r="G346" s="2" t="s">
        <v>105</v>
      </c>
      <c r="H346" s="82" t="str">
        <f>SelectedInputs!H38</f>
        <v>PCBt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2"/>
      <c r="AM346" s="362"/>
      <c r="AN346" s="522">
        <f t="shared" si="14"/>
        <v>2</v>
      </c>
      <c r="AO346" s="523">
        <f t="shared" si="15"/>
        <v>1</v>
      </c>
      <c r="AP346" s="352">
        <f t="shared" si="16"/>
        <v>15.685295999999999</v>
      </c>
      <c r="AQ346" s="147"/>
      <c r="AR346" s="8">
        <f>SelectedInputs!AR38</f>
        <v>2.7859919999999998</v>
      </c>
      <c r="AS346" s="8">
        <f>SelectedInputs!AS38</f>
        <v>7.3595280000000001</v>
      </c>
      <c r="AT346" s="8">
        <f>SelectedInputs!AT38</f>
        <v>5.5397759999999998</v>
      </c>
      <c r="AU346" s="8">
        <f>SelectedInputs!AU38</f>
        <v>0</v>
      </c>
      <c r="AV346" s="8">
        <f>SelectedInputs!AV38</f>
        <v>0</v>
      </c>
    </row>
    <row r="347" spans="1:48" ht="15">
      <c r="A347" s="82"/>
      <c r="B347" s="82"/>
      <c r="C347" s="82"/>
      <c r="D347" s="82"/>
      <c r="E347" s="82" t="str">
        <f>SelectedInputs!E39</f>
        <v>Visual Amenity Projects</v>
      </c>
      <c r="F347" s="82"/>
      <c r="G347" s="2" t="s">
        <v>105</v>
      </c>
      <c r="H347" s="82" t="str">
        <f>SelectedInputs!H39</f>
        <v>VAPt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2"/>
      <c r="AM347" s="362"/>
      <c r="AN347" s="522">
        <f t="shared" si="14"/>
        <v>1</v>
      </c>
      <c r="AO347" s="523">
        <f t="shared" si="15"/>
        <v>1</v>
      </c>
      <c r="AP347" s="352">
        <f t="shared" si="16"/>
        <v>4.9797770882181407</v>
      </c>
      <c r="AQ347" s="147"/>
      <c r="AR347" s="8">
        <f>SelectedInputs!AR39</f>
        <v>0.39525288250578339</v>
      </c>
      <c r="AS347" s="8">
        <f>SelectedInputs!AS39</f>
        <v>1.0716076004338275</v>
      </c>
      <c r="AT347" s="8">
        <f>SelectedInputs!AT39</f>
        <v>1.1473426097469699</v>
      </c>
      <c r="AU347" s="8">
        <f>SelectedInputs!AU39</f>
        <v>1.1727876057077979</v>
      </c>
      <c r="AV347" s="8">
        <f>SelectedInputs!AV39</f>
        <v>1.1927863898237621</v>
      </c>
    </row>
    <row r="348" spans="1:48" ht="15">
      <c r="A348" s="82"/>
      <c r="B348" s="82"/>
      <c r="C348" s="82"/>
      <c r="D348" s="82"/>
      <c r="E348" s="82" t="str">
        <f>SelectedInputs!E40</f>
        <v>Cyber Resilience OT baseline</v>
      </c>
      <c r="F348" s="82"/>
      <c r="G348" s="2" t="s">
        <v>105</v>
      </c>
      <c r="H348" s="82" t="str">
        <f>SelectedInputs!H40</f>
        <v>CROTt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362"/>
      <c r="AM348" s="362"/>
      <c r="AN348" s="522">
        <f t="shared" si="14"/>
        <v>1</v>
      </c>
      <c r="AO348" s="523">
        <f t="shared" si="15"/>
        <v>1</v>
      </c>
      <c r="AP348" s="352">
        <f t="shared" si="16"/>
        <v>11.629999999999999</v>
      </c>
      <c r="AQ348" s="147"/>
      <c r="AR348" s="8">
        <f>SelectedInputs!AR40</f>
        <v>3.03</v>
      </c>
      <c r="AS348" s="8">
        <f>SelectedInputs!AS40</f>
        <v>5.21</v>
      </c>
      <c r="AT348" s="8">
        <f>SelectedInputs!AT40</f>
        <v>2.4900000000000002</v>
      </c>
      <c r="AU348" s="8">
        <f>SelectedInputs!AU40</f>
        <v>0.45</v>
      </c>
      <c r="AV348" s="8">
        <f>SelectedInputs!AV40</f>
        <v>0.45</v>
      </c>
    </row>
    <row r="349" spans="1:48" ht="15">
      <c r="A349" s="82"/>
      <c r="B349" s="82"/>
      <c r="C349" s="82"/>
      <c r="D349" s="82"/>
      <c r="E349" s="82" t="str">
        <f>SelectedInputs!E41</f>
        <v>Cyber Resilience OT Re-opener</v>
      </c>
      <c r="F349" s="82"/>
      <c r="G349" s="2" t="s">
        <v>105</v>
      </c>
      <c r="H349" s="82" t="str">
        <f>SelectedInputs!H41</f>
        <v>CROTREt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2">
        <f t="shared" si="14"/>
        <v>2</v>
      </c>
      <c r="AO349" s="523">
        <f t="shared" si="15"/>
        <v>1</v>
      </c>
      <c r="AP349" s="352">
        <f t="shared" si="16"/>
        <v>42.64542144</v>
      </c>
      <c r="AQ349" s="147"/>
      <c r="AR349" s="8">
        <f>SelectedInputs!AR41</f>
        <v>1.36</v>
      </c>
      <c r="AS349" s="8">
        <f>SelectedInputs!AS41</f>
        <v>7.0937078566233769</v>
      </c>
      <c r="AT349" s="8">
        <f>SelectedInputs!AT41</f>
        <v>15.961334007619048</v>
      </c>
      <c r="AU349" s="8">
        <f>SelectedInputs!AU41</f>
        <v>14.990105017316019</v>
      </c>
      <c r="AV349" s="8">
        <f>SelectedInputs!AV41</f>
        <v>3.2402745584415582</v>
      </c>
    </row>
    <row r="350" spans="1:48" ht="15">
      <c r="A350" s="82"/>
      <c r="B350" s="82"/>
      <c r="C350" s="82"/>
      <c r="D350" s="82"/>
      <c r="E350" s="82" t="str">
        <f>SelectedInputs!E42</f>
        <v>Cyber Resilience IT Re-opener</v>
      </c>
      <c r="F350" s="82"/>
      <c r="G350" s="2" t="s">
        <v>105</v>
      </c>
      <c r="H350" s="82" t="str">
        <f>SelectedInputs!H42</f>
        <v>CRITREt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2">
        <f t="shared" si="14"/>
        <v>2</v>
      </c>
      <c r="AO350" s="523">
        <f t="shared" si="15"/>
        <v>1</v>
      </c>
      <c r="AP350" s="352">
        <f t="shared" si="16"/>
        <v>3.6399999999999997</v>
      </c>
      <c r="AQ350" s="147"/>
      <c r="AR350" s="8">
        <f>SelectedInputs!AR42</f>
        <v>0.9</v>
      </c>
      <c r="AS350" s="8">
        <f>SelectedInputs!AS42</f>
        <v>0.71</v>
      </c>
      <c r="AT350" s="8">
        <f>SelectedInputs!AT42</f>
        <v>1.1100000000000001</v>
      </c>
      <c r="AU350" s="8">
        <f>SelectedInputs!AU42</f>
        <v>0.47</v>
      </c>
      <c r="AV350" s="8">
        <f>SelectedInputs!AV42</f>
        <v>0.45</v>
      </c>
    </row>
    <row r="351" spans="1:48" ht="15">
      <c r="A351" s="82"/>
      <c r="B351" s="82"/>
      <c r="C351" s="82"/>
      <c r="D351" s="82"/>
      <c r="E351" s="82" t="str">
        <f>SelectedInputs!E43</f>
        <v>Off-gas Grid Mechanistic Price Control Deliverable</v>
      </c>
      <c r="F351" s="82"/>
      <c r="G351" s="2" t="s">
        <v>105</v>
      </c>
      <c r="H351" s="82" t="str">
        <f>SelectedInputs!H43</f>
        <v>OGGt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2">
        <f t="shared" si="14"/>
        <v>1</v>
      </c>
      <c r="AO351" s="523">
        <f t="shared" si="15"/>
        <v>1</v>
      </c>
      <c r="AP351" s="352">
        <f t="shared" si="16"/>
        <v>0</v>
      </c>
      <c r="AQ351" s="147"/>
      <c r="AR351" s="8">
        <f>SelectedInputs!AR43</f>
        <v>0</v>
      </c>
      <c r="AS351" s="8">
        <f>SelectedInputs!AS43</f>
        <v>0</v>
      </c>
      <c r="AT351" s="8">
        <f>SelectedInputs!AT43</f>
        <v>0</v>
      </c>
      <c r="AU351" s="8">
        <f>SelectedInputs!AU43</f>
        <v>0</v>
      </c>
      <c r="AV351" s="8">
        <f>SelectedInputs!AV43</f>
        <v>0</v>
      </c>
    </row>
    <row r="352" spans="1:48" ht="15">
      <c r="A352" s="82"/>
      <c r="B352" s="82"/>
      <c r="C352" s="82"/>
      <c r="D352" s="82"/>
      <c r="E352" s="82" t="str">
        <f>SelectedInputs!E44</f>
        <v>Shetland Link Contribution (SSEH only)</v>
      </c>
      <c r="F352" s="82"/>
      <c r="G352" s="2" t="s">
        <v>105</v>
      </c>
      <c r="H352" s="82" t="str">
        <f>SelectedInputs!H44</f>
        <v>SLKCt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2">
        <f t="shared" si="14"/>
        <v>2</v>
      </c>
      <c r="AO352" s="523">
        <f t="shared" si="15"/>
        <v>1</v>
      </c>
      <c r="AP352" s="352">
        <f t="shared" si="16"/>
        <v>0</v>
      </c>
      <c r="AQ352" s="147"/>
      <c r="AR352" s="8">
        <f>SelectedInputs!AR44</f>
        <v>0</v>
      </c>
      <c r="AS352" s="8">
        <f>SelectedInputs!AS44</f>
        <v>0</v>
      </c>
      <c r="AT352" s="8">
        <f>SelectedInputs!AT44</f>
        <v>0</v>
      </c>
      <c r="AU352" s="8">
        <f>SelectedInputs!AU44</f>
        <v>0</v>
      </c>
      <c r="AV352" s="8">
        <f>SelectedInputs!AV44</f>
        <v>0</v>
      </c>
    </row>
    <row r="353" spans="1:48" ht="15">
      <c r="A353" s="82"/>
      <c r="B353" s="82"/>
      <c r="C353" s="82"/>
      <c r="D353" s="82"/>
      <c r="E353" s="82" t="str">
        <f>SelectedInputs!E45</f>
        <v>West Coast of Cumbria Re-opener (ENWL only)</v>
      </c>
      <c r="F353" s="82"/>
      <c r="G353" s="2" t="s">
        <v>105</v>
      </c>
      <c r="H353" s="82" t="str">
        <f>SelectedInputs!H45</f>
        <v>WCCt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2">
        <f t="shared" si="14"/>
        <v>2</v>
      </c>
      <c r="AO353" s="523">
        <f t="shared" si="15"/>
        <v>1</v>
      </c>
      <c r="AP353" s="352">
        <f t="shared" si="16"/>
        <v>0</v>
      </c>
      <c r="AQ353" s="147"/>
      <c r="AR353" s="8">
        <f>SelectedInputs!AR45</f>
        <v>0</v>
      </c>
      <c r="AS353" s="8">
        <f>SelectedInputs!AS45</f>
        <v>0</v>
      </c>
      <c r="AT353" s="8">
        <f>SelectedInputs!AT45</f>
        <v>0</v>
      </c>
      <c r="AU353" s="8">
        <f>SelectedInputs!AU45</f>
        <v>0</v>
      </c>
      <c r="AV353" s="8">
        <f>SelectedInputs!AV45</f>
        <v>0</v>
      </c>
    </row>
    <row r="354" spans="1:48" ht="15">
      <c r="A354" s="82"/>
      <c r="B354" s="82"/>
      <c r="C354" s="82"/>
      <c r="D354" s="82"/>
      <c r="E354" s="82" t="str">
        <f>SelectedInputs!E46</f>
        <v>Shetland Enduring Solution Re-opener (SSEH only)</v>
      </c>
      <c r="F354" s="82"/>
      <c r="G354" s="2" t="s">
        <v>105</v>
      </c>
      <c r="H354" s="82" t="str">
        <f>SelectedInputs!H46</f>
        <v>SESt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2">
        <f t="shared" si="14"/>
        <v>2</v>
      </c>
      <c r="AO354" s="523">
        <f t="shared" si="15"/>
        <v>1</v>
      </c>
      <c r="AP354" s="352">
        <f t="shared" si="16"/>
        <v>0</v>
      </c>
      <c r="AQ354" s="147"/>
      <c r="AR354" s="8">
        <f>SelectedInputs!AR46</f>
        <v>0</v>
      </c>
      <c r="AS354" s="8">
        <f>SelectedInputs!AS46</f>
        <v>0</v>
      </c>
      <c r="AT354" s="8">
        <f>SelectedInputs!AT46</f>
        <v>0</v>
      </c>
      <c r="AU354" s="8">
        <f>SelectedInputs!AU46</f>
        <v>0</v>
      </c>
      <c r="AV354" s="8">
        <f>SelectedInputs!AV46</f>
        <v>0</v>
      </c>
    </row>
    <row r="355" spans="1:48" ht="15">
      <c r="A355" s="82"/>
      <c r="B355" s="82"/>
      <c r="C355" s="82"/>
      <c r="D355" s="82"/>
      <c r="E355" s="82" t="str">
        <f>SelectedInputs!E47</f>
        <v>Shetland Extension Fixed Energy Costs Re-opener (SSEH only)</v>
      </c>
      <c r="F355" s="82"/>
      <c r="G355" s="2" t="s">
        <v>105</v>
      </c>
      <c r="H355" s="82" t="str">
        <f>SelectedInputs!H47</f>
        <v>SEFECt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2">
        <f t="shared" si="14"/>
        <v>2</v>
      </c>
      <c r="AO355" s="523">
        <f t="shared" si="15"/>
        <v>1</v>
      </c>
      <c r="AP355" s="352">
        <f t="shared" si="16"/>
        <v>0</v>
      </c>
      <c r="AQ355" s="147"/>
      <c r="AR355" s="8">
        <f>SelectedInputs!AR47</f>
        <v>0</v>
      </c>
      <c r="AS355" s="8">
        <f>SelectedInputs!AS47</f>
        <v>0</v>
      </c>
      <c r="AT355" s="8">
        <f>SelectedInputs!AT47</f>
        <v>0</v>
      </c>
      <c r="AU355" s="8">
        <f>SelectedInputs!AU47</f>
        <v>0</v>
      </c>
      <c r="AV355" s="8">
        <f>SelectedInputs!AV47</f>
        <v>0</v>
      </c>
    </row>
    <row r="356" spans="1:48" ht="15">
      <c r="A356" s="82"/>
      <c r="B356" s="82"/>
      <c r="C356" s="82"/>
      <c r="D356" s="82"/>
      <c r="E356" s="82" t="str">
        <f>SelectedInputs!E48</f>
        <v>Hebrides and Orkney Re-opener (SSEH only)</v>
      </c>
      <c r="F356" s="82"/>
      <c r="G356" s="2" t="s">
        <v>105</v>
      </c>
      <c r="H356" s="82" t="str">
        <f>SelectedInputs!H48</f>
        <v>HOt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2">
        <f t="shared" si="14"/>
        <v>2</v>
      </c>
      <c r="AO356" s="523">
        <f t="shared" si="15"/>
        <v>1</v>
      </c>
      <c r="AP356" s="352">
        <f t="shared" si="16"/>
        <v>0</v>
      </c>
      <c r="AQ356" s="147"/>
      <c r="AR356" s="8">
        <f>SelectedInputs!AR48</f>
        <v>0</v>
      </c>
      <c r="AS356" s="8">
        <f>SelectedInputs!AS48</f>
        <v>0</v>
      </c>
      <c r="AT356" s="8">
        <f>SelectedInputs!AT48</f>
        <v>0</v>
      </c>
      <c r="AU356" s="8">
        <f>SelectedInputs!AU48</f>
        <v>0</v>
      </c>
      <c r="AV356" s="8">
        <f>SelectedInputs!AV48</f>
        <v>0</v>
      </c>
    </row>
    <row r="357" spans="1:48" ht="15">
      <c r="A357" s="82"/>
      <c r="B357" s="82"/>
      <c r="C357" s="82"/>
      <c r="D357" s="82"/>
      <c r="E357" s="82" t="str">
        <f>SelectedInputs!E49</f>
        <v>Smart Street Mechanistic Price Control Deliverable (ENWL only)</v>
      </c>
      <c r="F357" s="82"/>
      <c r="G357" s="2" t="s">
        <v>105</v>
      </c>
      <c r="H357" s="82" t="str">
        <f>SelectedInputs!H49</f>
        <v>SSMPt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2">
        <f t="shared" si="14"/>
        <v>1</v>
      </c>
      <c r="AO357" s="523">
        <f t="shared" si="15"/>
        <v>1</v>
      </c>
      <c r="AP357" s="352">
        <f t="shared" si="16"/>
        <v>0</v>
      </c>
      <c r="AQ357" s="147"/>
      <c r="AR357" s="8">
        <f>SelectedInputs!AR49</f>
        <v>0</v>
      </c>
      <c r="AS357" s="8">
        <f>SelectedInputs!AS49</f>
        <v>0</v>
      </c>
      <c r="AT357" s="8">
        <f>SelectedInputs!AT49</f>
        <v>0</v>
      </c>
      <c r="AU357" s="8">
        <f>SelectedInputs!AU49</f>
        <v>0</v>
      </c>
      <c r="AV357" s="8">
        <f>SelectedInputs!AV49</f>
        <v>0</v>
      </c>
    </row>
    <row r="358" spans="1:48" ht="15">
      <c r="A358" s="82"/>
      <c r="B358" s="82"/>
      <c r="C358" s="82"/>
      <c r="D358" s="82"/>
      <c r="E358" s="82" t="str">
        <f>SelectedInputs!E50</f>
        <v>Worst Served Customers</v>
      </c>
      <c r="F358" s="82"/>
      <c r="G358" s="2" t="s">
        <v>105</v>
      </c>
      <c r="H358" s="82" t="str">
        <f>SelectedInputs!H50</f>
        <v>WSCt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2">
        <f t="shared" si="14"/>
        <v>1</v>
      </c>
      <c r="AO358" s="523">
        <f t="shared" si="15"/>
        <v>1</v>
      </c>
      <c r="AP358" s="352">
        <f t="shared" si="16"/>
        <v>0.85000000000000009</v>
      </c>
      <c r="AQ358" s="147"/>
      <c r="AR358" s="8">
        <f>SelectedInputs!AR50</f>
        <v>0.15473140499478172</v>
      </c>
      <c r="AS358" s="8">
        <f>SelectedInputs!AS50</f>
        <v>0.16028178160164702</v>
      </c>
      <c r="AT358" s="8">
        <f>SelectedInputs!AT50</f>
        <v>0.17030084612910451</v>
      </c>
      <c r="AU358" s="8">
        <f>SelectedInputs!AU50</f>
        <v>0.1841790696069168</v>
      </c>
      <c r="AV358" s="8">
        <f>SelectedInputs!AV50</f>
        <v>0.18050689766755001</v>
      </c>
    </row>
    <row r="359" spans="1:48" ht="15">
      <c r="A359" s="82"/>
      <c r="B359" s="82"/>
      <c r="C359" s="82"/>
      <c r="D359" s="82"/>
      <c r="E359" s="82" t="str">
        <f>SelectedInputs!E51</f>
        <v>EV Optioneering Projects</v>
      </c>
      <c r="F359" s="82"/>
      <c r="G359" s="2" t="s">
        <v>105</v>
      </c>
      <c r="H359" s="82" t="str">
        <f>SelectedInputs!H51</f>
        <v>EOPt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2">
        <f t="shared" si="14"/>
        <v>1</v>
      </c>
      <c r="AO359" s="523">
        <f t="shared" si="15"/>
        <v>1</v>
      </c>
      <c r="AP359" s="352">
        <f t="shared" si="16"/>
        <v>0</v>
      </c>
      <c r="AQ359" s="147"/>
      <c r="AR359" s="8">
        <f>SelectedInputs!AR51</f>
        <v>0</v>
      </c>
      <c r="AS359" s="8">
        <f>SelectedInputs!AS51</f>
        <v>0</v>
      </c>
      <c r="AT359" s="8">
        <f>SelectedInputs!AT51</f>
        <v>0</v>
      </c>
      <c r="AU359" s="8">
        <f>SelectedInputs!AU51</f>
        <v>0</v>
      </c>
      <c r="AV359" s="8">
        <f>SelectedInputs!AV51</f>
        <v>0</v>
      </c>
    </row>
    <row r="360" spans="1:48" ht="15">
      <c r="A360" s="82"/>
      <c r="B360" s="82"/>
      <c r="C360" s="82"/>
      <c r="D360" s="82"/>
      <c r="E360" s="82" t="str">
        <f>SelectedInputs!E52</f>
        <v>Cyber Resilience IT baseline</v>
      </c>
      <c r="F360" s="82"/>
      <c r="G360" s="2" t="s">
        <v>105</v>
      </c>
      <c r="H360" s="82" t="str">
        <f>SelectedInputs!H52</f>
        <v>CRITt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2">
        <f t="shared" si="14"/>
        <v>1</v>
      </c>
      <c r="AO360" s="523">
        <f t="shared" si="15"/>
        <v>1</v>
      </c>
      <c r="AP360" s="352">
        <f t="shared" si="16"/>
        <v>4.49</v>
      </c>
      <c r="AQ360" s="147"/>
      <c r="AR360" s="8">
        <f>SelectedInputs!AR52</f>
        <v>1.88</v>
      </c>
      <c r="AS360" s="8">
        <f>SelectedInputs!AS52</f>
        <v>1.82</v>
      </c>
      <c r="AT360" s="8">
        <f>SelectedInputs!AT52</f>
        <v>0.34</v>
      </c>
      <c r="AU360" s="8">
        <f>SelectedInputs!AU52</f>
        <v>0.23</v>
      </c>
      <c r="AV360" s="8">
        <f>SelectedInputs!AV52</f>
        <v>0.22</v>
      </c>
    </row>
    <row r="361" spans="1:48" ht="15">
      <c r="A361" s="82"/>
      <c r="B361" s="82"/>
      <c r="C361" s="82"/>
      <c r="D361" s="82"/>
      <c r="E361" s="82" t="str">
        <f>SelectedInputs!E53</f>
        <v>Wayleaves and Diversions Re-opener</v>
      </c>
      <c r="F361" s="82"/>
      <c r="G361" s="2" t="s">
        <v>105</v>
      </c>
      <c r="H361" s="82" t="str">
        <f>SelectedInputs!H53</f>
        <v>WDVt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2">
        <f t="shared" si="14"/>
        <v>2</v>
      </c>
      <c r="AO361" s="523">
        <f t="shared" si="15"/>
        <v>1</v>
      </c>
      <c r="AP361" s="352">
        <f t="shared" si="16"/>
        <v>0</v>
      </c>
      <c r="AQ361" s="147"/>
      <c r="AR361" s="8">
        <f>SelectedInputs!AR53</f>
        <v>0</v>
      </c>
      <c r="AS361" s="8">
        <f>SelectedInputs!AS53</f>
        <v>0</v>
      </c>
      <c r="AT361" s="8">
        <f>SelectedInputs!AT53</f>
        <v>0</v>
      </c>
      <c r="AU361" s="8">
        <f>SelectedInputs!AU53</f>
        <v>0</v>
      </c>
      <c r="AV361" s="8">
        <f>SelectedInputs!AV53</f>
        <v>0</v>
      </c>
    </row>
    <row r="362" spans="1:48" ht="15">
      <c r="A362" s="82"/>
      <c r="B362" s="82"/>
      <c r="C362" s="82"/>
      <c r="D362" s="82"/>
      <c r="E362" s="82" t="str">
        <f>SelectedInputs!E54</f>
        <v>Indirects Scaler</v>
      </c>
      <c r="F362" s="82"/>
      <c r="G362" s="2" t="s">
        <v>105</v>
      </c>
      <c r="H362" s="82" t="str">
        <f>SelectedInputs!H54</f>
        <v>ISt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2">
        <f t="shared" si="14"/>
        <v>2</v>
      </c>
      <c r="AO362" s="523">
        <f t="shared" si="15"/>
        <v>1</v>
      </c>
      <c r="AP362" s="352">
        <f t="shared" si="16"/>
        <v>4.6962579510640667</v>
      </c>
      <c r="AQ362" s="147"/>
      <c r="AR362" s="8">
        <f>SelectedInputs!AR54</f>
        <v>0.14042249585758648</v>
      </c>
      <c r="AS362" s="8">
        <f>SelectedInputs!AS54</f>
        <v>0.45714424712212476</v>
      </c>
      <c r="AT362" s="8">
        <f>SelectedInputs!AT54</f>
        <v>1.1611383297054858</v>
      </c>
      <c r="AU362" s="8">
        <f>SelectedInputs!AU54</f>
        <v>1.4473610042006673</v>
      </c>
      <c r="AV362" s="8">
        <f>SelectedInputs!AV54</f>
        <v>1.4901918741782023</v>
      </c>
    </row>
    <row r="363" spans="1:48" ht="15">
      <c r="A363" s="82"/>
      <c r="B363" s="82"/>
      <c r="C363" s="82"/>
      <c r="D363" s="82"/>
      <c r="E363" s="82" t="str">
        <f>SelectedInputs!E55</f>
        <v>LineSIGHT Mechanistic Price Control Deliverable (ENWL only)</v>
      </c>
      <c r="F363" s="82"/>
      <c r="G363" s="2" t="s">
        <v>105</v>
      </c>
      <c r="H363" s="82" t="str">
        <f>SelectedInputs!H55</f>
        <v>LMPt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2">
        <f t="shared" si="14"/>
        <v>1</v>
      </c>
      <c r="AO363" s="523">
        <f t="shared" si="15"/>
        <v>1</v>
      </c>
      <c r="AP363" s="352">
        <f t="shared" si="16"/>
        <v>0</v>
      </c>
      <c r="AQ363" s="147"/>
      <c r="AR363" s="8">
        <f>SelectedInputs!AR55</f>
        <v>0</v>
      </c>
      <c r="AS363" s="8">
        <f>SelectedInputs!AS55</f>
        <v>0</v>
      </c>
      <c r="AT363" s="8">
        <f>SelectedInputs!AT55</f>
        <v>0</v>
      </c>
      <c r="AU363" s="8">
        <f>SelectedInputs!AU55</f>
        <v>0</v>
      </c>
      <c r="AV363" s="8">
        <f>SelectedInputs!AV55</f>
        <v>0</v>
      </c>
    </row>
    <row r="364" spans="1:48" ht="15">
      <c r="A364" s="82"/>
      <c r="B364" s="82"/>
      <c r="C364" s="82"/>
      <c r="D364" s="82"/>
      <c r="E364" s="82" t="str">
        <f>SelectedInputs!E56</f>
        <v>New Depot (EMID, SWALES, SWEST and WMID only)</v>
      </c>
      <c r="F364" s="82"/>
      <c r="G364" s="2" t="s">
        <v>105</v>
      </c>
      <c r="H364" s="82" t="str">
        <f>SelectedInputs!H56</f>
        <v>NEWDt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2">
        <f t="shared" si="14"/>
        <v>1</v>
      </c>
      <c r="AO364" s="523">
        <f t="shared" si="15"/>
        <v>1</v>
      </c>
      <c r="AP364" s="352">
        <f t="shared" si="16"/>
        <v>0</v>
      </c>
      <c r="AQ364" s="147"/>
      <c r="AR364" s="8">
        <f>SelectedInputs!AR56</f>
        <v>0</v>
      </c>
      <c r="AS364" s="8">
        <f>SelectedInputs!AS56</f>
        <v>0</v>
      </c>
      <c r="AT364" s="8">
        <f>SelectedInputs!AT56</f>
        <v>0</v>
      </c>
      <c r="AU364" s="8">
        <f>SelectedInputs!AU56</f>
        <v>0</v>
      </c>
      <c r="AV364" s="8">
        <f>SelectedInputs!AV56</f>
        <v>0</v>
      </c>
    </row>
    <row r="365" spans="1:48" ht="15">
      <c r="A365" s="82"/>
      <c r="B365" s="82"/>
      <c r="C365" s="82"/>
      <c r="D365" s="82"/>
      <c r="E365" s="82" t="str">
        <f>SelectedInputs!E57</f>
        <v>New Control Room (SSES and SSEH only)</v>
      </c>
      <c r="F365" s="82"/>
      <c r="G365" s="2" t="s">
        <v>105</v>
      </c>
      <c r="H365" s="82" t="str">
        <f>SelectedInputs!H57</f>
        <v>CTRLt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2">
        <f t="shared" si="14"/>
        <v>1</v>
      </c>
      <c r="AO365" s="523">
        <f t="shared" si="15"/>
        <v>1</v>
      </c>
      <c r="AP365" s="352">
        <f t="shared" si="16"/>
        <v>0</v>
      </c>
      <c r="AQ365" s="147"/>
      <c r="AR365" s="8">
        <f>SelectedInputs!AR57</f>
        <v>0</v>
      </c>
      <c r="AS365" s="8">
        <f>SelectedInputs!AS57</f>
        <v>0</v>
      </c>
      <c r="AT365" s="8">
        <f>SelectedInputs!AT57</f>
        <v>0</v>
      </c>
      <c r="AU365" s="8">
        <f>SelectedInputs!AU57</f>
        <v>0</v>
      </c>
      <c r="AV365" s="8">
        <f>SelectedInputs!AV57</f>
        <v>0</v>
      </c>
    </row>
    <row r="366" spans="1:48" ht="15">
      <c r="A366" s="82"/>
      <c r="B366" s="82"/>
      <c r="C366" s="82"/>
      <c r="D366" s="82"/>
      <c r="E366" s="82" t="str">
        <f>SelectedInputs!E58</f>
        <v>Storm Arwen Re-opener</v>
      </c>
      <c r="F366" s="82"/>
      <c r="G366" s="2" t="s">
        <v>105</v>
      </c>
      <c r="H366" s="82" t="str">
        <f>SelectedInputs!H58</f>
        <v>SARt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2">
        <f t="shared" si="14"/>
        <v>2</v>
      </c>
      <c r="AO366" s="523">
        <f t="shared" si="15"/>
        <v>1</v>
      </c>
      <c r="AP366" s="352">
        <f t="shared" si="16"/>
        <v>0</v>
      </c>
      <c r="AQ366" s="147"/>
      <c r="AR366" s="8">
        <f>SelectedInputs!AR58</f>
        <v>0</v>
      </c>
      <c r="AS366" s="8">
        <f>SelectedInputs!AS58</f>
        <v>0</v>
      </c>
      <c r="AT366" s="8">
        <f>SelectedInputs!AT58</f>
        <v>0</v>
      </c>
      <c r="AU366" s="8">
        <f>SelectedInputs!AU58</f>
        <v>0</v>
      </c>
      <c r="AV366" s="8">
        <f>SelectedInputs!AV58</f>
        <v>0</v>
      </c>
    </row>
    <row r="367" spans="1:48" ht="15">
      <c r="A367" s="82"/>
      <c r="B367" s="82"/>
      <c r="C367" s="82"/>
      <c r="D367" s="82"/>
      <c r="E367" s="82" t="str">
        <f>SelectedInputs!E59</f>
        <v>High Value Projects Re-opener</v>
      </c>
      <c r="F367" s="82"/>
      <c r="G367" s="2" t="s">
        <v>105</v>
      </c>
      <c r="H367" s="82" t="str">
        <f>SelectedInputs!H59</f>
        <v>HVPt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2">
        <f t="shared" si="14"/>
        <v>2</v>
      </c>
      <c r="AO367" s="523">
        <f t="shared" si="15"/>
        <v>1</v>
      </c>
      <c r="AP367" s="352">
        <f t="shared" si="16"/>
        <v>0</v>
      </c>
      <c r="AQ367" s="147"/>
      <c r="AR367" s="8">
        <f>SelectedInputs!AR59</f>
        <v>0</v>
      </c>
      <c r="AS367" s="8">
        <f>SelectedInputs!AS59</f>
        <v>0</v>
      </c>
      <c r="AT367" s="8">
        <f>SelectedInputs!AT59</f>
        <v>0</v>
      </c>
      <c r="AU367" s="8">
        <f>SelectedInputs!AU59</f>
        <v>0</v>
      </c>
      <c r="AV367" s="8">
        <f>SelectedInputs!AV59</f>
        <v>0</v>
      </c>
    </row>
    <row r="368" spans="1:48" ht="15">
      <c r="A368" s="82"/>
      <c r="B368" s="82"/>
      <c r="C368" s="82"/>
      <c r="D368" s="82"/>
      <c r="E368" s="82" t="str">
        <f>SelectedInputs!E60</f>
        <v>Strategic Investment</v>
      </c>
      <c r="F368" s="82"/>
      <c r="G368" s="2" t="s">
        <v>105</v>
      </c>
      <c r="H368" s="82" t="str">
        <f>SelectedInputs!H60</f>
        <v>SINVt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2">
        <f t="shared" si="14"/>
        <v>2</v>
      </c>
      <c r="AO368" s="523">
        <f t="shared" si="15"/>
        <v>1</v>
      </c>
      <c r="AP368" s="352">
        <f t="shared" si="16"/>
        <v>0</v>
      </c>
      <c r="AQ368" s="147"/>
      <c r="AR368" s="8">
        <f>SelectedInputs!AR60</f>
        <v>0</v>
      </c>
      <c r="AS368" s="8">
        <f>SelectedInputs!AS60</f>
        <v>0</v>
      </c>
      <c r="AT368" s="8">
        <f>SelectedInputs!AT60</f>
        <v>0</v>
      </c>
      <c r="AU368" s="8">
        <f>SelectedInputs!AU60</f>
        <v>0</v>
      </c>
      <c r="AV368" s="8">
        <f>SelectedInputs!AV60</f>
        <v>0</v>
      </c>
    </row>
    <row r="369" spans="1:48" ht="15">
      <c r="A369" s="82"/>
      <c r="B369" s="82"/>
      <c r="C369" s="82"/>
      <c r="D369" s="82"/>
      <c r="E369" s="82" t="str">
        <f>SelectedInputs!E61</f>
        <v>Carry-over Green Recovery Scheme</v>
      </c>
      <c r="F369" s="82"/>
      <c r="G369" s="2" t="s">
        <v>105</v>
      </c>
      <c r="H369" s="82" t="str">
        <f>SelectedInputs!H61</f>
        <v>CGRSt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2">
        <f t="shared" si="14"/>
        <v>2</v>
      </c>
      <c r="AO369" s="523">
        <f t="shared" si="15"/>
        <v>1</v>
      </c>
      <c r="AP369" s="352">
        <f t="shared" si="16"/>
        <v>23.56668748998786</v>
      </c>
      <c r="AQ369" s="147"/>
      <c r="AR369" s="8">
        <f>SelectedInputs!AR61</f>
        <v>9.8873967942453884</v>
      </c>
      <c r="AS369" s="8">
        <f>SelectedInputs!AS61</f>
        <v>13.679290695742472</v>
      </c>
      <c r="AT369" s="8">
        <f>SelectedInputs!AT61</f>
        <v>0</v>
      </c>
      <c r="AU369" s="8">
        <f>SelectedInputs!AU61</f>
        <v>0</v>
      </c>
      <c r="AV369" s="8">
        <f>SelectedInputs!AV61</f>
        <v>0</v>
      </c>
    </row>
    <row r="370" spans="1:48" ht="15">
      <c r="A370" s="82"/>
      <c r="B370" s="82"/>
      <c r="C370" s="82"/>
      <c r="D370" s="82"/>
      <c r="E370" s="82" t="str">
        <f>SelectedInputs!E62</f>
        <v>1-in-20 Severe Weather Event</v>
      </c>
      <c r="F370" s="82"/>
      <c r="G370" s="2" t="s">
        <v>105</v>
      </c>
      <c r="H370" s="82" t="str">
        <f>SelectedInputs!H62</f>
        <v>OTSWt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2">
        <f t="shared" si="14"/>
        <v>2</v>
      </c>
      <c r="AO370" s="523">
        <f t="shared" si="15"/>
        <v>1</v>
      </c>
      <c r="AP370" s="352">
        <f t="shared" si="16"/>
        <v>0</v>
      </c>
      <c r="AQ370" s="147"/>
      <c r="AR370" s="8">
        <f>SelectedInputs!AR62</f>
        <v>0</v>
      </c>
      <c r="AS370" s="8">
        <f>SelectedInputs!AS62</f>
        <v>0</v>
      </c>
      <c r="AT370" s="8">
        <f>SelectedInputs!AT62</f>
        <v>0</v>
      </c>
      <c r="AU370" s="8">
        <f>SelectedInputs!AU62</f>
        <v>0</v>
      </c>
      <c r="AV370" s="8">
        <f>SelectedInputs!AV62</f>
        <v>0</v>
      </c>
    </row>
    <row r="371" spans="1:48" ht="15">
      <c r="A371" s="82"/>
      <c r="B371" s="82"/>
      <c r="C371" s="82"/>
      <c r="D371" s="82"/>
      <c r="E371" s="82" t="str">
        <f>SelectedInputs!E63</f>
        <v>Net to Gross Load Related Expenditure</v>
      </c>
      <c r="F371" s="82"/>
      <c r="G371" s="2" t="s">
        <v>105</v>
      </c>
      <c r="H371" s="82" t="str">
        <f>SelectedInputs!H63</f>
        <v>NGLREt</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2">
        <f t="shared" si="14"/>
        <v>2</v>
      </c>
      <c r="AO371" s="523">
        <f t="shared" si="15"/>
        <v>1</v>
      </c>
      <c r="AP371" s="352">
        <f t="shared" si="16"/>
        <v>0</v>
      </c>
      <c r="AQ371" s="147"/>
      <c r="AR371" s="8">
        <f>SelectedInputs!AR63</f>
        <v>0</v>
      </c>
      <c r="AS371" s="8">
        <f>SelectedInputs!AS63</f>
        <v>0</v>
      </c>
      <c r="AT371" s="8">
        <f>SelectedInputs!AT63</f>
        <v>0</v>
      </c>
      <c r="AU371" s="8">
        <f>SelectedInputs!AU63</f>
        <v>0</v>
      </c>
      <c r="AV371" s="8">
        <f>SelectedInputs!AV63</f>
        <v>0</v>
      </c>
    </row>
    <row r="372" spans="1:48" ht="15">
      <c r="A372" s="82"/>
      <c r="B372" s="82"/>
      <c r="C372" s="82"/>
      <c r="D372" s="82"/>
      <c r="E372" s="82">
        <f>SelectedInputs!E64</f>
        <v>0</v>
      </c>
      <c r="F372" s="82"/>
      <c r="G372" s="2" t="s">
        <v>105</v>
      </c>
      <c r="H372" s="82">
        <f>SelectedInputs!H64</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2">
        <f t="shared" si="14"/>
        <v>0</v>
      </c>
      <c r="AO372" s="523">
        <f t="shared" si="15"/>
        <v>0</v>
      </c>
      <c r="AP372" s="352">
        <f t="shared" si="16"/>
        <v>0</v>
      </c>
      <c r="AQ372" s="147"/>
      <c r="AR372" s="8">
        <f>SelectedInputs!AR64</f>
        <v>0</v>
      </c>
      <c r="AS372" s="8">
        <f>SelectedInputs!AS64</f>
        <v>0</v>
      </c>
      <c r="AT372" s="8">
        <f>SelectedInputs!AT64</f>
        <v>0</v>
      </c>
      <c r="AU372" s="8">
        <f>SelectedInputs!AU64</f>
        <v>0</v>
      </c>
      <c r="AV372" s="8">
        <f>SelectedInputs!AV64</f>
        <v>0</v>
      </c>
    </row>
    <row r="373" spans="1:48" ht="15">
      <c r="A373" s="82"/>
      <c r="B373" s="82"/>
      <c r="C373" s="82"/>
      <c r="D373" s="82"/>
      <c r="E373" s="82">
        <f>SelectedInputs!E65</f>
        <v>0</v>
      </c>
      <c r="F373" s="82"/>
      <c r="G373" s="2" t="s">
        <v>105</v>
      </c>
      <c r="H373" s="82">
        <f>SelectedInputs!H65</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2">
        <f t="shared" si="14"/>
        <v>0</v>
      </c>
      <c r="AO373" s="523">
        <f t="shared" si="15"/>
        <v>0</v>
      </c>
      <c r="AP373" s="352">
        <f t="shared" si="16"/>
        <v>0</v>
      </c>
      <c r="AQ373" s="147"/>
      <c r="AR373" s="8">
        <f>SelectedInputs!AR65</f>
        <v>0</v>
      </c>
      <c r="AS373" s="8">
        <f>SelectedInputs!AS65</f>
        <v>0</v>
      </c>
      <c r="AT373" s="8">
        <f>SelectedInputs!AT65</f>
        <v>0</v>
      </c>
      <c r="AU373" s="8">
        <f>SelectedInputs!AU65</f>
        <v>0</v>
      </c>
      <c r="AV373" s="8">
        <f>SelectedInputs!AV65</f>
        <v>0</v>
      </c>
    </row>
    <row r="374" spans="1:48" ht="15">
      <c r="A374" s="82"/>
      <c r="B374" s="82"/>
      <c r="C374" s="82"/>
      <c r="D374" s="82"/>
      <c r="E374" s="82">
        <f>SelectedInputs!E66</f>
        <v>0</v>
      </c>
      <c r="F374" s="82"/>
      <c r="G374" s="2" t="s">
        <v>105</v>
      </c>
      <c r="H374" s="82">
        <f>SelectedInputs!H66</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2">
        <f t="shared" si="14"/>
        <v>0</v>
      </c>
      <c r="AO374" s="523">
        <f t="shared" si="15"/>
        <v>0</v>
      </c>
      <c r="AP374" s="352">
        <f t="shared" si="16"/>
        <v>0</v>
      </c>
      <c r="AQ374" s="147"/>
      <c r="AR374" s="8">
        <f>SelectedInputs!AR66</f>
        <v>0</v>
      </c>
      <c r="AS374" s="8">
        <f>SelectedInputs!AS66</f>
        <v>0</v>
      </c>
      <c r="AT374" s="8">
        <f>SelectedInputs!AT66</f>
        <v>0</v>
      </c>
      <c r="AU374" s="8">
        <f>SelectedInputs!AU66</f>
        <v>0</v>
      </c>
      <c r="AV374" s="8">
        <f>SelectedInputs!AV66</f>
        <v>0</v>
      </c>
    </row>
    <row r="375" spans="1:48" ht="15">
      <c r="A375" s="82"/>
      <c r="B375" s="82"/>
      <c r="C375" s="82"/>
      <c r="D375" s="82"/>
      <c r="E375" s="82">
        <f>SelectedInputs!E67</f>
        <v>0</v>
      </c>
      <c r="F375" s="82"/>
      <c r="G375" s="2" t="s">
        <v>105</v>
      </c>
      <c r="H375" s="82">
        <f>SelectedInputs!H67</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2">
        <f t="shared" si="14"/>
        <v>0</v>
      </c>
      <c r="AO375" s="523">
        <f t="shared" si="15"/>
        <v>0</v>
      </c>
      <c r="AP375" s="352">
        <f t="shared" si="16"/>
        <v>0</v>
      </c>
      <c r="AQ375" s="147"/>
      <c r="AR375" s="8">
        <f>SelectedInputs!AR67</f>
        <v>0</v>
      </c>
      <c r="AS375" s="8">
        <f>SelectedInputs!AS67</f>
        <v>0</v>
      </c>
      <c r="AT375" s="8">
        <f>SelectedInputs!AT67</f>
        <v>0</v>
      </c>
      <c r="AU375" s="8">
        <f>SelectedInputs!AU67</f>
        <v>0</v>
      </c>
      <c r="AV375" s="8">
        <f>SelectedInputs!AV67</f>
        <v>0</v>
      </c>
    </row>
    <row r="376" spans="1:48" ht="15">
      <c r="A376" s="82"/>
      <c r="B376" s="82"/>
      <c r="C376" s="82"/>
      <c r="D376" s="82"/>
      <c r="E376" s="82">
        <f>SelectedInputs!E68</f>
        <v>0</v>
      </c>
      <c r="F376" s="82"/>
      <c r="G376" s="2" t="s">
        <v>105</v>
      </c>
      <c r="H376" s="82">
        <f>SelectedInputs!H68</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2">
        <f t="shared" si="14"/>
        <v>0</v>
      </c>
      <c r="AO376" s="523">
        <f t="shared" si="15"/>
        <v>0</v>
      </c>
      <c r="AP376" s="352">
        <f t="shared" si="16"/>
        <v>0</v>
      </c>
      <c r="AQ376" s="147"/>
      <c r="AR376" s="8">
        <f>SelectedInputs!AR68</f>
        <v>0</v>
      </c>
      <c r="AS376" s="8">
        <f>SelectedInputs!AS68</f>
        <v>0</v>
      </c>
      <c r="AT376" s="8">
        <f>SelectedInputs!AT68</f>
        <v>0</v>
      </c>
      <c r="AU376" s="8">
        <f>SelectedInputs!AU68</f>
        <v>0</v>
      </c>
      <c r="AV376" s="8">
        <f>SelectedInputs!AV68</f>
        <v>0</v>
      </c>
    </row>
    <row r="377" spans="1:48" ht="15">
      <c r="A377" s="82"/>
      <c r="B377" s="82"/>
      <c r="C377" s="82"/>
      <c r="D377" s="82"/>
      <c r="E377" s="82">
        <f>SelectedInputs!E69</f>
        <v>0</v>
      </c>
      <c r="F377" s="82"/>
      <c r="G377" s="2" t="s">
        <v>105</v>
      </c>
      <c r="H377" s="82">
        <f>SelectedInputs!H69</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2">
        <f t="shared" si="14"/>
        <v>0</v>
      </c>
      <c r="AO377" s="523">
        <f t="shared" si="15"/>
        <v>0</v>
      </c>
      <c r="AP377" s="352">
        <f t="shared" si="16"/>
        <v>0</v>
      </c>
      <c r="AQ377" s="147"/>
      <c r="AR377" s="8">
        <f>SelectedInputs!AR69</f>
        <v>0</v>
      </c>
      <c r="AS377" s="8">
        <f>SelectedInputs!AS69</f>
        <v>0</v>
      </c>
      <c r="AT377" s="8">
        <f>SelectedInputs!AT69</f>
        <v>0</v>
      </c>
      <c r="AU377" s="8">
        <f>SelectedInputs!AU69</f>
        <v>0</v>
      </c>
      <c r="AV377" s="8">
        <f>SelectedInputs!AV69</f>
        <v>0</v>
      </c>
    </row>
    <row r="378" spans="1:48" ht="15">
      <c r="A378" s="82"/>
      <c r="B378" s="82"/>
      <c r="C378" s="82"/>
      <c r="D378" s="82"/>
      <c r="E378" s="82">
        <f>SelectedInputs!E70</f>
        <v>0</v>
      </c>
      <c r="F378" s="82"/>
      <c r="G378" s="2" t="s">
        <v>105</v>
      </c>
      <c r="H378" s="82">
        <f>SelectedInputs!H70</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2">
        <f t="shared" si="14"/>
        <v>0</v>
      </c>
      <c r="AO378" s="523">
        <f t="shared" si="15"/>
        <v>0</v>
      </c>
      <c r="AP378" s="352">
        <f t="shared" si="16"/>
        <v>0</v>
      </c>
      <c r="AQ378" s="147"/>
      <c r="AR378" s="8">
        <f>SelectedInputs!AR70</f>
        <v>0</v>
      </c>
      <c r="AS378" s="8">
        <f>SelectedInputs!AS70</f>
        <v>0</v>
      </c>
      <c r="AT378" s="8">
        <f>SelectedInputs!AT70</f>
        <v>0</v>
      </c>
      <c r="AU378" s="8">
        <f>SelectedInputs!AU70</f>
        <v>0</v>
      </c>
      <c r="AV378" s="8">
        <f>SelectedInputs!AV70</f>
        <v>0</v>
      </c>
    </row>
    <row r="379" spans="1:48" ht="15">
      <c r="A379" s="82"/>
      <c r="B379" s="82"/>
      <c r="C379" s="82"/>
      <c r="D379" s="82"/>
      <c r="E379" s="82">
        <f>SelectedInputs!E71</f>
        <v>0</v>
      </c>
      <c r="F379" s="82"/>
      <c r="G379" s="2" t="s">
        <v>105</v>
      </c>
      <c r="H379" s="82">
        <f>SelectedInputs!H71</f>
        <v>0</v>
      </c>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522">
        <f t="shared" si="14"/>
        <v>0</v>
      </c>
      <c r="AO379" s="523">
        <f t="shared" si="15"/>
        <v>0</v>
      </c>
      <c r="AP379" s="352">
        <f t="shared" si="16"/>
        <v>0</v>
      </c>
      <c r="AQ379" s="147"/>
      <c r="AR379" s="8">
        <f>SelectedInputs!AR71</f>
        <v>0</v>
      </c>
      <c r="AS379" s="8">
        <f>SelectedInputs!AS71</f>
        <v>0</v>
      </c>
      <c r="AT379" s="8">
        <f>SelectedInputs!AT71</f>
        <v>0</v>
      </c>
      <c r="AU379" s="8">
        <f>SelectedInputs!AU71</f>
        <v>0</v>
      </c>
      <c r="AV379" s="8">
        <f>SelectedInputs!AV71</f>
        <v>0</v>
      </c>
    </row>
    <row r="380" spans="1:48" ht="15">
      <c r="A380" s="82"/>
      <c r="B380" s="82"/>
      <c r="C380" s="82"/>
      <c r="D380" s="82"/>
      <c r="E380" s="82" t="s">
        <v>644</v>
      </c>
      <c r="F380" s="82"/>
      <c r="G380" s="2" t="s">
        <v>105</v>
      </c>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147"/>
      <c r="AR380" s="431">
        <f>SUM(AR332:AR379)</f>
        <v>47.194006650191874</v>
      </c>
      <c r="AS380" s="431">
        <f>SUM(AS332:AS379)</f>
        <v>69.76723039509875</v>
      </c>
      <c r="AT380" s="431">
        <f>SUM(AT332:AT379)</f>
        <v>67.423669403479138</v>
      </c>
      <c r="AU380" s="431">
        <f>SUM(AU332:AU379)</f>
        <v>64.35823759021585</v>
      </c>
      <c r="AV380" s="431">
        <f>SUM(AV332:AV379)</f>
        <v>57.41727366018565</v>
      </c>
    </row>
    <row r="381" spans="1:48" ht="15.75">
      <c r="A381" s="82"/>
      <c r="B381" s="82"/>
      <c r="C381" s="82"/>
      <c r="D381" s="82"/>
      <c r="E381" s="182" t="s">
        <v>21</v>
      </c>
      <c r="F381" s="268"/>
      <c r="G381" s="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335"/>
      <c r="AK381" s="335"/>
      <c r="AL381" s="335"/>
      <c r="AM381" s="335"/>
      <c r="AN381" s="335"/>
      <c r="AO381" s="335"/>
      <c r="AP381" s="335">
        <f>IF(SUMPRODUCT(AO332:AO379,AP332:AP379)=SUM(AP332:AP379),0,1)</f>
        <v>0</v>
      </c>
      <c r="AQ381" s="336"/>
      <c r="AR381" s="335"/>
      <c r="AS381" s="335"/>
      <c r="AT381" s="335"/>
      <c r="AU381" s="335"/>
      <c r="AV381" s="335"/>
    </row>
    <row r="382" spans="1:48" ht="15">
      <c r="A382" s="82"/>
      <c r="B382" s="82"/>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c r="AL382" s="83"/>
      <c r="AM382" s="83"/>
      <c r="AN382" s="83"/>
      <c r="AO382" s="83"/>
      <c r="AP382" s="83"/>
      <c r="AQ382" s="269"/>
      <c r="AR382" s="83"/>
      <c r="AS382" s="83"/>
      <c r="AT382" s="83"/>
      <c r="AU382" s="83"/>
      <c r="AV382" s="83"/>
    </row>
    <row r="383" spans="1:48" ht="15">
      <c r="A383" s="82"/>
      <c r="B383" s="82"/>
      <c r="C383" s="194"/>
      <c r="D383" s="28" t="s">
        <v>645</v>
      </c>
      <c r="E383" s="28"/>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9"/>
      <c r="AR383" s="28"/>
      <c r="AS383" s="28"/>
      <c r="AT383" s="28"/>
      <c r="AU383" s="28"/>
      <c r="AV383" s="28"/>
    </row>
    <row r="384" spans="1:48" ht="60">
      <c r="A384" s="82"/>
      <c r="B384" s="82"/>
      <c r="C384" s="82"/>
      <c r="D384" s="82"/>
      <c r="E384" s="82"/>
      <c r="F384" s="268"/>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205" t="s">
        <v>646</v>
      </c>
      <c r="AK384" s="205"/>
      <c r="AL384" s="205" t="s">
        <v>647</v>
      </c>
      <c r="AM384" s="205" t="s">
        <v>648</v>
      </c>
      <c r="AO384" s="205" t="s">
        <v>633</v>
      </c>
      <c r="AP384" s="205" t="s">
        <v>634</v>
      </c>
      <c r="AQ384" s="205" t="s">
        <v>635</v>
      </c>
      <c r="AR384" s="205" t="s">
        <v>636</v>
      </c>
      <c r="AS384" s="205" t="s">
        <v>637</v>
      </c>
      <c r="AT384" s="205" t="s">
        <v>638</v>
      </c>
      <c r="AU384" s="205" t="s">
        <v>639</v>
      </c>
    </row>
    <row r="385" spans="1:48" ht="15.75">
      <c r="A385" s="82"/>
      <c r="B385" s="82"/>
      <c r="C385" s="82"/>
      <c r="D385" s="82"/>
      <c r="E385" s="82" t="str">
        <f t="shared" ref="E385:E432" si="17">E332</f>
        <v>RPEs (bucket 1 allowances)</v>
      </c>
      <c r="F385" s="268"/>
      <c r="G385" s="82" t="s">
        <v>209</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3" t="str">
        <f>SelectedInputs!AJ74</f>
        <v>Other</v>
      </c>
      <c r="AK385" s="353"/>
      <c r="AL385" s="353">
        <f>SelectedInputs!AL74</f>
        <v>0</v>
      </c>
      <c r="AM385" s="353">
        <f>SelectedInputs!AM74</f>
        <v>1</v>
      </c>
      <c r="AN385" s="515"/>
      <c r="AO385" s="287">
        <f>SelectedInputs!AO74</f>
        <v>7.6835609116089221E-2</v>
      </c>
      <c r="AP385" s="287">
        <f>SelectedInputs!AP74</f>
        <v>0.30831430098644247</v>
      </c>
      <c r="AQ385" s="287">
        <f>SelectedInputs!AQ74</f>
        <v>0.10674959910588462</v>
      </c>
      <c r="AR385" s="287">
        <f>SelectedInputs!AR74</f>
        <v>0.11674036639292482</v>
      </c>
      <c r="AS385" s="287">
        <f>SelectedInputs!AS74</f>
        <v>1.7804558044608582E-2</v>
      </c>
      <c r="AT385" s="287">
        <f>SelectedInputs!AT74</f>
        <v>2.9865396763691137E-2</v>
      </c>
      <c r="AU385" s="287">
        <f>SelectedInputs!AU74</f>
        <v>0.34369016959035914</v>
      </c>
      <c r="AV385" s="521"/>
    </row>
    <row r="386" spans="1:48" ht="15.75">
      <c r="A386" s="82"/>
      <c r="B386" s="82"/>
      <c r="C386" s="82"/>
      <c r="D386" s="82"/>
      <c r="E386" s="82" t="str">
        <f t="shared" si="17"/>
        <v>RPEs (bucket 2 allowances)</v>
      </c>
      <c r="F386" s="268"/>
      <c r="G386" s="82" t="s">
        <v>209</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3" t="str">
        <f>SelectedInputs!AJ75</f>
        <v>Other</v>
      </c>
      <c r="AK386" s="353"/>
      <c r="AL386" s="353">
        <f>SelectedInputs!AL75</f>
        <v>0</v>
      </c>
      <c r="AM386" s="353">
        <f>SelectedInputs!AM75</f>
        <v>2</v>
      </c>
      <c r="AN386" s="515"/>
      <c r="AO386" s="287">
        <f>SelectedInputs!AO75</f>
        <v>0.73490760336331629</v>
      </c>
      <c r="AP386" s="287">
        <f>SelectedInputs!AP75</f>
        <v>0.26509239663668366</v>
      </c>
      <c r="AQ386" s="287">
        <f>SelectedInputs!AQ75</f>
        <v>0</v>
      </c>
      <c r="AR386" s="287">
        <f>SelectedInputs!AR75</f>
        <v>0</v>
      </c>
      <c r="AS386" s="287">
        <f>SelectedInputs!AS75</f>
        <v>0</v>
      </c>
      <c r="AT386" s="287">
        <f>SelectedInputs!AT75</f>
        <v>0</v>
      </c>
      <c r="AU386" s="287">
        <f>SelectedInputs!AU75</f>
        <v>0</v>
      </c>
      <c r="AV386" s="521"/>
    </row>
    <row r="387" spans="1:48" ht="15.75">
      <c r="A387" s="82"/>
      <c r="B387" s="82"/>
      <c r="C387" s="82"/>
      <c r="D387" s="82"/>
      <c r="E387" s="82" t="str">
        <f t="shared" si="17"/>
        <v>Physical Security Re-opener</v>
      </c>
      <c r="F387" s="268"/>
      <c r="G387" s="82" t="s">
        <v>209</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3" t="str">
        <f>SelectedInputs!AJ76</f>
        <v>Re-opener</v>
      </c>
      <c r="AK387" s="353"/>
      <c r="AL387" s="353" t="str">
        <f>SelectedInputs!AL76</f>
        <v>RPEs Don't Apply</v>
      </c>
      <c r="AM387" s="353">
        <f>SelectedInputs!AM76</f>
        <v>2</v>
      </c>
      <c r="AN387" s="515"/>
      <c r="AO387" s="287">
        <f>SelectedInputs!AO76</f>
        <v>0</v>
      </c>
      <c r="AP387" s="287">
        <f>SelectedInputs!AP76</f>
        <v>1</v>
      </c>
      <c r="AQ387" s="287">
        <f>SelectedInputs!AQ76</f>
        <v>0</v>
      </c>
      <c r="AR387" s="287">
        <f>SelectedInputs!AR76</f>
        <v>0</v>
      </c>
      <c r="AS387" s="287">
        <f>SelectedInputs!AS76</f>
        <v>0</v>
      </c>
      <c r="AT387" s="287">
        <f>SelectedInputs!AT76</f>
        <v>0</v>
      </c>
      <c r="AU387" s="287">
        <f>SelectedInputs!AU76</f>
        <v>0</v>
      </c>
      <c r="AV387" s="521"/>
    </row>
    <row r="388" spans="1:48" ht="15.75">
      <c r="A388" s="82"/>
      <c r="B388" s="82"/>
      <c r="C388" s="82"/>
      <c r="D388" s="82"/>
      <c r="E388" s="82" t="str">
        <f t="shared" si="17"/>
        <v>Specified Street Works Costs Re-opener</v>
      </c>
      <c r="F388" s="268"/>
      <c r="G388" s="82" t="s">
        <v>209</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3" t="str">
        <f>SelectedInputs!AJ77</f>
        <v>Re-opener</v>
      </c>
      <c r="AK388" s="353"/>
      <c r="AL388" s="353" t="str">
        <f>SelectedInputs!AL77</f>
        <v>RPEs Don't Apply</v>
      </c>
      <c r="AM388" s="353">
        <f>SelectedInputs!AM77</f>
        <v>2</v>
      </c>
      <c r="AN388" s="515"/>
      <c r="AO388" s="287">
        <f>SelectedInputs!AO77</f>
        <v>0</v>
      </c>
      <c r="AP388" s="287">
        <f>SelectedInputs!AP77</f>
        <v>0</v>
      </c>
      <c r="AQ388" s="287">
        <f>SelectedInputs!AQ77</f>
        <v>0</v>
      </c>
      <c r="AR388" s="287">
        <f>SelectedInputs!AR77</f>
        <v>0</v>
      </c>
      <c r="AS388" s="287">
        <f>SelectedInputs!AS77</f>
        <v>0</v>
      </c>
      <c r="AT388" s="287">
        <f>SelectedInputs!AT77</f>
        <v>0</v>
      </c>
      <c r="AU388" s="287">
        <f>SelectedInputs!AU77</f>
        <v>1</v>
      </c>
      <c r="AV388" s="521"/>
    </row>
    <row r="389" spans="1:48" ht="15.75">
      <c r="A389" s="82"/>
      <c r="B389" s="82"/>
      <c r="C389" s="82"/>
      <c r="D389" s="82"/>
      <c r="E389" s="82" t="str">
        <f t="shared" si="17"/>
        <v>Rail Electrification Costs Re-opener</v>
      </c>
      <c r="F389" s="268"/>
      <c r="G389" s="82" t="s">
        <v>209</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3" t="str">
        <f>SelectedInputs!AJ78</f>
        <v>Re-opener</v>
      </c>
      <c r="AK389" s="353"/>
      <c r="AL389" s="353" t="str">
        <f>SelectedInputs!AL78</f>
        <v>RPEs Don't Apply</v>
      </c>
      <c r="AM389" s="353">
        <f>SelectedInputs!AM78</f>
        <v>2</v>
      </c>
      <c r="AN389" s="515"/>
      <c r="AO389" s="287">
        <f>SelectedInputs!AO78</f>
        <v>0</v>
      </c>
      <c r="AP389" s="287">
        <f>SelectedInputs!AP78</f>
        <v>1</v>
      </c>
      <c r="AQ389" s="287">
        <f>SelectedInputs!AQ78</f>
        <v>0</v>
      </c>
      <c r="AR389" s="287">
        <f>SelectedInputs!AR78</f>
        <v>0</v>
      </c>
      <c r="AS389" s="287">
        <f>SelectedInputs!AS78</f>
        <v>0</v>
      </c>
      <c r="AT389" s="287">
        <f>SelectedInputs!AT78</f>
        <v>0</v>
      </c>
      <c r="AU389" s="287">
        <f>SelectedInputs!AU78</f>
        <v>0</v>
      </c>
      <c r="AV389" s="521"/>
    </row>
    <row r="390" spans="1:48" ht="15.75">
      <c r="A390" s="82"/>
      <c r="B390" s="82"/>
      <c r="C390" s="82"/>
      <c r="D390" s="82"/>
      <c r="E390" s="82" t="str">
        <f t="shared" si="17"/>
        <v>Net Zero Re-opener</v>
      </c>
      <c r="F390" s="268"/>
      <c r="G390" s="82" t="s">
        <v>209</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3" t="str">
        <f>SelectedInputs!AJ79</f>
        <v>Re-opener</v>
      </c>
      <c r="AK390" s="353"/>
      <c r="AL390" s="353" t="str">
        <f>SelectedInputs!AL79</f>
        <v>RPEs Don't Apply</v>
      </c>
      <c r="AM390" s="353">
        <f>SelectedInputs!AM79</f>
        <v>2</v>
      </c>
      <c r="AN390" s="515"/>
      <c r="AO390" s="287">
        <f>SelectedInputs!AO79</f>
        <v>1</v>
      </c>
      <c r="AP390" s="287">
        <f>SelectedInputs!AP79</f>
        <v>0</v>
      </c>
      <c r="AQ390" s="287">
        <f>SelectedInputs!AQ79</f>
        <v>0</v>
      </c>
      <c r="AR390" s="287">
        <f>SelectedInputs!AR79</f>
        <v>0</v>
      </c>
      <c r="AS390" s="287">
        <f>SelectedInputs!AS79</f>
        <v>0</v>
      </c>
      <c r="AT390" s="287">
        <f>SelectedInputs!AT79</f>
        <v>0</v>
      </c>
      <c r="AU390" s="287">
        <f>SelectedInputs!AU79</f>
        <v>0</v>
      </c>
      <c r="AV390" s="521"/>
    </row>
    <row r="391" spans="1:48" ht="15.75">
      <c r="A391" s="82"/>
      <c r="B391" s="82"/>
      <c r="C391" s="82"/>
      <c r="D391" s="82"/>
      <c r="E391" s="82" t="str">
        <f t="shared" si="17"/>
        <v>Coordinated Adjustment Mechanism Re-opener</v>
      </c>
      <c r="F391" s="268"/>
      <c r="G391" s="82" t="s">
        <v>209</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3" t="str">
        <f>SelectedInputs!AJ80</f>
        <v>Re-opener</v>
      </c>
      <c r="AK391" s="353"/>
      <c r="AL391" s="353" t="str">
        <f>SelectedInputs!AL80</f>
        <v>RPEs Don't Apply</v>
      </c>
      <c r="AM391" s="353">
        <f>SelectedInputs!AM80</f>
        <v>2</v>
      </c>
      <c r="AN391" s="515"/>
      <c r="AO391" s="287">
        <f>SelectedInputs!AO80</f>
        <v>0</v>
      </c>
      <c r="AP391" s="287">
        <f>SelectedInputs!AP80</f>
        <v>0</v>
      </c>
      <c r="AQ391" s="287">
        <f>SelectedInputs!AQ80</f>
        <v>1</v>
      </c>
      <c r="AR391" s="287">
        <f>SelectedInputs!AR80</f>
        <v>0</v>
      </c>
      <c r="AS391" s="287">
        <f>SelectedInputs!AS80</f>
        <v>0</v>
      </c>
      <c r="AT391" s="287">
        <f>SelectedInputs!AT80</f>
        <v>0</v>
      </c>
      <c r="AU391" s="287">
        <f>SelectedInputs!AU80</f>
        <v>0</v>
      </c>
      <c r="AV391" s="521"/>
    </row>
    <row r="392" spans="1:48" ht="15.75">
      <c r="A392" s="82"/>
      <c r="B392" s="82"/>
      <c r="C392" s="82"/>
      <c r="D392" s="82"/>
      <c r="E392" s="82" t="str">
        <f t="shared" si="17"/>
        <v>Electricity System Restoration Re-opener</v>
      </c>
      <c r="F392" s="268"/>
      <c r="G392" s="82" t="s">
        <v>209</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3" t="str">
        <f>SelectedInputs!AJ81</f>
        <v>Re-opener</v>
      </c>
      <c r="AK392" s="353"/>
      <c r="AL392" s="353" t="str">
        <f>SelectedInputs!AL81</f>
        <v>RPEs Don't Apply</v>
      </c>
      <c r="AM392" s="353">
        <f>SelectedInputs!AM81</f>
        <v>2</v>
      </c>
      <c r="AN392" s="515"/>
      <c r="AO392" s="287">
        <f>SelectedInputs!AO81</f>
        <v>0</v>
      </c>
      <c r="AP392" s="287">
        <f>SelectedInputs!AP81</f>
        <v>1</v>
      </c>
      <c r="AQ392" s="287">
        <f>SelectedInputs!AQ81</f>
        <v>0</v>
      </c>
      <c r="AR392" s="287">
        <f>SelectedInputs!AR81</f>
        <v>0</v>
      </c>
      <c r="AS392" s="287">
        <f>SelectedInputs!AS81</f>
        <v>0</v>
      </c>
      <c r="AT392" s="287">
        <f>SelectedInputs!AT81</f>
        <v>0</v>
      </c>
      <c r="AU392" s="287">
        <f>SelectedInputs!AU81</f>
        <v>0</v>
      </c>
      <c r="AV392" s="521"/>
    </row>
    <row r="393" spans="1:48" ht="15.75">
      <c r="A393" s="82"/>
      <c r="B393" s="82"/>
      <c r="C393" s="82"/>
      <c r="D393" s="82"/>
      <c r="E393" s="82" t="str">
        <f t="shared" si="17"/>
        <v>Environmental Re-opener</v>
      </c>
      <c r="F393" s="268"/>
      <c r="G393" s="82" t="s">
        <v>209</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3" t="str">
        <f>SelectedInputs!AJ82</f>
        <v>Re-opener</v>
      </c>
      <c r="AK393" s="353"/>
      <c r="AL393" s="353" t="str">
        <f>SelectedInputs!AL82</f>
        <v>RPEs Don't Apply</v>
      </c>
      <c r="AM393" s="353">
        <f>SelectedInputs!AM82</f>
        <v>2</v>
      </c>
      <c r="AN393" s="515"/>
      <c r="AO393" s="287">
        <f>SelectedInputs!AO82</f>
        <v>0</v>
      </c>
      <c r="AP393" s="287">
        <f>SelectedInputs!AP82</f>
        <v>1</v>
      </c>
      <c r="AQ393" s="287">
        <f>SelectedInputs!AQ82</f>
        <v>0</v>
      </c>
      <c r="AR393" s="287">
        <f>SelectedInputs!AR82</f>
        <v>0</v>
      </c>
      <c r="AS393" s="287">
        <f>SelectedInputs!AS82</f>
        <v>0</v>
      </c>
      <c r="AT393" s="287">
        <f>SelectedInputs!AT82</f>
        <v>0</v>
      </c>
      <c r="AU393" s="287">
        <f>SelectedInputs!AU82</f>
        <v>0</v>
      </c>
      <c r="AV393" s="521"/>
    </row>
    <row r="394" spans="1:48" ht="15.75">
      <c r="A394" s="82"/>
      <c r="B394" s="82"/>
      <c r="C394" s="82"/>
      <c r="D394" s="82"/>
      <c r="E394" s="82" t="str">
        <f t="shared" si="17"/>
        <v>Network Asset Risk Metric Expenditure</v>
      </c>
      <c r="F394" s="268"/>
      <c r="G394" s="82" t="s">
        <v>209</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3" t="str">
        <f>SelectedInputs!AJ83</f>
        <v>PCD</v>
      </c>
      <c r="AK394" s="353"/>
      <c r="AL394" s="353" t="str">
        <f>SelectedInputs!AL83</f>
        <v>RPEs Apply</v>
      </c>
      <c r="AM394" s="353">
        <f>SelectedInputs!AM83</f>
        <v>1</v>
      </c>
      <c r="AN394" s="515"/>
      <c r="AO394" s="287">
        <f>SelectedInputs!AO83</f>
        <v>0</v>
      </c>
      <c r="AP394" s="287">
        <f>SelectedInputs!AP83</f>
        <v>1</v>
      </c>
      <c r="AQ394" s="287">
        <f>SelectedInputs!AQ83</f>
        <v>0</v>
      </c>
      <c r="AR394" s="287">
        <f>SelectedInputs!AR83</f>
        <v>0</v>
      </c>
      <c r="AS394" s="287">
        <f>SelectedInputs!AS83</f>
        <v>0</v>
      </c>
      <c r="AT394" s="287">
        <f>SelectedInputs!AT83</f>
        <v>0</v>
      </c>
      <c r="AU394" s="287">
        <f>SelectedInputs!AU83</f>
        <v>0</v>
      </c>
      <c r="AV394" s="521"/>
    </row>
    <row r="395" spans="1:48" ht="15.75">
      <c r="A395" s="82"/>
      <c r="B395" s="82"/>
      <c r="C395" s="82"/>
      <c r="D395" s="82"/>
      <c r="E395" s="82" t="str">
        <f t="shared" si="17"/>
        <v>Load Related Expenditure: Secondary Reinforcement</v>
      </c>
      <c r="F395" s="268"/>
      <c r="G395" s="82" t="s">
        <v>209</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3" t="str">
        <f>SelectedInputs!AJ84</f>
        <v>Volume driver</v>
      </c>
      <c r="AK395" s="353"/>
      <c r="AL395" s="353" t="str">
        <f>SelectedInputs!AL84</f>
        <v>RPEs Apply</v>
      </c>
      <c r="AM395" s="353">
        <f>SelectedInputs!AM84</f>
        <v>2</v>
      </c>
      <c r="AN395" s="515"/>
      <c r="AO395" s="287">
        <f>SelectedInputs!AO84</f>
        <v>1</v>
      </c>
      <c r="AP395" s="287">
        <f>SelectedInputs!AP84</f>
        <v>0</v>
      </c>
      <c r="AQ395" s="287">
        <f>SelectedInputs!AQ84</f>
        <v>0</v>
      </c>
      <c r="AR395" s="287">
        <f>SelectedInputs!AR84</f>
        <v>0</v>
      </c>
      <c r="AS395" s="287">
        <f>SelectedInputs!AS84</f>
        <v>0</v>
      </c>
      <c r="AT395" s="287">
        <f>SelectedInputs!AT84</f>
        <v>0</v>
      </c>
      <c r="AU395" s="287">
        <f>SelectedInputs!AU84</f>
        <v>0</v>
      </c>
      <c r="AV395" s="521"/>
    </row>
    <row r="396" spans="1:48" ht="15.75">
      <c r="A396" s="82"/>
      <c r="B396" s="82"/>
      <c r="C396" s="82"/>
      <c r="D396" s="82"/>
      <c r="E396" s="82" t="str">
        <f t="shared" si="17"/>
        <v>Load Related Expenditure: Low Voltage Services</v>
      </c>
      <c r="F396" s="268"/>
      <c r="G396" s="82" t="s">
        <v>209</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3" t="str">
        <f>SelectedInputs!AJ85</f>
        <v>Volume driver</v>
      </c>
      <c r="AK396" s="353"/>
      <c r="AL396" s="353" t="str">
        <f>SelectedInputs!AL85</f>
        <v>RPEs Apply</v>
      </c>
      <c r="AM396" s="353">
        <f>SelectedInputs!AM85</f>
        <v>2</v>
      </c>
      <c r="AN396" s="515"/>
      <c r="AO396" s="287">
        <f>SelectedInputs!AO85</f>
        <v>1</v>
      </c>
      <c r="AP396" s="287">
        <f>SelectedInputs!AP85</f>
        <v>0</v>
      </c>
      <c r="AQ396" s="287">
        <f>SelectedInputs!AQ85</f>
        <v>0</v>
      </c>
      <c r="AR396" s="287">
        <f>SelectedInputs!AR85</f>
        <v>0</v>
      </c>
      <c r="AS396" s="287">
        <f>SelectedInputs!AS85</f>
        <v>0</v>
      </c>
      <c r="AT396" s="287">
        <f>SelectedInputs!AT85</f>
        <v>0</v>
      </c>
      <c r="AU396" s="287">
        <f>SelectedInputs!AU85</f>
        <v>0</v>
      </c>
      <c r="AV396" s="521"/>
    </row>
    <row r="397" spans="1:48" ht="15.75">
      <c r="A397" s="82"/>
      <c r="B397" s="82"/>
      <c r="C397" s="82"/>
      <c r="D397" s="82"/>
      <c r="E397" s="82" t="str">
        <f t="shared" si="17"/>
        <v>Load Related Expenditure Re-opener</v>
      </c>
      <c r="F397" s="268"/>
      <c r="G397" s="82" t="s">
        <v>209</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3" t="str">
        <f>SelectedInputs!AJ86</f>
        <v>Re-opener</v>
      </c>
      <c r="AK397" s="353"/>
      <c r="AL397" s="353" t="str">
        <f>SelectedInputs!AL86</f>
        <v>RPEs Don't Apply</v>
      </c>
      <c r="AM397" s="353">
        <f>SelectedInputs!AM86</f>
        <v>2</v>
      </c>
      <c r="AN397" s="515"/>
      <c r="AO397" s="287">
        <f>SelectedInputs!AO86</f>
        <v>1</v>
      </c>
      <c r="AP397" s="287">
        <f>SelectedInputs!AP86</f>
        <v>0</v>
      </c>
      <c r="AQ397" s="287">
        <f>SelectedInputs!AQ86</f>
        <v>0</v>
      </c>
      <c r="AR397" s="287">
        <f>SelectedInputs!AR86</f>
        <v>0</v>
      </c>
      <c r="AS397" s="287">
        <f>SelectedInputs!AS86</f>
        <v>0</v>
      </c>
      <c r="AT397" s="287">
        <f>SelectedInputs!AT86</f>
        <v>0</v>
      </c>
      <c r="AU397" s="287">
        <f>SelectedInputs!AU86</f>
        <v>0</v>
      </c>
      <c r="AV397" s="521"/>
    </row>
    <row r="398" spans="1:48" ht="15.75">
      <c r="A398" s="82"/>
      <c r="B398" s="82"/>
      <c r="C398" s="82"/>
      <c r="D398" s="82"/>
      <c r="E398" s="82" t="str">
        <f t="shared" si="17"/>
        <v>Digitalisation Re-opener</v>
      </c>
      <c r="F398" s="268"/>
      <c r="G398" s="82" t="s">
        <v>209</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3" t="str">
        <f>SelectedInputs!AJ87</f>
        <v>Re-opener</v>
      </c>
      <c r="AK398" s="353"/>
      <c r="AL398" s="353" t="str">
        <f>SelectedInputs!AL87</f>
        <v>RPEs Don't Apply</v>
      </c>
      <c r="AM398" s="353">
        <f>SelectedInputs!AM87</f>
        <v>2</v>
      </c>
      <c r="AN398" s="515"/>
      <c r="AO398" s="287">
        <f>SelectedInputs!AO87</f>
        <v>0</v>
      </c>
      <c r="AP398" s="287">
        <f>SelectedInputs!AP87</f>
        <v>0</v>
      </c>
      <c r="AQ398" s="287">
        <f>SelectedInputs!AQ87</f>
        <v>0.5</v>
      </c>
      <c r="AR398" s="287">
        <f>SelectedInputs!AR87</f>
        <v>0</v>
      </c>
      <c r="AS398" s="287">
        <f>SelectedInputs!AS87</f>
        <v>0</v>
      </c>
      <c r="AT398" s="287">
        <f>SelectedInputs!AT87</f>
        <v>0</v>
      </c>
      <c r="AU398" s="287">
        <f>SelectedInputs!AU87</f>
        <v>0.5</v>
      </c>
      <c r="AV398" s="521"/>
    </row>
    <row r="399" spans="1:48" ht="15.75">
      <c r="A399" s="82"/>
      <c r="B399" s="82"/>
      <c r="C399" s="82"/>
      <c r="D399" s="82"/>
      <c r="E399" s="82" t="str">
        <f t="shared" si="17"/>
        <v>PCB Interventions</v>
      </c>
      <c r="F399" s="268"/>
      <c r="G399" s="82" t="s">
        <v>209</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3" t="str">
        <f>SelectedInputs!AJ88</f>
        <v>Volume driver</v>
      </c>
      <c r="AK399" s="353"/>
      <c r="AL399" s="353" t="str">
        <f>SelectedInputs!AL88</f>
        <v>RPEs Apply</v>
      </c>
      <c r="AM399" s="353">
        <f>SelectedInputs!AM88</f>
        <v>2</v>
      </c>
      <c r="AN399" s="515"/>
      <c r="AO399" s="287">
        <f>SelectedInputs!AO88</f>
        <v>0</v>
      </c>
      <c r="AP399" s="287">
        <f>SelectedInputs!AP88</f>
        <v>1</v>
      </c>
      <c r="AQ399" s="287">
        <f>SelectedInputs!AQ88</f>
        <v>0</v>
      </c>
      <c r="AR399" s="287">
        <f>SelectedInputs!AR88</f>
        <v>0</v>
      </c>
      <c r="AS399" s="287">
        <f>SelectedInputs!AS88</f>
        <v>0</v>
      </c>
      <c r="AT399" s="287">
        <f>SelectedInputs!AT88</f>
        <v>0</v>
      </c>
      <c r="AU399" s="287">
        <f>SelectedInputs!AU88</f>
        <v>0</v>
      </c>
      <c r="AV399" s="521"/>
    </row>
    <row r="400" spans="1:48" ht="15.75">
      <c r="A400" s="82"/>
      <c r="B400" s="82"/>
      <c r="C400" s="82"/>
      <c r="D400" s="82"/>
      <c r="E400" s="82" t="str">
        <f t="shared" si="17"/>
        <v>Visual Amenity Projects</v>
      </c>
      <c r="F400" s="268"/>
      <c r="G400" s="82" t="s">
        <v>209</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3" t="str">
        <f>SelectedInputs!AJ89</f>
        <v>UIOLI</v>
      </c>
      <c r="AK400" s="353"/>
      <c r="AL400" s="353" t="str">
        <f>SelectedInputs!AL89</f>
        <v>RPEs Don't Apply</v>
      </c>
      <c r="AM400" s="353">
        <f>SelectedInputs!AM89</f>
        <v>1</v>
      </c>
      <c r="AN400" s="515"/>
      <c r="AO400" s="287">
        <f>SelectedInputs!AO89</f>
        <v>0</v>
      </c>
      <c r="AP400" s="287">
        <f>SelectedInputs!AP89</f>
        <v>0</v>
      </c>
      <c r="AQ400" s="287">
        <f>SelectedInputs!AQ89</f>
        <v>1</v>
      </c>
      <c r="AR400" s="287">
        <f>SelectedInputs!AR89</f>
        <v>0</v>
      </c>
      <c r="AS400" s="287">
        <f>SelectedInputs!AS89</f>
        <v>0</v>
      </c>
      <c r="AT400" s="287">
        <f>SelectedInputs!AT89</f>
        <v>0</v>
      </c>
      <c r="AU400" s="287">
        <f>SelectedInputs!AU89</f>
        <v>0</v>
      </c>
      <c r="AV400" s="521"/>
    </row>
    <row r="401" spans="1:48" ht="15.75">
      <c r="A401" s="82"/>
      <c r="B401" s="82"/>
      <c r="C401" s="82"/>
      <c r="D401" s="82"/>
      <c r="E401" s="82" t="str">
        <f t="shared" si="17"/>
        <v>Cyber Resilience OT baseline</v>
      </c>
      <c r="F401" s="268"/>
      <c r="G401" s="82" t="s">
        <v>209</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3" t="str">
        <f>SelectedInputs!AJ90</f>
        <v>PCD</v>
      </c>
      <c r="AK401" s="353"/>
      <c r="AL401" s="353" t="str">
        <f>SelectedInputs!AL90</f>
        <v>RPEs Apply</v>
      </c>
      <c r="AM401" s="353">
        <f>SelectedInputs!AM90</f>
        <v>1</v>
      </c>
      <c r="AN401" s="515"/>
      <c r="AO401" s="287">
        <f>SelectedInputs!AO90</f>
        <v>0</v>
      </c>
      <c r="AP401" s="287">
        <f>SelectedInputs!AP90</f>
        <v>0</v>
      </c>
      <c r="AQ401" s="287">
        <f>SelectedInputs!AQ90</f>
        <v>1</v>
      </c>
      <c r="AR401" s="287">
        <f>SelectedInputs!AR90</f>
        <v>0</v>
      </c>
      <c r="AS401" s="287">
        <f>SelectedInputs!AS90</f>
        <v>0</v>
      </c>
      <c r="AT401" s="287">
        <f>SelectedInputs!AT90</f>
        <v>0</v>
      </c>
      <c r="AU401" s="287">
        <f>SelectedInputs!AU90</f>
        <v>0</v>
      </c>
      <c r="AV401" s="521"/>
    </row>
    <row r="402" spans="1:48" ht="15.75">
      <c r="A402" s="82"/>
      <c r="B402" s="82"/>
      <c r="C402" s="82"/>
      <c r="D402" s="82"/>
      <c r="E402" s="82" t="str">
        <f t="shared" si="17"/>
        <v>Cyber Resilience OT Re-opener</v>
      </c>
      <c r="F402" s="268"/>
      <c r="G402" s="82" t="s">
        <v>209</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3" t="str">
        <f>SelectedInputs!AJ91</f>
        <v>Re-opener</v>
      </c>
      <c r="AK402" s="353"/>
      <c r="AL402" s="353" t="str">
        <f>SelectedInputs!AL91</f>
        <v>RPEs Don't Apply</v>
      </c>
      <c r="AM402" s="353">
        <f>SelectedInputs!AM91</f>
        <v>2</v>
      </c>
      <c r="AN402" s="515"/>
      <c r="AO402" s="287">
        <f>SelectedInputs!AO91</f>
        <v>0</v>
      </c>
      <c r="AP402" s="287">
        <f>SelectedInputs!AP91</f>
        <v>0</v>
      </c>
      <c r="AQ402" s="287">
        <f>SelectedInputs!AQ91</f>
        <v>1</v>
      </c>
      <c r="AR402" s="287">
        <f>SelectedInputs!AR91</f>
        <v>0</v>
      </c>
      <c r="AS402" s="287">
        <f>SelectedInputs!AS91</f>
        <v>0</v>
      </c>
      <c r="AT402" s="287">
        <f>SelectedInputs!AT91</f>
        <v>0</v>
      </c>
      <c r="AU402" s="287">
        <f>SelectedInputs!AU91</f>
        <v>0</v>
      </c>
      <c r="AV402" s="521"/>
    </row>
    <row r="403" spans="1:48" ht="15.75">
      <c r="A403" s="82"/>
      <c r="B403" s="82"/>
      <c r="C403" s="82"/>
      <c r="D403" s="82"/>
      <c r="E403" s="82" t="str">
        <f t="shared" si="17"/>
        <v>Cyber Resilience IT Re-opener</v>
      </c>
      <c r="F403" s="268"/>
      <c r="G403" s="82" t="s">
        <v>209</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3" t="str">
        <f>SelectedInputs!AJ92</f>
        <v>Re-opener</v>
      </c>
      <c r="AK403" s="353"/>
      <c r="AL403" s="353" t="str">
        <f>SelectedInputs!AL92</f>
        <v>RPEs Don't Apply</v>
      </c>
      <c r="AM403" s="353">
        <f>SelectedInputs!AM92</f>
        <v>2</v>
      </c>
      <c r="AN403" s="515"/>
      <c r="AO403" s="287">
        <f>SelectedInputs!AO92</f>
        <v>0</v>
      </c>
      <c r="AP403" s="287">
        <f>SelectedInputs!AP92</f>
        <v>0</v>
      </c>
      <c r="AQ403" s="287">
        <f>SelectedInputs!AQ92</f>
        <v>0</v>
      </c>
      <c r="AR403" s="287">
        <f>SelectedInputs!AR92</f>
        <v>0</v>
      </c>
      <c r="AS403" s="287">
        <f>SelectedInputs!AS92</f>
        <v>0</v>
      </c>
      <c r="AT403" s="287">
        <f>SelectedInputs!AT92</f>
        <v>0</v>
      </c>
      <c r="AU403" s="287">
        <f>SelectedInputs!AU92</f>
        <v>1</v>
      </c>
      <c r="AV403" s="521"/>
    </row>
    <row r="404" spans="1:48" ht="15.75">
      <c r="A404" s="82"/>
      <c r="B404" s="82"/>
      <c r="C404" s="82"/>
      <c r="D404" s="82"/>
      <c r="E404" s="82" t="str">
        <f t="shared" si="17"/>
        <v>Off-gas Grid Mechanistic Price Control Deliverable</v>
      </c>
      <c r="F404" s="268"/>
      <c r="G404" s="82" t="s">
        <v>209</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3" t="str">
        <f>SelectedInputs!AJ93</f>
        <v>PCD</v>
      </c>
      <c r="AK404" s="353"/>
      <c r="AL404" s="353" t="str">
        <f>SelectedInputs!AL93</f>
        <v>RPEs Apply</v>
      </c>
      <c r="AM404" s="353">
        <f>SelectedInputs!AM93</f>
        <v>1</v>
      </c>
      <c r="AN404" s="515"/>
      <c r="AO404" s="287">
        <f>SelectedInputs!AO93</f>
        <v>1</v>
      </c>
      <c r="AP404" s="287">
        <f>SelectedInputs!AP93</f>
        <v>0</v>
      </c>
      <c r="AQ404" s="287">
        <f>SelectedInputs!AQ93</f>
        <v>0</v>
      </c>
      <c r="AR404" s="287">
        <f>SelectedInputs!AR93</f>
        <v>0</v>
      </c>
      <c r="AS404" s="287">
        <f>SelectedInputs!AS93</f>
        <v>0</v>
      </c>
      <c r="AT404" s="287">
        <f>SelectedInputs!AT93</f>
        <v>0</v>
      </c>
      <c r="AU404" s="287">
        <f>SelectedInputs!AU93</f>
        <v>0</v>
      </c>
      <c r="AV404" s="521"/>
    </row>
    <row r="405" spans="1:48" ht="15.75">
      <c r="A405" s="82"/>
      <c r="B405" s="82"/>
      <c r="C405" s="82"/>
      <c r="D405" s="82"/>
      <c r="E405" s="82" t="str">
        <f t="shared" si="17"/>
        <v>Shetland Link Contribution (SSEH only)</v>
      </c>
      <c r="F405" s="268"/>
      <c r="G405" s="82" t="s">
        <v>209</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3" t="str">
        <f>SelectedInputs!AJ94</f>
        <v>Other</v>
      </c>
      <c r="AK405" s="353"/>
      <c r="AL405" s="353" t="str">
        <f>SelectedInputs!AL94</f>
        <v>RPEs Don't Apply</v>
      </c>
      <c r="AM405" s="353">
        <f>SelectedInputs!AM94</f>
        <v>2</v>
      </c>
      <c r="AN405" s="515"/>
      <c r="AO405" s="287">
        <f>SelectedInputs!AO94</f>
        <v>0</v>
      </c>
      <c r="AP405" s="287">
        <f>SelectedInputs!AP94</f>
        <v>0</v>
      </c>
      <c r="AQ405" s="287">
        <f>SelectedInputs!AQ94</f>
        <v>0.9</v>
      </c>
      <c r="AR405" s="287">
        <f>SelectedInputs!AR94</f>
        <v>0</v>
      </c>
      <c r="AS405" s="287">
        <f>SelectedInputs!AS94</f>
        <v>0</v>
      </c>
      <c r="AT405" s="287">
        <f>SelectedInputs!AT94</f>
        <v>0</v>
      </c>
      <c r="AU405" s="287">
        <f>SelectedInputs!AU94</f>
        <v>0.1</v>
      </c>
      <c r="AV405" s="521"/>
    </row>
    <row r="406" spans="1:48" ht="15.75">
      <c r="A406" s="82"/>
      <c r="B406" s="82"/>
      <c r="C406" s="82"/>
      <c r="D406" s="82"/>
      <c r="E406" s="82" t="str">
        <f t="shared" si="17"/>
        <v>West Coast of Cumbria Re-opener (ENWL only)</v>
      </c>
      <c r="F406" s="268"/>
      <c r="G406" s="82" t="s">
        <v>209</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3" t="str">
        <f>SelectedInputs!AJ95</f>
        <v>Re-opener</v>
      </c>
      <c r="AK406" s="353"/>
      <c r="AL406" s="353" t="str">
        <f>SelectedInputs!AL95</f>
        <v>RPEs Don't Apply</v>
      </c>
      <c r="AM406" s="353">
        <f>SelectedInputs!AM95</f>
        <v>2</v>
      </c>
      <c r="AN406" s="515"/>
      <c r="AO406" s="287">
        <f>SelectedInputs!AO95</f>
        <v>0</v>
      </c>
      <c r="AP406" s="287">
        <f>SelectedInputs!AP95</f>
        <v>0</v>
      </c>
      <c r="AQ406" s="287">
        <f>SelectedInputs!AQ95</f>
        <v>1</v>
      </c>
      <c r="AR406" s="287">
        <f>SelectedInputs!AR95</f>
        <v>0</v>
      </c>
      <c r="AS406" s="287">
        <f>SelectedInputs!AS95</f>
        <v>0</v>
      </c>
      <c r="AT406" s="287">
        <f>SelectedInputs!AT95</f>
        <v>0</v>
      </c>
      <c r="AU406" s="287">
        <f>SelectedInputs!AU95</f>
        <v>0</v>
      </c>
      <c r="AV406" s="521"/>
    </row>
    <row r="407" spans="1:48" ht="15.75">
      <c r="A407" s="82"/>
      <c r="B407" s="82"/>
      <c r="C407" s="82"/>
      <c r="D407" s="82"/>
      <c r="E407" s="82" t="str">
        <f t="shared" si="17"/>
        <v>Shetland Enduring Solution Re-opener (SSEH only)</v>
      </c>
      <c r="F407" s="268"/>
      <c r="G407" s="82" t="s">
        <v>209</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3" t="str">
        <f>SelectedInputs!AJ96</f>
        <v>Re-opener</v>
      </c>
      <c r="AK407" s="353"/>
      <c r="AL407" s="353" t="str">
        <f>SelectedInputs!AL96</f>
        <v>RPEs Don't Apply</v>
      </c>
      <c r="AM407" s="353">
        <f>SelectedInputs!AM96</f>
        <v>2</v>
      </c>
      <c r="AN407" s="515"/>
      <c r="AO407" s="287">
        <f>SelectedInputs!AO96</f>
        <v>0</v>
      </c>
      <c r="AP407" s="287">
        <f>SelectedInputs!AP96</f>
        <v>0</v>
      </c>
      <c r="AQ407" s="287">
        <f>SelectedInputs!AQ96</f>
        <v>0</v>
      </c>
      <c r="AR407" s="287">
        <f>SelectedInputs!AR96</f>
        <v>0</v>
      </c>
      <c r="AS407" s="287">
        <f>SelectedInputs!AS96</f>
        <v>0</v>
      </c>
      <c r="AT407" s="287">
        <f>SelectedInputs!AT96</f>
        <v>0</v>
      </c>
      <c r="AU407" s="287">
        <f>SelectedInputs!AU96</f>
        <v>1</v>
      </c>
      <c r="AV407" s="521"/>
    </row>
    <row r="408" spans="1:48" ht="15.75">
      <c r="A408" s="82"/>
      <c r="B408" s="82"/>
      <c r="C408" s="82"/>
      <c r="D408" s="82"/>
      <c r="E408" s="82" t="str">
        <f t="shared" si="17"/>
        <v>Shetland Extension Fixed Energy Costs Re-opener (SSEH only)</v>
      </c>
      <c r="F408" s="268"/>
      <c r="G408" s="82" t="s">
        <v>209</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3" t="str">
        <f>SelectedInputs!AJ97</f>
        <v>Re-opener</v>
      </c>
      <c r="AK408" s="353"/>
      <c r="AL408" s="353" t="str">
        <f>SelectedInputs!AL97</f>
        <v>RPEs Don't Apply</v>
      </c>
      <c r="AM408" s="353">
        <f>SelectedInputs!AM97</f>
        <v>2</v>
      </c>
      <c r="AN408" s="515"/>
      <c r="AO408" s="287">
        <f>SelectedInputs!AO97</f>
        <v>0</v>
      </c>
      <c r="AP408" s="287">
        <f>SelectedInputs!AP97</f>
        <v>1</v>
      </c>
      <c r="AQ408" s="287">
        <f>SelectedInputs!AQ97</f>
        <v>0</v>
      </c>
      <c r="AR408" s="287">
        <f>SelectedInputs!AR97</f>
        <v>0</v>
      </c>
      <c r="AS408" s="287">
        <f>SelectedInputs!AS97</f>
        <v>0</v>
      </c>
      <c r="AT408" s="287">
        <f>SelectedInputs!AT97</f>
        <v>0</v>
      </c>
      <c r="AU408" s="287">
        <f>SelectedInputs!AU97</f>
        <v>0</v>
      </c>
      <c r="AV408" s="521"/>
    </row>
    <row r="409" spans="1:48" ht="15.75">
      <c r="A409" s="82"/>
      <c r="B409" s="82"/>
      <c r="C409" s="82"/>
      <c r="D409" s="82"/>
      <c r="E409" s="82" t="str">
        <f t="shared" si="17"/>
        <v>Hebrides and Orkney Re-opener (SSEH only)</v>
      </c>
      <c r="F409" s="268"/>
      <c r="G409" s="82" t="s">
        <v>209</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3" t="str">
        <f>SelectedInputs!AJ98</f>
        <v>Re-opener</v>
      </c>
      <c r="AK409" s="353"/>
      <c r="AL409" s="353" t="str">
        <f>SelectedInputs!AL98</f>
        <v>RPEs Don't Apply</v>
      </c>
      <c r="AM409" s="353">
        <f>SelectedInputs!AM98</f>
        <v>2</v>
      </c>
      <c r="AN409" s="515"/>
      <c r="AO409" s="287">
        <f>SelectedInputs!AO98</f>
        <v>0</v>
      </c>
      <c r="AP409" s="287">
        <f>SelectedInputs!AP98</f>
        <v>1</v>
      </c>
      <c r="AQ409" s="287">
        <f>SelectedInputs!AQ98</f>
        <v>0</v>
      </c>
      <c r="AR409" s="287">
        <f>SelectedInputs!AR98</f>
        <v>0</v>
      </c>
      <c r="AS409" s="287">
        <f>SelectedInputs!AS98</f>
        <v>0</v>
      </c>
      <c r="AT409" s="287">
        <f>SelectedInputs!AT98</f>
        <v>0</v>
      </c>
      <c r="AU409" s="287">
        <f>SelectedInputs!AU98</f>
        <v>0</v>
      </c>
      <c r="AV409" s="521"/>
    </row>
    <row r="410" spans="1:48" ht="15.75">
      <c r="A410" s="82"/>
      <c r="B410" s="82"/>
      <c r="C410" s="82"/>
      <c r="D410" s="82"/>
      <c r="E410" s="82" t="str">
        <f t="shared" si="17"/>
        <v>Smart Street Mechanistic Price Control Deliverable (ENWL only)</v>
      </c>
      <c r="F410" s="268"/>
      <c r="G410" s="82" t="s">
        <v>209</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3" t="str">
        <f>SelectedInputs!AJ99</f>
        <v>PCD</v>
      </c>
      <c r="AK410" s="353"/>
      <c r="AL410" s="353" t="str">
        <f>SelectedInputs!AL99</f>
        <v>RPEs Apply</v>
      </c>
      <c r="AM410" s="353">
        <f>SelectedInputs!AM99</f>
        <v>1</v>
      </c>
      <c r="AN410" s="515"/>
      <c r="AO410" s="287">
        <f>SelectedInputs!AO99</f>
        <v>1</v>
      </c>
      <c r="AP410" s="287">
        <f>SelectedInputs!AP99</f>
        <v>0</v>
      </c>
      <c r="AQ410" s="287">
        <f>SelectedInputs!AQ99</f>
        <v>0</v>
      </c>
      <c r="AR410" s="287">
        <f>SelectedInputs!AR99</f>
        <v>0</v>
      </c>
      <c r="AS410" s="287">
        <f>SelectedInputs!AS99</f>
        <v>0</v>
      </c>
      <c r="AT410" s="287">
        <f>SelectedInputs!AT99</f>
        <v>0</v>
      </c>
      <c r="AU410" s="287">
        <f>SelectedInputs!AU99</f>
        <v>0</v>
      </c>
      <c r="AV410" s="521"/>
    </row>
    <row r="411" spans="1:48" ht="15.75">
      <c r="A411" s="82"/>
      <c r="B411" s="82"/>
      <c r="C411" s="82"/>
      <c r="D411" s="82"/>
      <c r="E411" s="82" t="str">
        <f t="shared" si="17"/>
        <v>Worst Served Customers</v>
      </c>
      <c r="F411" s="268"/>
      <c r="G411" s="82" t="s">
        <v>209</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3" t="str">
        <f>SelectedInputs!AJ100</f>
        <v>UIOLI</v>
      </c>
      <c r="AK411" s="353"/>
      <c r="AL411" s="353" t="str">
        <f>SelectedInputs!AL100</f>
        <v>RPEs Don't Apply</v>
      </c>
      <c r="AM411" s="353">
        <f>SelectedInputs!AM100</f>
        <v>1</v>
      </c>
      <c r="AN411" s="515"/>
      <c r="AO411" s="287">
        <f>SelectedInputs!AO100</f>
        <v>0</v>
      </c>
      <c r="AP411" s="287">
        <f>SelectedInputs!AP100</f>
        <v>0</v>
      </c>
      <c r="AQ411" s="287">
        <f>SelectedInputs!AQ100</f>
        <v>1</v>
      </c>
      <c r="AR411" s="287">
        <f>SelectedInputs!AR100</f>
        <v>0</v>
      </c>
      <c r="AS411" s="287">
        <f>SelectedInputs!AS100</f>
        <v>0</v>
      </c>
      <c r="AT411" s="287">
        <f>SelectedInputs!AT100</f>
        <v>0</v>
      </c>
      <c r="AU411" s="287">
        <f>SelectedInputs!AU100</f>
        <v>0</v>
      </c>
      <c r="AV411" s="521"/>
    </row>
    <row r="412" spans="1:48" ht="15.75">
      <c r="A412" s="82"/>
      <c r="B412" s="82"/>
      <c r="C412" s="82"/>
      <c r="D412" s="82"/>
      <c r="E412" s="82" t="str">
        <f t="shared" si="17"/>
        <v>EV Optioneering Projects</v>
      </c>
      <c r="F412" s="268"/>
      <c r="G412" s="82" t="s">
        <v>209</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SelectedInputs!AJ101</f>
        <v>UIOLI</v>
      </c>
      <c r="AK412" s="353"/>
      <c r="AL412" s="353" t="str">
        <f>SelectedInputs!AL101</f>
        <v>RPEs Don't Apply</v>
      </c>
      <c r="AM412" s="353">
        <f>SelectedInputs!AM101</f>
        <v>1</v>
      </c>
      <c r="AN412" s="515"/>
      <c r="AO412" s="287">
        <f>SelectedInputs!AO101</f>
        <v>0</v>
      </c>
      <c r="AP412" s="287">
        <f>SelectedInputs!AP101</f>
        <v>0</v>
      </c>
      <c r="AQ412" s="287">
        <f>SelectedInputs!AQ101</f>
        <v>0</v>
      </c>
      <c r="AR412" s="287">
        <f>SelectedInputs!AR101</f>
        <v>0</v>
      </c>
      <c r="AS412" s="287">
        <f>SelectedInputs!AS101</f>
        <v>0</v>
      </c>
      <c r="AT412" s="287">
        <f>SelectedInputs!AT101</f>
        <v>0</v>
      </c>
      <c r="AU412" s="287">
        <f>SelectedInputs!AU101</f>
        <v>1</v>
      </c>
      <c r="AV412" s="521"/>
    </row>
    <row r="413" spans="1:48" ht="15.75">
      <c r="A413" s="82"/>
      <c r="B413" s="82"/>
      <c r="C413" s="82"/>
      <c r="D413" s="82"/>
      <c r="E413" s="82" t="str">
        <f t="shared" si="17"/>
        <v>Cyber Resilience IT baseline</v>
      </c>
      <c r="F413" s="268"/>
      <c r="G413" s="82" t="s">
        <v>209</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SelectedInputs!AJ102</f>
        <v>PCD</v>
      </c>
      <c r="AK413" s="353"/>
      <c r="AL413" s="353" t="str">
        <f>SelectedInputs!AL102</f>
        <v>RPEs Apply</v>
      </c>
      <c r="AM413" s="353">
        <f>SelectedInputs!AM102</f>
        <v>1</v>
      </c>
      <c r="AN413" s="515"/>
      <c r="AO413" s="287">
        <f>SelectedInputs!AO102</f>
        <v>0</v>
      </c>
      <c r="AP413" s="287">
        <f>SelectedInputs!AP102</f>
        <v>0</v>
      </c>
      <c r="AQ413" s="287">
        <f>SelectedInputs!AQ102</f>
        <v>0</v>
      </c>
      <c r="AR413" s="287">
        <f>SelectedInputs!AR102</f>
        <v>0</v>
      </c>
      <c r="AS413" s="287">
        <f>SelectedInputs!AS102</f>
        <v>0</v>
      </c>
      <c r="AT413" s="287">
        <f>SelectedInputs!AT102</f>
        <v>0</v>
      </c>
      <c r="AU413" s="287">
        <f>SelectedInputs!AU102</f>
        <v>1</v>
      </c>
      <c r="AV413" s="521"/>
    </row>
    <row r="414" spans="1:48" ht="15.75">
      <c r="A414" s="82"/>
      <c r="B414" s="82"/>
      <c r="C414" s="82"/>
      <c r="D414" s="82"/>
      <c r="E414" s="82" t="str">
        <f t="shared" si="17"/>
        <v>Wayleaves and Diversions Re-opener</v>
      </c>
      <c r="F414" s="268"/>
      <c r="G414" s="82" t="s">
        <v>209</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SelectedInputs!AJ103</f>
        <v>Re-opener</v>
      </c>
      <c r="AK414" s="353"/>
      <c r="AL414" s="353" t="str">
        <f>SelectedInputs!AL103</f>
        <v>RPEs Don't Apply</v>
      </c>
      <c r="AM414" s="353">
        <f>SelectedInputs!AM103</f>
        <v>2</v>
      </c>
      <c r="AN414" s="515"/>
      <c r="AO414" s="287">
        <f>SelectedInputs!AO103</f>
        <v>0</v>
      </c>
      <c r="AP414" s="287">
        <f>SelectedInputs!AP103</f>
        <v>1</v>
      </c>
      <c r="AQ414" s="287">
        <f>SelectedInputs!AQ103</f>
        <v>0</v>
      </c>
      <c r="AR414" s="287">
        <f>SelectedInputs!AR103</f>
        <v>0</v>
      </c>
      <c r="AS414" s="287">
        <f>SelectedInputs!AS103</f>
        <v>0</v>
      </c>
      <c r="AT414" s="287">
        <f>SelectedInputs!AT103</f>
        <v>0</v>
      </c>
      <c r="AU414" s="287">
        <f>SelectedInputs!AU103</f>
        <v>0</v>
      </c>
      <c r="AV414" s="521"/>
    </row>
    <row r="415" spans="1:48" ht="15.75">
      <c r="A415" s="82"/>
      <c r="B415" s="82"/>
      <c r="C415" s="82"/>
      <c r="D415" s="82"/>
      <c r="E415" s="82" t="str">
        <f t="shared" si="17"/>
        <v>Indirects Scaler</v>
      </c>
      <c r="F415" s="268"/>
      <c r="G415" s="82" t="s">
        <v>209</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SelectedInputs!AJ104</f>
        <v>Other</v>
      </c>
      <c r="AK415" s="353"/>
      <c r="AL415" s="353" t="str">
        <f>SelectedInputs!AL104</f>
        <v>RPEs Don't Apply</v>
      </c>
      <c r="AM415" s="353">
        <f>SelectedInputs!AM104</f>
        <v>2</v>
      </c>
      <c r="AN415" s="515"/>
      <c r="AO415" s="287">
        <f>SelectedInputs!AO104</f>
        <v>0</v>
      </c>
      <c r="AP415" s="287">
        <f>SelectedInputs!AP104</f>
        <v>0</v>
      </c>
      <c r="AQ415" s="287">
        <f>SelectedInputs!AQ104</f>
        <v>0</v>
      </c>
      <c r="AR415" s="287">
        <f>SelectedInputs!AR104</f>
        <v>0</v>
      </c>
      <c r="AS415" s="287">
        <f>SelectedInputs!AS104</f>
        <v>0</v>
      </c>
      <c r="AT415" s="287">
        <f>SelectedInputs!AT104</f>
        <v>0</v>
      </c>
      <c r="AU415" s="287">
        <f>SelectedInputs!AU104</f>
        <v>1</v>
      </c>
      <c r="AV415" s="521"/>
    </row>
    <row r="416" spans="1:48" ht="15.75">
      <c r="A416" s="82"/>
      <c r="B416" s="82"/>
      <c r="C416" s="82"/>
      <c r="D416" s="82"/>
      <c r="E416" s="82" t="str">
        <f t="shared" si="17"/>
        <v>LineSIGHT Mechanistic Price Control Deliverable (ENWL only)</v>
      </c>
      <c r="F416" s="268"/>
      <c r="G416" s="82" t="s">
        <v>209</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SelectedInputs!AJ105</f>
        <v>PCD</v>
      </c>
      <c r="AK416" s="353"/>
      <c r="AL416" s="353" t="str">
        <f>SelectedInputs!AL105</f>
        <v>RPEs Apply</v>
      </c>
      <c r="AM416" s="353">
        <f>SelectedInputs!AM105</f>
        <v>1</v>
      </c>
      <c r="AN416" s="515"/>
      <c r="AO416" s="287">
        <f>SelectedInputs!AO105</f>
        <v>0</v>
      </c>
      <c r="AP416" s="287">
        <f>SelectedInputs!AP105</f>
        <v>1</v>
      </c>
      <c r="AQ416" s="287">
        <f>SelectedInputs!AQ105</f>
        <v>0</v>
      </c>
      <c r="AR416" s="287">
        <f>SelectedInputs!AR105</f>
        <v>0</v>
      </c>
      <c r="AS416" s="287">
        <f>SelectedInputs!AS105</f>
        <v>0</v>
      </c>
      <c r="AT416" s="287">
        <f>SelectedInputs!AT105</f>
        <v>0</v>
      </c>
      <c r="AU416" s="287">
        <f>SelectedInputs!AU105</f>
        <v>0</v>
      </c>
      <c r="AV416" s="521"/>
    </row>
    <row r="417" spans="1:48" ht="15.75">
      <c r="A417" s="82"/>
      <c r="B417" s="82"/>
      <c r="C417" s="82"/>
      <c r="D417" s="82"/>
      <c r="E417" s="82" t="str">
        <f t="shared" si="17"/>
        <v>New Depot (EMID, SWALES, SWEST and WMID only)</v>
      </c>
      <c r="F417" s="268"/>
      <c r="G417" s="82" t="s">
        <v>209</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SelectedInputs!AJ106</f>
        <v>PCD</v>
      </c>
      <c r="AK417" s="353"/>
      <c r="AL417" s="353" t="str">
        <f>SelectedInputs!AL106</f>
        <v>RPEs Apply</v>
      </c>
      <c r="AM417" s="353">
        <f>SelectedInputs!AM106</f>
        <v>1</v>
      </c>
      <c r="AN417" s="515"/>
      <c r="AO417" s="287">
        <f>SelectedInputs!AO106</f>
        <v>0</v>
      </c>
      <c r="AP417" s="287">
        <f>SelectedInputs!AP106</f>
        <v>0</v>
      </c>
      <c r="AQ417" s="287">
        <f>SelectedInputs!AQ106</f>
        <v>1</v>
      </c>
      <c r="AR417" s="287">
        <f>SelectedInputs!AR106</f>
        <v>0</v>
      </c>
      <c r="AS417" s="287">
        <f>SelectedInputs!AS106</f>
        <v>0</v>
      </c>
      <c r="AT417" s="287">
        <f>SelectedInputs!AT106</f>
        <v>0</v>
      </c>
      <c r="AU417" s="287">
        <f>SelectedInputs!AU106</f>
        <v>0</v>
      </c>
      <c r="AV417" s="521"/>
    </row>
    <row r="418" spans="1:48" ht="15.75">
      <c r="A418" s="82"/>
      <c r="B418" s="82"/>
      <c r="C418" s="82"/>
      <c r="D418" s="82"/>
      <c r="E418" s="82" t="str">
        <f t="shared" si="17"/>
        <v>New Control Room (SSES and SSEH only)</v>
      </c>
      <c r="F418" s="268"/>
      <c r="G418" s="82" t="s">
        <v>209</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SelectedInputs!AJ107</f>
        <v>PCD</v>
      </c>
      <c r="AK418" s="353"/>
      <c r="AL418" s="353" t="str">
        <f>SelectedInputs!AL107</f>
        <v>RPEs Apply</v>
      </c>
      <c r="AM418" s="353">
        <f>SelectedInputs!AM107</f>
        <v>1</v>
      </c>
      <c r="AN418" s="515"/>
      <c r="AO418" s="287">
        <f>SelectedInputs!AO107</f>
        <v>0</v>
      </c>
      <c r="AP418" s="287">
        <f>SelectedInputs!AP107</f>
        <v>1</v>
      </c>
      <c r="AQ418" s="287">
        <f>SelectedInputs!AQ107</f>
        <v>0</v>
      </c>
      <c r="AR418" s="287">
        <f>SelectedInputs!AR107</f>
        <v>0</v>
      </c>
      <c r="AS418" s="287">
        <f>SelectedInputs!AS107</f>
        <v>0</v>
      </c>
      <c r="AT418" s="287">
        <f>SelectedInputs!AT107</f>
        <v>0</v>
      </c>
      <c r="AU418" s="287">
        <f>SelectedInputs!AU107</f>
        <v>0</v>
      </c>
      <c r="AV418" s="521"/>
    </row>
    <row r="419" spans="1:48" ht="15.75">
      <c r="A419" s="82"/>
      <c r="B419" s="82"/>
      <c r="C419" s="82"/>
      <c r="D419" s="82"/>
      <c r="E419" s="82" t="str">
        <f t="shared" si="17"/>
        <v>Storm Arwen Re-opener</v>
      </c>
      <c r="F419" s="268"/>
      <c r="G419" s="82" t="s">
        <v>209</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SelectedInputs!AJ108</f>
        <v>Re-opener</v>
      </c>
      <c r="AK419" s="353"/>
      <c r="AL419" s="353" t="str">
        <f>SelectedInputs!AL108</f>
        <v>RPEs Don't Apply</v>
      </c>
      <c r="AM419" s="353">
        <f>SelectedInputs!AM108</f>
        <v>2</v>
      </c>
      <c r="AN419" s="515"/>
      <c r="AO419" s="287">
        <f>SelectedInputs!AO108</f>
        <v>0</v>
      </c>
      <c r="AP419" s="287">
        <f>SelectedInputs!AP108</f>
        <v>0</v>
      </c>
      <c r="AQ419" s="287">
        <f>SelectedInputs!AQ108</f>
        <v>0</v>
      </c>
      <c r="AR419" s="287">
        <f>SelectedInputs!AR108</f>
        <v>1</v>
      </c>
      <c r="AS419" s="287">
        <f>SelectedInputs!AS108</f>
        <v>0</v>
      </c>
      <c r="AT419" s="287">
        <f>SelectedInputs!AT108</f>
        <v>0</v>
      </c>
      <c r="AU419" s="287">
        <f>SelectedInputs!AU108</f>
        <v>0</v>
      </c>
      <c r="AV419" s="521"/>
    </row>
    <row r="420" spans="1:48" ht="15.75">
      <c r="A420" s="82"/>
      <c r="B420" s="82"/>
      <c r="C420" s="82"/>
      <c r="D420" s="82"/>
      <c r="E420" s="82" t="str">
        <f t="shared" si="17"/>
        <v>High Value Projects Re-opener</v>
      </c>
      <c r="F420" s="268"/>
      <c r="G420" s="82" t="s">
        <v>209</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SelectedInputs!AJ109</f>
        <v>Re-opener</v>
      </c>
      <c r="AK420" s="353"/>
      <c r="AL420" s="353" t="str">
        <f>SelectedInputs!AL109</f>
        <v>RPEs Don't Apply</v>
      </c>
      <c r="AM420" s="353">
        <f>SelectedInputs!AM109</f>
        <v>2</v>
      </c>
      <c r="AN420" s="515"/>
      <c r="AO420" s="287">
        <f>SelectedInputs!AO109</f>
        <v>0</v>
      </c>
      <c r="AP420" s="287">
        <f>SelectedInputs!AP109</f>
        <v>1</v>
      </c>
      <c r="AQ420" s="287">
        <f>SelectedInputs!AQ109</f>
        <v>0</v>
      </c>
      <c r="AR420" s="287">
        <f>SelectedInputs!AR109</f>
        <v>0</v>
      </c>
      <c r="AS420" s="287">
        <f>SelectedInputs!AS109</f>
        <v>0</v>
      </c>
      <c r="AT420" s="287">
        <f>SelectedInputs!AT109</f>
        <v>0</v>
      </c>
      <c r="AU420" s="287">
        <f>SelectedInputs!AU109</f>
        <v>0</v>
      </c>
      <c r="AV420" s="521"/>
    </row>
    <row r="421" spans="1:48" ht="15.75">
      <c r="A421" s="82"/>
      <c r="B421" s="82"/>
      <c r="C421" s="82"/>
      <c r="D421" s="82"/>
      <c r="E421" s="82" t="str">
        <f t="shared" si="17"/>
        <v>Strategic Investment</v>
      </c>
      <c r="F421" s="268"/>
      <c r="G421" s="82" t="s">
        <v>209</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SelectedInputs!AJ110</f>
        <v>Other</v>
      </c>
      <c r="AK421" s="353"/>
      <c r="AL421" s="353" t="str">
        <f>SelectedInputs!AL110</f>
        <v>RPEs Don't Apply</v>
      </c>
      <c r="AM421" s="353">
        <f>SelectedInputs!AM110</f>
        <v>2</v>
      </c>
      <c r="AN421" s="515"/>
      <c r="AO421" s="287">
        <f>SelectedInputs!AO110</f>
        <v>1</v>
      </c>
      <c r="AP421" s="287">
        <f>SelectedInputs!AP110</f>
        <v>0</v>
      </c>
      <c r="AQ421" s="287">
        <f>SelectedInputs!AQ110</f>
        <v>0</v>
      </c>
      <c r="AR421" s="287">
        <f>SelectedInputs!AR110</f>
        <v>0</v>
      </c>
      <c r="AS421" s="287">
        <f>SelectedInputs!AS110</f>
        <v>0</v>
      </c>
      <c r="AT421" s="287">
        <f>SelectedInputs!AT110</f>
        <v>0</v>
      </c>
      <c r="AU421" s="287">
        <f>SelectedInputs!AU110</f>
        <v>0</v>
      </c>
      <c r="AV421" s="521"/>
    </row>
    <row r="422" spans="1:48" ht="15.75">
      <c r="A422" s="82"/>
      <c r="B422" s="82"/>
      <c r="C422" s="82"/>
      <c r="D422" s="82"/>
      <c r="E422" s="82" t="str">
        <f t="shared" si="17"/>
        <v>Carry-over Green Recovery Scheme</v>
      </c>
      <c r="F422" s="268"/>
      <c r="G422" s="82" t="s">
        <v>209</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SelectedInputs!AJ111</f>
        <v>Other</v>
      </c>
      <c r="AK422" s="353"/>
      <c r="AL422" s="353" t="str">
        <f>SelectedInputs!AL111</f>
        <v>RPEs Don't Apply</v>
      </c>
      <c r="AM422" s="353">
        <f>SelectedInputs!AM111</f>
        <v>2</v>
      </c>
      <c r="AN422" s="515"/>
      <c r="AO422" s="287">
        <f>SelectedInputs!AO111</f>
        <v>1</v>
      </c>
      <c r="AP422" s="287">
        <f>SelectedInputs!AP111</f>
        <v>0</v>
      </c>
      <c r="AQ422" s="287">
        <f>SelectedInputs!AQ111</f>
        <v>0</v>
      </c>
      <c r="AR422" s="287">
        <f>SelectedInputs!AR111</f>
        <v>0</v>
      </c>
      <c r="AS422" s="287">
        <f>SelectedInputs!AS111</f>
        <v>0</v>
      </c>
      <c r="AT422" s="287">
        <f>SelectedInputs!AT111</f>
        <v>0</v>
      </c>
      <c r="AU422" s="287">
        <f>SelectedInputs!AU111</f>
        <v>0</v>
      </c>
      <c r="AV422" s="521"/>
    </row>
    <row r="423" spans="1:48" ht="15.75">
      <c r="A423" s="82"/>
      <c r="B423" s="82"/>
      <c r="C423" s="82"/>
      <c r="D423" s="82"/>
      <c r="E423" s="82" t="str">
        <f t="shared" si="17"/>
        <v>1-in-20 Severe Weather Event</v>
      </c>
      <c r="F423" s="268"/>
      <c r="G423" s="82" t="s">
        <v>209</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SelectedInputs!AJ112</f>
        <v>Other</v>
      </c>
      <c r="AK423" s="353"/>
      <c r="AL423" s="353" t="str">
        <f>SelectedInputs!AL112</f>
        <v>RPEs Don't Apply</v>
      </c>
      <c r="AM423" s="353">
        <f>SelectedInputs!AM112</f>
        <v>2</v>
      </c>
      <c r="AN423" s="515"/>
      <c r="AO423" s="287">
        <f>SelectedInputs!AO112</f>
        <v>0</v>
      </c>
      <c r="AP423" s="287">
        <f>SelectedInputs!AP112</f>
        <v>0</v>
      </c>
      <c r="AQ423" s="287">
        <f>SelectedInputs!AQ112</f>
        <v>0</v>
      </c>
      <c r="AR423" s="287">
        <f>SelectedInputs!AR112</f>
        <v>1</v>
      </c>
      <c r="AS423" s="287">
        <f>SelectedInputs!AS112</f>
        <v>0</v>
      </c>
      <c r="AT423" s="287">
        <f>SelectedInputs!AT112</f>
        <v>0</v>
      </c>
      <c r="AU423" s="287">
        <f>SelectedInputs!AU112</f>
        <v>0</v>
      </c>
      <c r="AV423" s="521"/>
    </row>
    <row r="424" spans="1:48" ht="15.75">
      <c r="A424" s="82"/>
      <c r="B424" s="82"/>
      <c r="C424" s="82"/>
      <c r="D424" s="82"/>
      <c r="E424" s="82" t="str">
        <f t="shared" si="17"/>
        <v>Net to Gross Load Related Expenditure</v>
      </c>
      <c r="F424" s="268"/>
      <c r="G424" s="82" t="s">
        <v>209</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t="str">
        <f>SelectedInputs!AJ113</f>
        <v>Other</v>
      </c>
      <c r="AK424" s="353"/>
      <c r="AL424" s="353" t="str">
        <f>SelectedInputs!AL113</f>
        <v>RPEs Don't Apply</v>
      </c>
      <c r="AM424" s="353">
        <f>SelectedInputs!AM113</f>
        <v>2</v>
      </c>
      <c r="AN424" s="515"/>
      <c r="AO424" s="287">
        <f>SelectedInputs!AO113</f>
        <v>1</v>
      </c>
      <c r="AP424" s="287">
        <f>SelectedInputs!AP113</f>
        <v>0</v>
      </c>
      <c r="AQ424" s="287">
        <f>SelectedInputs!AQ113</f>
        <v>0</v>
      </c>
      <c r="AR424" s="287">
        <f>SelectedInputs!AR113</f>
        <v>0</v>
      </c>
      <c r="AS424" s="287">
        <f>SelectedInputs!AS113</f>
        <v>0</v>
      </c>
      <c r="AT424" s="287">
        <f>SelectedInputs!AT113</f>
        <v>0</v>
      </c>
      <c r="AU424" s="287">
        <f>SelectedInputs!AU113</f>
        <v>0</v>
      </c>
      <c r="AV424" s="521"/>
    </row>
    <row r="425" spans="1:48" ht="15.75">
      <c r="A425" s="82"/>
      <c r="B425" s="82"/>
      <c r="C425" s="82"/>
      <c r="D425" s="82"/>
      <c r="E425" s="82">
        <f t="shared" si="17"/>
        <v>0</v>
      </c>
      <c r="F425" s="268"/>
      <c r="G425" s="82" t="s">
        <v>209</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f>SelectedInputs!AJ114</f>
        <v>0</v>
      </c>
      <c r="AK425" s="353"/>
      <c r="AL425" s="353">
        <f>SelectedInputs!AL114</f>
        <v>0</v>
      </c>
      <c r="AM425" s="353">
        <f>SelectedInputs!AM114</f>
        <v>0</v>
      </c>
      <c r="AN425" s="515"/>
      <c r="AO425" s="287">
        <f>SelectedInputs!AO114</f>
        <v>0</v>
      </c>
      <c r="AP425" s="287">
        <f>SelectedInputs!AP114</f>
        <v>0</v>
      </c>
      <c r="AQ425" s="287">
        <f>SelectedInputs!AQ114</f>
        <v>0</v>
      </c>
      <c r="AR425" s="287">
        <f>SelectedInputs!AR114</f>
        <v>0</v>
      </c>
      <c r="AS425" s="287">
        <f>SelectedInputs!AS114</f>
        <v>0</v>
      </c>
      <c r="AT425" s="287">
        <f>SelectedInputs!AT114</f>
        <v>0</v>
      </c>
      <c r="AU425" s="287">
        <f>SelectedInputs!AU114</f>
        <v>0</v>
      </c>
      <c r="AV425" s="521"/>
    </row>
    <row r="426" spans="1:48" ht="15.75">
      <c r="A426" s="82"/>
      <c r="B426" s="82"/>
      <c r="C426" s="82"/>
      <c r="D426" s="82"/>
      <c r="E426" s="82">
        <f t="shared" si="17"/>
        <v>0</v>
      </c>
      <c r="F426" s="268"/>
      <c r="G426" s="82" t="s">
        <v>209</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f>SelectedInputs!AJ115</f>
        <v>0</v>
      </c>
      <c r="AK426" s="353"/>
      <c r="AL426" s="353">
        <f>SelectedInputs!AL115</f>
        <v>0</v>
      </c>
      <c r="AM426" s="353">
        <f>SelectedInputs!AM115</f>
        <v>0</v>
      </c>
      <c r="AN426" s="515"/>
      <c r="AO426" s="287">
        <f>SelectedInputs!AO115</f>
        <v>0</v>
      </c>
      <c r="AP426" s="287">
        <f>SelectedInputs!AP115</f>
        <v>0</v>
      </c>
      <c r="AQ426" s="287">
        <f>SelectedInputs!AQ115</f>
        <v>0</v>
      </c>
      <c r="AR426" s="287">
        <f>SelectedInputs!AR115</f>
        <v>0</v>
      </c>
      <c r="AS426" s="287">
        <f>SelectedInputs!AS115</f>
        <v>0</v>
      </c>
      <c r="AT426" s="287">
        <f>SelectedInputs!AT115</f>
        <v>0</v>
      </c>
      <c r="AU426" s="287">
        <f>SelectedInputs!AU115</f>
        <v>0</v>
      </c>
      <c r="AV426" s="521"/>
    </row>
    <row r="427" spans="1:48" ht="15.75">
      <c r="A427" s="82"/>
      <c r="B427" s="82"/>
      <c r="C427" s="82"/>
      <c r="D427" s="82"/>
      <c r="E427" s="82">
        <f t="shared" si="17"/>
        <v>0</v>
      </c>
      <c r="F427" s="268"/>
      <c r="G427" s="82" t="s">
        <v>209</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f>SelectedInputs!AJ116</f>
        <v>0</v>
      </c>
      <c r="AK427" s="353"/>
      <c r="AL427" s="353">
        <f>SelectedInputs!AL116</f>
        <v>0</v>
      </c>
      <c r="AM427" s="353">
        <f>SelectedInputs!AM116</f>
        <v>0</v>
      </c>
      <c r="AN427" s="515"/>
      <c r="AO427" s="287">
        <f>SelectedInputs!AO116</f>
        <v>0</v>
      </c>
      <c r="AP427" s="287">
        <f>SelectedInputs!AP116</f>
        <v>0</v>
      </c>
      <c r="AQ427" s="287">
        <f>SelectedInputs!AQ116</f>
        <v>0</v>
      </c>
      <c r="AR427" s="287">
        <f>SelectedInputs!AR116</f>
        <v>0</v>
      </c>
      <c r="AS427" s="287">
        <f>SelectedInputs!AS116</f>
        <v>0</v>
      </c>
      <c r="AT427" s="287">
        <f>SelectedInputs!AT116</f>
        <v>0</v>
      </c>
      <c r="AU427" s="287">
        <f>SelectedInputs!AU116</f>
        <v>0</v>
      </c>
      <c r="AV427" s="521"/>
    </row>
    <row r="428" spans="1:48" ht="15.75">
      <c r="A428" s="82"/>
      <c r="B428" s="82"/>
      <c r="C428" s="82"/>
      <c r="D428" s="82"/>
      <c r="E428" s="82">
        <f t="shared" si="17"/>
        <v>0</v>
      </c>
      <c r="F428" s="268"/>
      <c r="G428" s="82" t="s">
        <v>209</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f>SelectedInputs!AJ117</f>
        <v>0</v>
      </c>
      <c r="AK428" s="353"/>
      <c r="AL428" s="353">
        <f>SelectedInputs!AL117</f>
        <v>0</v>
      </c>
      <c r="AM428" s="353">
        <f>SelectedInputs!AM117</f>
        <v>0</v>
      </c>
      <c r="AN428" s="515"/>
      <c r="AO428" s="287">
        <f>SelectedInputs!AO117</f>
        <v>0</v>
      </c>
      <c r="AP428" s="287">
        <f>SelectedInputs!AP117</f>
        <v>0</v>
      </c>
      <c r="AQ428" s="287">
        <f>SelectedInputs!AQ117</f>
        <v>0</v>
      </c>
      <c r="AR428" s="287">
        <f>SelectedInputs!AR117</f>
        <v>0</v>
      </c>
      <c r="AS428" s="287">
        <f>SelectedInputs!AS117</f>
        <v>0</v>
      </c>
      <c r="AT428" s="287">
        <f>SelectedInputs!AT117</f>
        <v>0</v>
      </c>
      <c r="AU428" s="287">
        <f>SelectedInputs!AU117</f>
        <v>0</v>
      </c>
      <c r="AV428" s="521"/>
    </row>
    <row r="429" spans="1:48" ht="15.75">
      <c r="A429" s="82"/>
      <c r="B429" s="82"/>
      <c r="C429" s="82"/>
      <c r="D429" s="82"/>
      <c r="E429" s="82">
        <f t="shared" si="17"/>
        <v>0</v>
      </c>
      <c r="F429" s="268"/>
      <c r="G429" s="82" t="s">
        <v>209</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f>SelectedInputs!AJ118</f>
        <v>0</v>
      </c>
      <c r="AK429" s="353"/>
      <c r="AL429" s="353">
        <f>SelectedInputs!AL118</f>
        <v>0</v>
      </c>
      <c r="AM429" s="353">
        <f>SelectedInputs!AM118</f>
        <v>0</v>
      </c>
      <c r="AN429" s="515"/>
      <c r="AO429" s="287">
        <f>SelectedInputs!AO118</f>
        <v>0</v>
      </c>
      <c r="AP429" s="287">
        <f>SelectedInputs!AP118</f>
        <v>0</v>
      </c>
      <c r="AQ429" s="287">
        <f>SelectedInputs!AQ118</f>
        <v>0</v>
      </c>
      <c r="AR429" s="287">
        <f>SelectedInputs!AR118</f>
        <v>0</v>
      </c>
      <c r="AS429" s="287">
        <f>SelectedInputs!AS118</f>
        <v>0</v>
      </c>
      <c r="AT429" s="287">
        <f>SelectedInputs!AT118</f>
        <v>0</v>
      </c>
      <c r="AU429" s="287">
        <f>SelectedInputs!AU118</f>
        <v>0</v>
      </c>
      <c r="AV429" s="521"/>
    </row>
    <row r="430" spans="1:48" ht="15.75">
      <c r="A430" s="82"/>
      <c r="B430" s="82"/>
      <c r="C430" s="82"/>
      <c r="D430" s="82"/>
      <c r="E430" s="82">
        <f t="shared" si="17"/>
        <v>0</v>
      </c>
      <c r="F430" s="268"/>
      <c r="G430" s="82" t="s">
        <v>209</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f>SelectedInputs!AJ119</f>
        <v>0</v>
      </c>
      <c r="AK430" s="353"/>
      <c r="AL430" s="353">
        <f>SelectedInputs!AL119</f>
        <v>0</v>
      </c>
      <c r="AM430" s="353">
        <f>SelectedInputs!AM119</f>
        <v>0</v>
      </c>
      <c r="AN430" s="515"/>
      <c r="AO430" s="287">
        <f>SelectedInputs!AO119</f>
        <v>0</v>
      </c>
      <c r="AP430" s="287">
        <f>SelectedInputs!AP119</f>
        <v>0</v>
      </c>
      <c r="AQ430" s="287">
        <f>SelectedInputs!AQ119</f>
        <v>0</v>
      </c>
      <c r="AR430" s="287">
        <f>SelectedInputs!AR119</f>
        <v>0</v>
      </c>
      <c r="AS430" s="287">
        <f>SelectedInputs!AS119</f>
        <v>0</v>
      </c>
      <c r="AT430" s="287">
        <f>SelectedInputs!AT119</f>
        <v>0</v>
      </c>
      <c r="AU430" s="287">
        <f>SelectedInputs!AU119</f>
        <v>0</v>
      </c>
      <c r="AV430" s="521"/>
    </row>
    <row r="431" spans="1:48" ht="15.75">
      <c r="A431" s="82"/>
      <c r="B431" s="82"/>
      <c r="C431" s="82"/>
      <c r="D431" s="82"/>
      <c r="E431" s="82">
        <f t="shared" si="17"/>
        <v>0</v>
      </c>
      <c r="F431" s="268"/>
      <c r="G431" s="82" t="s">
        <v>209</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f>SelectedInputs!AJ120</f>
        <v>0</v>
      </c>
      <c r="AK431" s="353"/>
      <c r="AL431" s="353">
        <f>SelectedInputs!AL120</f>
        <v>0</v>
      </c>
      <c r="AM431" s="353">
        <f>SelectedInputs!AM120</f>
        <v>0</v>
      </c>
      <c r="AN431" s="515"/>
      <c r="AO431" s="287">
        <f>SelectedInputs!AO120</f>
        <v>0</v>
      </c>
      <c r="AP431" s="287">
        <f>SelectedInputs!AP120</f>
        <v>0</v>
      </c>
      <c r="AQ431" s="287">
        <f>SelectedInputs!AQ120</f>
        <v>0</v>
      </c>
      <c r="AR431" s="287">
        <f>SelectedInputs!AR120</f>
        <v>0</v>
      </c>
      <c r="AS431" s="287">
        <f>SelectedInputs!AS120</f>
        <v>0</v>
      </c>
      <c r="AT431" s="287">
        <f>SelectedInputs!AT120</f>
        <v>0</v>
      </c>
      <c r="AU431" s="287">
        <f>SelectedInputs!AU120</f>
        <v>0</v>
      </c>
      <c r="AV431" s="521"/>
    </row>
    <row r="432" spans="1:48" ht="15.75">
      <c r="A432" s="82"/>
      <c r="B432" s="82"/>
      <c r="C432" s="82"/>
      <c r="D432" s="82"/>
      <c r="E432" s="82">
        <f t="shared" si="17"/>
        <v>0</v>
      </c>
      <c r="F432" s="268"/>
      <c r="G432" s="82" t="s">
        <v>209</v>
      </c>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353">
        <f>SelectedInputs!AJ121</f>
        <v>0</v>
      </c>
      <c r="AK432" s="353"/>
      <c r="AL432" s="353">
        <f>SelectedInputs!AL121</f>
        <v>0</v>
      </c>
      <c r="AM432" s="353">
        <f>SelectedInputs!AM121</f>
        <v>0</v>
      </c>
      <c r="AN432" s="515"/>
      <c r="AO432" s="287">
        <f>SelectedInputs!AO121</f>
        <v>0</v>
      </c>
      <c r="AP432" s="287">
        <f>SelectedInputs!AP121</f>
        <v>0</v>
      </c>
      <c r="AQ432" s="287">
        <f>SelectedInputs!AQ121</f>
        <v>0</v>
      </c>
      <c r="AR432" s="287">
        <f>SelectedInputs!AR121</f>
        <v>0</v>
      </c>
      <c r="AS432" s="287">
        <f>SelectedInputs!AS121</f>
        <v>0</v>
      </c>
      <c r="AT432" s="287">
        <f>SelectedInputs!AT121</f>
        <v>0</v>
      </c>
      <c r="AU432" s="287">
        <f>SelectedInputs!AU121</f>
        <v>0</v>
      </c>
      <c r="AV432" s="521"/>
    </row>
    <row r="433" spans="1:48" ht="15.75">
      <c r="A433" s="82"/>
      <c r="B433" s="82"/>
      <c r="C433" s="82"/>
      <c r="D433" s="82"/>
      <c r="E433" s="82"/>
      <c r="F433" s="268"/>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516"/>
      <c r="AO433" s="82"/>
      <c r="AP433" s="82"/>
      <c r="AQ433" s="147"/>
      <c r="AR433" s="82"/>
      <c r="AS433" s="82"/>
      <c r="AT433" s="82"/>
      <c r="AU433" s="82"/>
      <c r="AV433" s="82"/>
    </row>
    <row r="434" spans="1:48" ht="15">
      <c r="A434" s="2"/>
      <c r="B434" s="2"/>
      <c r="C434" s="28" t="s">
        <v>649</v>
      </c>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9"/>
      <c r="AR434" s="28"/>
      <c r="AS434" s="28"/>
      <c r="AT434" s="28"/>
      <c r="AU434" s="28"/>
      <c r="AV434" s="28"/>
    </row>
    <row r="435" spans="1:48" ht="15">
      <c r="A435" s="2"/>
      <c r="B435" s="2"/>
      <c r="C435" s="194"/>
      <c r="D435" s="194"/>
      <c r="E435" s="194"/>
      <c r="F435" s="194"/>
      <c r="G435" s="194"/>
      <c r="H435" s="194"/>
      <c r="I435" s="194"/>
      <c r="J435" s="194"/>
      <c r="K435" s="194"/>
      <c r="L435" s="194"/>
      <c r="M435" s="194"/>
      <c r="N435" s="194"/>
      <c r="O435" s="194"/>
      <c r="P435" s="194"/>
      <c r="Q435" s="194"/>
      <c r="R435" s="194"/>
      <c r="S435" s="194"/>
      <c r="T435" s="194"/>
      <c r="U435" s="194"/>
      <c r="V435" s="194"/>
      <c r="W435" s="194"/>
      <c r="X435" s="194"/>
      <c r="Y435" s="194"/>
      <c r="Z435" s="194"/>
      <c r="AA435" s="194"/>
      <c r="AB435" s="194"/>
      <c r="AC435" s="194"/>
      <c r="AD435" s="194"/>
      <c r="AE435" s="194"/>
      <c r="AF435" s="194"/>
      <c r="AG435" s="194"/>
      <c r="AH435" s="194"/>
      <c r="AI435" s="194"/>
      <c r="AJ435" s="194"/>
      <c r="AK435" s="194"/>
      <c r="AL435" s="194"/>
      <c r="AM435" s="194"/>
      <c r="AN435" s="194"/>
      <c r="AO435" s="194"/>
      <c r="AP435" s="194"/>
      <c r="AQ435" s="189"/>
      <c r="AR435" s="194"/>
      <c r="AS435" s="194"/>
      <c r="AT435" s="194"/>
      <c r="AU435" s="194"/>
      <c r="AV435" s="194"/>
    </row>
    <row r="436" spans="1:48" ht="15">
      <c r="A436" s="7"/>
      <c r="B436" s="7"/>
      <c r="C436" s="7"/>
      <c r="D436" s="82"/>
      <c r="E436" s="271" t="s">
        <v>650</v>
      </c>
      <c r="F436" s="271"/>
      <c r="G436" s="271" t="s">
        <v>209</v>
      </c>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c r="AF436" s="271"/>
      <c r="AG436" s="271"/>
      <c r="AH436" s="271"/>
      <c r="AI436" s="271"/>
      <c r="AJ436" s="271"/>
      <c r="AK436" s="271"/>
      <c r="AL436" s="271"/>
      <c r="AM436" s="271"/>
      <c r="AN436" s="271"/>
      <c r="AO436" s="271"/>
      <c r="AP436" s="271"/>
      <c r="AQ436" s="299"/>
      <c r="AR436" s="492">
        <f>SelectedInputs!AR296</f>
        <v>0</v>
      </c>
      <c r="AS436" s="492">
        <f>SelectedInputs!AS296</f>
        <v>0</v>
      </c>
      <c r="AT436" s="492">
        <f>SelectedInputs!AT296</f>
        <v>0</v>
      </c>
      <c r="AU436" s="492">
        <f>SelectedInputs!AU296</f>
        <v>0</v>
      </c>
      <c r="AV436" s="492">
        <f>SelectedInputs!AV296</f>
        <v>0</v>
      </c>
    </row>
    <row r="437" spans="1:48" ht="15">
      <c r="A437" s="7"/>
      <c r="B437" s="7"/>
      <c r="C437" s="7"/>
      <c r="D437" s="82"/>
      <c r="E437" s="27" t="s">
        <v>651</v>
      </c>
      <c r="F437" s="27"/>
      <c r="G437" s="27" t="s">
        <v>209</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2"/>
      <c r="AR437" s="132">
        <f>SelectedInputs!AR297</f>
        <v>0</v>
      </c>
      <c r="AS437" s="132">
        <f>SelectedInputs!AS297</f>
        <v>0</v>
      </c>
      <c r="AT437" s="132">
        <f>SelectedInputs!AT297</f>
        <v>0</v>
      </c>
      <c r="AU437" s="132">
        <f>SelectedInputs!AU297</f>
        <v>0</v>
      </c>
      <c r="AV437" s="132">
        <f>SelectedInputs!AV297</f>
        <v>0</v>
      </c>
    </row>
    <row r="438" spans="1:48" ht="15">
      <c r="A438" s="7"/>
      <c r="B438" s="7"/>
      <c r="C438" s="7"/>
      <c r="D438" s="82"/>
      <c r="E438" s="27" t="s">
        <v>652</v>
      </c>
      <c r="F438" s="27"/>
      <c r="G438" s="27" t="s">
        <v>209</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2"/>
      <c r="AR438" s="132">
        <f>SelectedInputs!AR298</f>
        <v>0.55574653918249073</v>
      </c>
      <c r="AS438" s="132">
        <f>SelectedInputs!AS298</f>
        <v>0.48081865554122877</v>
      </c>
      <c r="AT438" s="132">
        <f>SelectedInputs!AT298</f>
        <v>0.51988175725456021</v>
      </c>
      <c r="AU438" s="132">
        <f>SelectedInputs!AU298</f>
        <v>0.51625751298308531</v>
      </c>
      <c r="AV438" s="132">
        <f>SelectedInputs!AV298</f>
        <v>0.54885426554035799</v>
      </c>
    </row>
    <row r="439" spans="1:48" ht="15">
      <c r="A439" s="7"/>
      <c r="B439" s="7"/>
      <c r="C439" s="7"/>
      <c r="D439" s="82"/>
      <c r="E439" s="27" t="s">
        <v>653</v>
      </c>
      <c r="F439" s="27"/>
      <c r="G439" s="27" t="s">
        <v>209</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2"/>
      <c r="AR439" s="132">
        <f>SelectedInputs!AR299</f>
        <v>0</v>
      </c>
      <c r="AS439" s="132">
        <f>SelectedInputs!AS299</f>
        <v>0</v>
      </c>
      <c r="AT439" s="132">
        <f>SelectedInputs!AT299</f>
        <v>0</v>
      </c>
      <c r="AU439" s="132">
        <f>SelectedInputs!AU299</f>
        <v>0</v>
      </c>
      <c r="AV439" s="132">
        <f>SelectedInputs!AV299</f>
        <v>0</v>
      </c>
    </row>
    <row r="440" spans="1:48" ht="15">
      <c r="A440" s="7"/>
      <c r="B440" s="7"/>
      <c r="C440" s="7"/>
      <c r="D440" s="82"/>
      <c r="E440" s="27" t="s">
        <v>654</v>
      </c>
      <c r="F440" s="27"/>
      <c r="G440" s="27" t="s">
        <v>209</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2"/>
      <c r="AR440" s="132">
        <f>SelectedInputs!AR300</f>
        <v>0</v>
      </c>
      <c r="AS440" s="132">
        <f>SelectedInputs!AS300</f>
        <v>0</v>
      </c>
      <c r="AT440" s="132">
        <f>SelectedInputs!AT300</f>
        <v>0</v>
      </c>
      <c r="AU440" s="132">
        <f>SelectedInputs!AU300</f>
        <v>0</v>
      </c>
      <c r="AV440" s="132">
        <f>SelectedInputs!AV300</f>
        <v>0</v>
      </c>
    </row>
    <row r="441" spans="1:48" ht="15">
      <c r="A441" s="7"/>
      <c r="B441" s="7"/>
      <c r="C441" s="7"/>
      <c r="D441" s="82"/>
      <c r="E441" s="27" t="s">
        <v>655</v>
      </c>
      <c r="F441" s="27"/>
      <c r="G441" s="27" t="s">
        <v>209</v>
      </c>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192"/>
      <c r="AR441" s="132">
        <f>SelectedInputs!AR301</f>
        <v>0</v>
      </c>
      <c r="AS441" s="132">
        <f>SelectedInputs!AS301</f>
        <v>0</v>
      </c>
      <c r="AT441" s="132">
        <f>SelectedInputs!AT301</f>
        <v>0</v>
      </c>
      <c r="AU441" s="132">
        <f>SelectedInputs!AU301</f>
        <v>0</v>
      </c>
      <c r="AV441" s="132">
        <f>SelectedInputs!AV301</f>
        <v>0</v>
      </c>
    </row>
    <row r="442" spans="1:48" ht="15">
      <c r="A442" s="7"/>
      <c r="B442" s="7"/>
      <c r="C442" s="7"/>
      <c r="D442" s="82"/>
      <c r="E442" s="272" t="s">
        <v>656</v>
      </c>
      <c r="F442" s="272"/>
      <c r="G442" s="272" t="s">
        <v>209</v>
      </c>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272"/>
      <c r="AF442" s="272"/>
      <c r="AG442" s="272"/>
      <c r="AH442" s="272"/>
      <c r="AI442" s="272"/>
      <c r="AJ442" s="272"/>
      <c r="AK442" s="272"/>
      <c r="AL442" s="272"/>
      <c r="AM442" s="272"/>
      <c r="AN442" s="272"/>
      <c r="AO442" s="272"/>
      <c r="AP442" s="272"/>
      <c r="AQ442" s="300"/>
      <c r="AR442" s="493">
        <f>SelectedInputs!AR302</f>
        <v>6.1481795939682726E-2</v>
      </c>
      <c r="AS442" s="493">
        <f>SelectedInputs!AS302</f>
        <v>5.7750421065792715E-2</v>
      </c>
      <c r="AT442" s="493">
        <f>SelectedInputs!AT302</f>
        <v>6.1419491483458988E-2</v>
      </c>
      <c r="AU442" s="493">
        <f>SelectedInputs!AU302</f>
        <v>5.5368591274214847E-2</v>
      </c>
      <c r="AV442" s="493">
        <f>SelectedInputs!AV302</f>
        <v>4.4185155140046277E-2</v>
      </c>
    </row>
    <row r="443" spans="1:48" ht="15">
      <c r="A443" s="7"/>
      <c r="B443" s="7"/>
      <c r="C443" s="7"/>
      <c r="D443" s="82"/>
      <c r="E443" s="27" t="s">
        <v>657</v>
      </c>
      <c r="F443" s="27"/>
      <c r="G443" s="27" t="s">
        <v>209</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2"/>
      <c r="AR443" s="132">
        <f>SelectedInputs!AR303</f>
        <v>0.93986808700581914</v>
      </c>
      <c r="AS443" s="132">
        <f>SelectedInputs!AS303</f>
        <v>0.96481628590185897</v>
      </c>
      <c r="AT443" s="132">
        <f>SelectedInputs!AT303</f>
        <v>0.96680659142513647</v>
      </c>
      <c r="AU443" s="132">
        <f>SelectedInputs!AU303</f>
        <v>0.96963311900969584</v>
      </c>
      <c r="AV443" s="132">
        <f>SelectedInputs!AV303</f>
        <v>0.95810421960377123</v>
      </c>
    </row>
    <row r="444" spans="1:48" ht="15">
      <c r="A444" s="7"/>
      <c r="B444" s="7"/>
      <c r="C444" s="7"/>
      <c r="D444" s="82"/>
      <c r="E444" s="27" t="s">
        <v>658</v>
      </c>
      <c r="F444" s="27"/>
      <c r="G444" s="27" t="s">
        <v>209</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2"/>
      <c r="AR444" s="132">
        <f>SelectedInputs!AR304</f>
        <v>0.13970159936123508</v>
      </c>
      <c r="AS444" s="132">
        <f>SelectedInputs!AS304</f>
        <v>0.15485397499171774</v>
      </c>
      <c r="AT444" s="132">
        <f>SelectedInputs!AT304</f>
        <v>0.10516058410539117</v>
      </c>
      <c r="AU444" s="132">
        <f>SelectedInputs!AU304</f>
        <v>3.6697914942998046E-2</v>
      </c>
      <c r="AV444" s="132">
        <f>SelectedInputs!AV304</f>
        <v>2.7136494214915343E-2</v>
      </c>
    </row>
    <row r="445" spans="1:48" ht="15">
      <c r="A445" s="7"/>
      <c r="B445" s="7"/>
      <c r="C445" s="7"/>
      <c r="D445" s="82"/>
      <c r="E445" s="27" t="s">
        <v>659</v>
      </c>
      <c r="F445" s="27"/>
      <c r="G445" s="27" t="s">
        <v>209</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2"/>
      <c r="AR445" s="132">
        <f>SelectedInputs!AR305</f>
        <v>6.5391447442296399E-3</v>
      </c>
      <c r="AS445" s="132">
        <f>SelectedInputs!AS305</f>
        <v>4.3425136394023341E-3</v>
      </c>
      <c r="AT445" s="132">
        <f>SelectedInputs!AT305</f>
        <v>4.088497780003455E-3</v>
      </c>
      <c r="AU445" s="132">
        <f>SelectedInputs!AU305</f>
        <v>5.0346823142526764E-3</v>
      </c>
      <c r="AV445" s="132">
        <f>SelectedInputs!AV305</f>
        <v>8.080523684580147E-3</v>
      </c>
    </row>
    <row r="446" spans="1:48" ht="15">
      <c r="A446" s="7"/>
      <c r="B446" s="7"/>
      <c r="C446" s="7"/>
      <c r="D446" s="82"/>
      <c r="E446" s="27" t="s">
        <v>660</v>
      </c>
      <c r="F446" s="27"/>
      <c r="G446" s="27" t="s">
        <v>209</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2"/>
      <c r="AR446" s="132">
        <f>SelectedInputs!AR306</f>
        <v>0</v>
      </c>
      <c r="AS446" s="132">
        <f>SelectedInputs!AS306</f>
        <v>0</v>
      </c>
      <c r="AT446" s="132">
        <f>SelectedInputs!AT306</f>
        <v>0</v>
      </c>
      <c r="AU446" s="132">
        <f>SelectedInputs!AU306</f>
        <v>0</v>
      </c>
      <c r="AV446" s="132">
        <f>SelectedInputs!AV306</f>
        <v>0</v>
      </c>
    </row>
    <row r="447" spans="1:48" ht="15">
      <c r="A447" s="7"/>
      <c r="B447" s="7"/>
      <c r="C447" s="7"/>
      <c r="D447" s="82"/>
      <c r="E447" s="27" t="s">
        <v>661</v>
      </c>
      <c r="F447" s="27"/>
      <c r="G447" s="27" t="s">
        <v>209</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2"/>
      <c r="AR447" s="132">
        <f>SelectedInputs!AR307</f>
        <v>0</v>
      </c>
      <c r="AS447" s="132">
        <f>SelectedInputs!AS307</f>
        <v>0</v>
      </c>
      <c r="AT447" s="132">
        <f>SelectedInputs!AT307</f>
        <v>0</v>
      </c>
      <c r="AU447" s="132">
        <f>SelectedInputs!AU307</f>
        <v>0</v>
      </c>
      <c r="AV447" s="132">
        <f>SelectedInputs!AV307</f>
        <v>0</v>
      </c>
    </row>
    <row r="448" spans="1:48" ht="15">
      <c r="A448" s="7"/>
      <c r="B448" s="7"/>
      <c r="C448" s="7"/>
      <c r="D448" s="82"/>
      <c r="E448" s="27" t="s">
        <v>662</v>
      </c>
      <c r="F448" s="27"/>
      <c r="G448" s="27" t="s">
        <v>209</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2"/>
      <c r="AR448" s="132">
        <f>SelectedInputs!AR308</f>
        <v>0</v>
      </c>
      <c r="AS448" s="132">
        <f>SelectedInputs!AS308</f>
        <v>0</v>
      </c>
      <c r="AT448" s="132">
        <f>SelectedInputs!AT308</f>
        <v>0</v>
      </c>
      <c r="AU448" s="132">
        <f>SelectedInputs!AU308</f>
        <v>0</v>
      </c>
      <c r="AV448" s="132">
        <f>SelectedInputs!AV308</f>
        <v>0</v>
      </c>
    </row>
    <row r="449" spans="1:48" ht="15">
      <c r="A449" s="7"/>
      <c r="B449" s="7"/>
      <c r="C449" s="7"/>
      <c r="D449" s="82"/>
      <c r="E449" s="27" t="s">
        <v>663</v>
      </c>
      <c r="F449" s="27"/>
      <c r="G449" s="27" t="s">
        <v>209</v>
      </c>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192"/>
      <c r="AR449" s="132">
        <f>SelectedInputs!AR309</f>
        <v>0.10939432957639103</v>
      </c>
      <c r="AS449" s="132">
        <f>SelectedInputs!AS309</f>
        <v>0.12601323242261098</v>
      </c>
      <c r="AT449" s="132">
        <f>SelectedInputs!AT309</f>
        <v>0.10939375095165546</v>
      </c>
      <c r="AU449" s="132">
        <f>SelectedInputs!AU309</f>
        <v>0.10612667636190133</v>
      </c>
      <c r="AV449" s="132">
        <f>SelectedInputs!AV309</f>
        <v>9.1228309643191952E-2</v>
      </c>
    </row>
    <row r="450" spans="1:48" ht="15">
      <c r="A450" s="7"/>
      <c r="B450" s="7"/>
      <c r="C450" s="7"/>
      <c r="D450" s="82"/>
      <c r="E450" s="271" t="s">
        <v>664</v>
      </c>
      <c r="F450" s="271"/>
      <c r="G450" s="271" t="s">
        <v>209</v>
      </c>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271"/>
      <c r="AF450" s="271"/>
      <c r="AG450" s="271"/>
      <c r="AH450" s="271"/>
      <c r="AI450" s="271"/>
      <c r="AJ450" s="271"/>
      <c r="AK450" s="271"/>
      <c r="AL450" s="271"/>
      <c r="AM450" s="271"/>
      <c r="AN450" s="271"/>
      <c r="AO450" s="271"/>
      <c r="AP450" s="271"/>
      <c r="AQ450" s="299"/>
      <c r="AR450" s="492">
        <f>SelectedInputs!AR310</f>
        <v>0</v>
      </c>
      <c r="AS450" s="492">
        <f>SelectedInputs!AS310</f>
        <v>0</v>
      </c>
      <c r="AT450" s="492">
        <f>SelectedInputs!AT310</f>
        <v>0</v>
      </c>
      <c r="AU450" s="492">
        <f>SelectedInputs!AU310</f>
        <v>0</v>
      </c>
      <c r="AV450" s="492">
        <f>SelectedInputs!AV310</f>
        <v>0</v>
      </c>
    </row>
    <row r="451" spans="1:48" ht="15">
      <c r="A451" s="7"/>
      <c r="B451" s="7"/>
      <c r="C451" s="7"/>
      <c r="D451" s="82"/>
      <c r="E451" s="27" t="s">
        <v>665</v>
      </c>
      <c r="F451" s="27"/>
      <c r="G451" s="27" t="s">
        <v>209</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2"/>
      <c r="AR451" s="132">
        <f>SelectedInputs!AR311</f>
        <v>0.79956323702903542</v>
      </c>
      <c r="AS451" s="132">
        <f>SelectedInputs!AS311</f>
        <v>0.8131606159669198</v>
      </c>
      <c r="AT451" s="132">
        <f>SelectedInputs!AT311</f>
        <v>0.84700174047170917</v>
      </c>
      <c r="AU451" s="132">
        <f>SelectedInputs!AU311</f>
        <v>0.91338519596929624</v>
      </c>
      <c r="AV451" s="132">
        <f>SelectedInputs!AV311</f>
        <v>0.92051621604386114</v>
      </c>
    </row>
    <row r="452" spans="1:48" ht="15">
      <c r="A452" s="7"/>
      <c r="B452" s="7"/>
      <c r="C452" s="7"/>
      <c r="D452" s="82"/>
      <c r="E452" s="27" t="s">
        <v>666</v>
      </c>
      <c r="F452" s="27"/>
      <c r="G452" s="27" t="s">
        <v>209</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2"/>
      <c r="AR452" s="132">
        <f>SelectedInputs!AR312</f>
        <v>0.40564068524285379</v>
      </c>
      <c r="AS452" s="132">
        <f>SelectedInputs!AS312</f>
        <v>0.4676356284466972</v>
      </c>
      <c r="AT452" s="132">
        <f>SelectedInputs!AT312</f>
        <v>0.30857529410140527</v>
      </c>
      <c r="AU452" s="132">
        <f>SelectedInputs!AU312</f>
        <v>0.290186940770357</v>
      </c>
      <c r="AV452" s="132">
        <f>SelectedInputs!AV312</f>
        <v>0.3990462828865074</v>
      </c>
    </row>
    <row r="453" spans="1:48" ht="15">
      <c r="A453" s="7"/>
      <c r="B453" s="7"/>
      <c r="C453" s="7"/>
      <c r="D453" s="82"/>
      <c r="E453" s="27" t="s">
        <v>667</v>
      </c>
      <c r="F453" s="27"/>
      <c r="G453" s="27" t="s">
        <v>209</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2"/>
      <c r="AR453" s="132">
        <f>SelectedInputs!AR313</f>
        <v>0.84075588495266662</v>
      </c>
      <c r="AS453" s="132">
        <f>SelectedInputs!AS313</f>
        <v>0.84075588495266662</v>
      </c>
      <c r="AT453" s="132">
        <f>SelectedInputs!AT313</f>
        <v>0.84075588495266662</v>
      </c>
      <c r="AU453" s="132">
        <f>SelectedInputs!AU313</f>
        <v>0.84075588495266662</v>
      </c>
      <c r="AV453" s="132">
        <f>SelectedInputs!AV313</f>
        <v>0.84075588495266662</v>
      </c>
    </row>
    <row r="454" spans="1:48" ht="15">
      <c r="A454" s="7"/>
      <c r="B454" s="7"/>
      <c r="C454" s="7"/>
      <c r="D454" s="82"/>
      <c r="E454" s="27" t="s">
        <v>668</v>
      </c>
      <c r="F454" s="27"/>
      <c r="G454" s="27" t="s">
        <v>209</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2"/>
      <c r="AR454" s="132">
        <f>SelectedInputs!AR314</f>
        <v>4.2902237475974138E-2</v>
      </c>
      <c r="AS454" s="132">
        <f>SelectedInputs!AS314</f>
        <v>4.2902237475974138E-2</v>
      </c>
      <c r="AT454" s="132">
        <f>SelectedInputs!AT314</f>
        <v>4.2902237475974145E-2</v>
      </c>
      <c r="AU454" s="132">
        <f>SelectedInputs!AU314</f>
        <v>4.2902237475974145E-2</v>
      </c>
      <c r="AV454" s="132">
        <f>SelectedInputs!AV314</f>
        <v>4.2902237475974145E-2</v>
      </c>
    </row>
    <row r="455" spans="1:48" ht="15">
      <c r="A455" s="7"/>
      <c r="B455" s="7"/>
      <c r="C455" s="7"/>
      <c r="D455" s="82"/>
      <c r="E455" s="27" t="s">
        <v>669</v>
      </c>
      <c r="F455" s="27"/>
      <c r="G455" s="27" t="s">
        <v>209</v>
      </c>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192"/>
      <c r="AR455" s="132">
        <f>SelectedInputs!AR315</f>
        <v>0</v>
      </c>
      <c r="AS455" s="132">
        <f>SelectedInputs!AS315</f>
        <v>0</v>
      </c>
      <c r="AT455" s="132">
        <f>SelectedInputs!AT315</f>
        <v>0</v>
      </c>
      <c r="AU455" s="132">
        <f>SelectedInputs!AU315</f>
        <v>0</v>
      </c>
      <c r="AV455" s="132">
        <f>SelectedInputs!AV315</f>
        <v>0</v>
      </c>
    </row>
    <row r="456" spans="1:48" ht="15">
      <c r="A456" s="7"/>
      <c r="B456" s="7"/>
      <c r="C456" s="7"/>
      <c r="D456" s="82"/>
      <c r="E456" s="272" t="s">
        <v>670</v>
      </c>
      <c r="F456" s="272"/>
      <c r="G456" s="272" t="s">
        <v>209</v>
      </c>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72"/>
      <c r="AE456" s="272"/>
      <c r="AF456" s="272"/>
      <c r="AG456" s="272"/>
      <c r="AH456" s="272"/>
      <c r="AI456" s="272"/>
      <c r="AJ456" s="272"/>
      <c r="AK456" s="272"/>
      <c r="AL456" s="272"/>
      <c r="AM456" s="272"/>
      <c r="AN456" s="272"/>
      <c r="AO456" s="272"/>
      <c r="AP456" s="272"/>
      <c r="AQ456" s="300"/>
      <c r="AR456" s="493">
        <f>SelectedInputs!AR316</f>
        <v>0.37806366439630779</v>
      </c>
      <c r="AS456" s="493">
        <f>SelectedInputs!AS316</f>
        <v>0.35209193810275663</v>
      </c>
      <c r="AT456" s="493">
        <f>SelectedInputs!AT316</f>
        <v>0.33967394097018822</v>
      </c>
      <c r="AU456" s="493">
        <f>SelectedInputs!AU316</f>
        <v>0.34533422526877711</v>
      </c>
      <c r="AV456" s="493">
        <f>SelectedInputs!AV316</f>
        <v>0.38891263441623708</v>
      </c>
    </row>
    <row r="457" spans="1:48" ht="15">
      <c r="A457" s="7"/>
      <c r="B457" s="7"/>
      <c r="C457" s="7"/>
      <c r="D457" s="82"/>
      <c r="E457" s="271" t="s">
        <v>671</v>
      </c>
      <c r="F457" s="271"/>
      <c r="G457" s="271" t="s">
        <v>209</v>
      </c>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71"/>
      <c r="AE457" s="271"/>
      <c r="AF457" s="271"/>
      <c r="AG457" s="271"/>
      <c r="AH457" s="271"/>
      <c r="AI457" s="271"/>
      <c r="AJ457" s="271"/>
      <c r="AK457" s="271"/>
      <c r="AL457" s="271"/>
      <c r="AM457" s="271"/>
      <c r="AN457" s="271"/>
      <c r="AO457" s="271"/>
      <c r="AP457" s="271"/>
      <c r="AQ457" s="299"/>
      <c r="AR457" s="492">
        <f>SelectedInputs!AR317</f>
        <v>0</v>
      </c>
      <c r="AS457" s="492">
        <f>SelectedInputs!AS317</f>
        <v>0</v>
      </c>
      <c r="AT457" s="492">
        <f>SelectedInputs!AT317</f>
        <v>0</v>
      </c>
      <c r="AU457" s="492">
        <f>SelectedInputs!AU317</f>
        <v>0</v>
      </c>
      <c r="AV457" s="492">
        <f>SelectedInputs!AV317</f>
        <v>0</v>
      </c>
    </row>
    <row r="458" spans="1:48" ht="15">
      <c r="A458" s="7"/>
      <c r="B458" s="7"/>
      <c r="C458" s="7"/>
      <c r="D458" s="82"/>
      <c r="E458" s="27" t="s">
        <v>672</v>
      </c>
      <c r="F458" s="27"/>
      <c r="G458" s="27" t="s">
        <v>209</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2"/>
      <c r="AR458" s="132">
        <f>SelectedInputs!AR318</f>
        <v>0</v>
      </c>
      <c r="AS458" s="132">
        <f>SelectedInputs!AS318</f>
        <v>0</v>
      </c>
      <c r="AT458" s="132">
        <f>SelectedInputs!AT318</f>
        <v>0</v>
      </c>
      <c r="AU458" s="132">
        <f>SelectedInputs!AU318</f>
        <v>0</v>
      </c>
      <c r="AV458" s="132">
        <f>SelectedInputs!AV318</f>
        <v>0</v>
      </c>
    </row>
    <row r="459" spans="1:48" ht="15">
      <c r="A459" s="7"/>
      <c r="B459" s="7"/>
      <c r="C459" s="7"/>
      <c r="D459" s="82"/>
      <c r="E459" s="27" t="s">
        <v>673</v>
      </c>
      <c r="F459" s="27"/>
      <c r="G459" s="27" t="s">
        <v>209</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2"/>
      <c r="AR459" s="132">
        <f>SelectedInputs!AR319</f>
        <v>0</v>
      </c>
      <c r="AS459" s="132">
        <f>SelectedInputs!AS319</f>
        <v>0</v>
      </c>
      <c r="AT459" s="132">
        <f>SelectedInputs!AT319</f>
        <v>0</v>
      </c>
      <c r="AU459" s="132">
        <f>SelectedInputs!AU319</f>
        <v>0</v>
      </c>
      <c r="AV459" s="132">
        <f>SelectedInputs!AV319</f>
        <v>0</v>
      </c>
    </row>
    <row r="460" spans="1:48" ht="15">
      <c r="A460" s="7"/>
      <c r="B460" s="7"/>
      <c r="C460" s="7"/>
      <c r="D460" s="82"/>
      <c r="E460" s="27" t="s">
        <v>674</v>
      </c>
      <c r="F460" s="27"/>
      <c r="G460" s="27" t="s">
        <v>209</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2"/>
      <c r="AR460" s="132">
        <f>SelectedInputs!AR320</f>
        <v>0</v>
      </c>
      <c r="AS460" s="132">
        <f>SelectedInputs!AS320</f>
        <v>0</v>
      </c>
      <c r="AT460" s="132">
        <f>SelectedInputs!AT320</f>
        <v>0</v>
      </c>
      <c r="AU460" s="132">
        <f>SelectedInputs!AU320</f>
        <v>0</v>
      </c>
      <c r="AV460" s="132">
        <f>SelectedInputs!AV320</f>
        <v>0</v>
      </c>
    </row>
    <row r="461" spans="1:48" ht="15">
      <c r="A461" s="7"/>
      <c r="B461" s="7"/>
      <c r="C461" s="7"/>
      <c r="D461" s="82"/>
      <c r="E461" s="27" t="s">
        <v>675</v>
      </c>
      <c r="F461" s="27"/>
      <c r="G461" s="27" t="s">
        <v>209</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2"/>
      <c r="AR461" s="132">
        <f>SelectedInputs!AR321</f>
        <v>0</v>
      </c>
      <c r="AS461" s="132">
        <f>SelectedInputs!AS321</f>
        <v>0</v>
      </c>
      <c r="AT461" s="132">
        <f>SelectedInputs!AT321</f>
        <v>0</v>
      </c>
      <c r="AU461" s="132">
        <f>SelectedInputs!AU321</f>
        <v>0</v>
      </c>
      <c r="AV461" s="132">
        <f>SelectedInputs!AV321</f>
        <v>0</v>
      </c>
    </row>
    <row r="462" spans="1:48" ht="15">
      <c r="A462" s="7"/>
      <c r="B462" s="7"/>
      <c r="C462" s="7"/>
      <c r="D462" s="82"/>
      <c r="E462" s="27" t="s">
        <v>676</v>
      </c>
      <c r="F462" s="27"/>
      <c r="G462" s="27" t="s">
        <v>209</v>
      </c>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192"/>
      <c r="AR462" s="132">
        <f>SelectedInputs!AR322</f>
        <v>0</v>
      </c>
      <c r="AS462" s="132">
        <f>SelectedInputs!AS322</f>
        <v>0</v>
      </c>
      <c r="AT462" s="132">
        <f>SelectedInputs!AT322</f>
        <v>0</v>
      </c>
      <c r="AU462" s="132">
        <f>SelectedInputs!AU322</f>
        <v>0</v>
      </c>
      <c r="AV462" s="132">
        <f>SelectedInputs!AV322</f>
        <v>0</v>
      </c>
    </row>
    <row r="463" spans="1:48" ht="15">
      <c r="A463" s="7"/>
      <c r="B463" s="7"/>
      <c r="C463" s="7"/>
      <c r="D463" s="82"/>
      <c r="E463" s="272" t="s">
        <v>677</v>
      </c>
      <c r="F463" s="272"/>
      <c r="G463" s="272" t="s">
        <v>209</v>
      </c>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s="272"/>
      <c r="AG463" s="272"/>
      <c r="AH463" s="272"/>
      <c r="AI463" s="272"/>
      <c r="AJ463" s="272"/>
      <c r="AK463" s="272"/>
      <c r="AL463" s="272"/>
      <c r="AM463" s="272"/>
      <c r="AN463" s="272"/>
      <c r="AO463" s="272"/>
      <c r="AP463" s="272"/>
      <c r="AQ463" s="300"/>
      <c r="AR463" s="493">
        <f>SelectedInputs!AR323</f>
        <v>0</v>
      </c>
      <c r="AS463" s="493">
        <f>SelectedInputs!AS323</f>
        <v>0</v>
      </c>
      <c r="AT463" s="493">
        <f>SelectedInputs!AT323</f>
        <v>0</v>
      </c>
      <c r="AU463" s="493">
        <f>SelectedInputs!AU323</f>
        <v>0</v>
      </c>
      <c r="AV463" s="493">
        <f>SelectedInputs!AV323</f>
        <v>0</v>
      </c>
    </row>
    <row r="464" spans="1:48" ht="15">
      <c r="A464" s="7"/>
      <c r="B464" s="7"/>
      <c r="C464" s="7"/>
      <c r="D464" s="82"/>
      <c r="E464" s="27" t="s">
        <v>678</v>
      </c>
      <c r="F464" s="27"/>
      <c r="G464" s="27" t="s">
        <v>209</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2"/>
      <c r="AR464" s="132">
        <f>SelectedInputs!AR324</f>
        <v>0</v>
      </c>
      <c r="AS464" s="132">
        <f>SelectedInputs!AS324</f>
        <v>0</v>
      </c>
      <c r="AT464" s="132">
        <f>SelectedInputs!AT324</f>
        <v>0</v>
      </c>
      <c r="AU464" s="132">
        <f>SelectedInputs!AU324</f>
        <v>0</v>
      </c>
      <c r="AV464" s="132">
        <f>SelectedInputs!AV324</f>
        <v>0</v>
      </c>
    </row>
    <row r="465" spans="1:48" ht="15">
      <c r="A465" s="7"/>
      <c r="B465" s="7"/>
      <c r="C465" s="7"/>
      <c r="D465" s="82"/>
      <c r="E465" s="27" t="s">
        <v>679</v>
      </c>
      <c r="F465" s="27"/>
      <c r="G465" s="27" t="s">
        <v>209</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2"/>
      <c r="AR465" s="132">
        <f>SelectedInputs!AR325</f>
        <v>0</v>
      </c>
      <c r="AS465" s="132">
        <f>SelectedInputs!AS325</f>
        <v>0</v>
      </c>
      <c r="AT465" s="132">
        <f>SelectedInputs!AT325</f>
        <v>0</v>
      </c>
      <c r="AU465" s="132">
        <f>SelectedInputs!AU325</f>
        <v>0</v>
      </c>
      <c r="AV465" s="132">
        <f>SelectedInputs!AV325</f>
        <v>0</v>
      </c>
    </row>
    <row r="466" spans="1:48" ht="15">
      <c r="A466" s="7"/>
      <c r="B466" s="7"/>
      <c r="C466" s="7"/>
      <c r="D466" s="82"/>
      <c r="E466" s="27" t="s">
        <v>680</v>
      </c>
      <c r="F466" s="27"/>
      <c r="G466" s="27" t="s">
        <v>209</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2"/>
      <c r="AR466" s="132">
        <f>SelectedInputs!AR326</f>
        <v>0</v>
      </c>
      <c r="AS466" s="132">
        <f>SelectedInputs!AS326</f>
        <v>0</v>
      </c>
      <c r="AT466" s="132">
        <f>SelectedInputs!AT326</f>
        <v>0</v>
      </c>
      <c r="AU466" s="132">
        <f>SelectedInputs!AU326</f>
        <v>0</v>
      </c>
      <c r="AV466" s="132">
        <f>SelectedInputs!AV326</f>
        <v>0</v>
      </c>
    </row>
    <row r="467" spans="1:48" ht="15">
      <c r="A467" s="7"/>
      <c r="B467" s="7"/>
      <c r="C467" s="7"/>
      <c r="D467" s="82"/>
      <c r="E467" s="27" t="s">
        <v>681</v>
      </c>
      <c r="F467" s="27"/>
      <c r="G467" s="27" t="s">
        <v>209</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2"/>
      <c r="AR467" s="132">
        <f>SelectedInputs!AR327</f>
        <v>0.15924411504733338</v>
      </c>
      <c r="AS467" s="132">
        <f>SelectedInputs!AS327</f>
        <v>0.15924411504733338</v>
      </c>
      <c r="AT467" s="132">
        <f>SelectedInputs!AT327</f>
        <v>0.15924411504733338</v>
      </c>
      <c r="AU467" s="132">
        <f>SelectedInputs!AU327</f>
        <v>0.15924411504733341</v>
      </c>
      <c r="AV467" s="132">
        <f>SelectedInputs!AV327</f>
        <v>0.15924411504733338</v>
      </c>
    </row>
    <row r="468" spans="1:48" ht="15">
      <c r="A468" s="7"/>
      <c r="B468" s="7"/>
      <c r="C468" s="7"/>
      <c r="D468" s="82"/>
      <c r="E468" s="27" t="s">
        <v>682</v>
      </c>
      <c r="F468" s="27"/>
      <c r="G468" s="27" t="s">
        <v>209</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2"/>
      <c r="AR468" s="132">
        <f>SelectedInputs!AR328</f>
        <v>0.95709776252402579</v>
      </c>
      <c r="AS468" s="132">
        <f>SelectedInputs!AS328</f>
        <v>0.95709776252402579</v>
      </c>
      <c r="AT468" s="132">
        <f>SelectedInputs!AT328</f>
        <v>0.95709776252402579</v>
      </c>
      <c r="AU468" s="132">
        <f>SelectedInputs!AU328</f>
        <v>0.9570977625240259</v>
      </c>
      <c r="AV468" s="132">
        <f>SelectedInputs!AV328</f>
        <v>0.9570977625240259</v>
      </c>
    </row>
    <row r="469" spans="1:48" ht="15">
      <c r="A469" s="7"/>
      <c r="B469" s="7"/>
      <c r="C469" s="7"/>
      <c r="D469" s="82"/>
      <c r="E469" s="27" t="s">
        <v>683</v>
      </c>
      <c r="F469" s="27"/>
      <c r="G469" s="27" t="s">
        <v>209</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2"/>
      <c r="AR469" s="132">
        <f>SelectedInputs!AR329</f>
        <v>1</v>
      </c>
      <c r="AS469" s="132">
        <f>SelectedInputs!AS329</f>
        <v>1</v>
      </c>
      <c r="AT469" s="132">
        <f>SelectedInputs!AT329</f>
        <v>1</v>
      </c>
      <c r="AU469" s="132">
        <f>SelectedInputs!AU329</f>
        <v>1</v>
      </c>
      <c r="AV469" s="132">
        <f>SelectedInputs!AV329</f>
        <v>1</v>
      </c>
    </row>
    <row r="470" spans="1:48" ht="15">
      <c r="A470" s="7"/>
      <c r="B470" s="7"/>
      <c r="C470" s="7"/>
      <c r="D470" s="82"/>
      <c r="E470" s="27" t="s">
        <v>684</v>
      </c>
      <c r="F470" s="27"/>
      <c r="G470" s="27" t="s">
        <v>209</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192"/>
      <c r="AR470" s="132">
        <f>SelectedInputs!AR330</f>
        <v>0.43447958626077993</v>
      </c>
      <c r="AS470" s="132">
        <f>SelectedInputs!AS330</f>
        <v>0.45188979117983274</v>
      </c>
      <c r="AT470" s="132">
        <f>SelectedInputs!AT330</f>
        <v>0.45952727704347068</v>
      </c>
      <c r="AU470" s="132">
        <f>SelectedInputs!AU330</f>
        <v>0.46224540828438559</v>
      </c>
      <c r="AV470" s="132">
        <f>SelectedInputs!AV330</f>
        <v>0.45932050834908228</v>
      </c>
    </row>
    <row r="471" spans="1:48" ht="15">
      <c r="A471" s="7"/>
      <c r="B471" s="7"/>
      <c r="C471" s="7"/>
      <c r="D471" s="82"/>
      <c r="E471" s="271" t="s">
        <v>685</v>
      </c>
      <c r="F471" s="271"/>
      <c r="G471" s="271" t="s">
        <v>209</v>
      </c>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271"/>
      <c r="AF471" s="271"/>
      <c r="AG471" s="271"/>
      <c r="AH471" s="271"/>
      <c r="AI471" s="271"/>
      <c r="AJ471" s="271"/>
      <c r="AK471" s="271"/>
      <c r="AL471" s="271"/>
      <c r="AM471" s="271"/>
      <c r="AN471" s="271"/>
      <c r="AO471" s="271"/>
      <c r="AP471" s="271"/>
      <c r="AQ471" s="299"/>
      <c r="AR471" s="492">
        <f>SelectedInputs!AR331</f>
        <v>6.0131912994180838E-2</v>
      </c>
      <c r="AS471" s="492">
        <f>SelectedInputs!AS331</f>
        <v>3.5183714098141007E-2</v>
      </c>
      <c r="AT471" s="492">
        <f>SelectedInputs!AT331</f>
        <v>3.3193408574863491E-2</v>
      </c>
      <c r="AU471" s="492">
        <f>SelectedInputs!AU331</f>
        <v>3.0366880990304265E-2</v>
      </c>
      <c r="AV471" s="492">
        <f>SelectedInputs!AV331</f>
        <v>4.1895780396228745E-2</v>
      </c>
    </row>
    <row r="472" spans="1:48" ht="15">
      <c r="A472" s="7"/>
      <c r="B472" s="7"/>
      <c r="C472" s="7"/>
      <c r="D472" s="82"/>
      <c r="E472" s="27" t="s">
        <v>686</v>
      </c>
      <c r="F472" s="27"/>
      <c r="G472" s="27" t="s">
        <v>209</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2"/>
      <c r="AR472" s="132">
        <f>SelectedInputs!AR332</f>
        <v>6.0735163609729456E-2</v>
      </c>
      <c r="AS472" s="132">
        <f>SelectedInputs!AS332</f>
        <v>3.198540904136242E-2</v>
      </c>
      <c r="AT472" s="132">
        <f>SelectedInputs!AT332</f>
        <v>4.7837675422899767E-2</v>
      </c>
      <c r="AU472" s="132">
        <f>SelectedInputs!AU332</f>
        <v>4.9916889087705744E-2</v>
      </c>
      <c r="AV472" s="132">
        <f>SelectedInputs!AV332</f>
        <v>5.2347289741223497E-2</v>
      </c>
    </row>
    <row r="473" spans="1:48" ht="15">
      <c r="A473" s="7"/>
      <c r="B473" s="7"/>
      <c r="C473" s="7"/>
      <c r="D473" s="82"/>
      <c r="E473" s="27" t="s">
        <v>687</v>
      </c>
      <c r="F473" s="27"/>
      <c r="G473" s="27" t="s">
        <v>209</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2"/>
      <c r="AR473" s="132">
        <f>SelectedInputs!AR333</f>
        <v>3.2073630830425887E-2</v>
      </c>
      <c r="AS473" s="132">
        <f>SelectedInputs!AS333</f>
        <v>4.7203202372671643E-2</v>
      </c>
      <c r="AT473" s="132">
        <f>SelectedInputs!AT333</f>
        <v>0.16745445086403113</v>
      </c>
      <c r="AU473" s="132">
        <f>SelectedInputs!AU333</f>
        <v>0.18852086393230502</v>
      </c>
      <c r="AV473" s="132">
        <f>SelectedInputs!AV333</f>
        <v>4.4018927888554528E-2</v>
      </c>
    </row>
    <row r="474" spans="1:48" ht="15">
      <c r="A474" s="7"/>
      <c r="B474" s="7"/>
      <c r="C474" s="7"/>
      <c r="D474" s="82"/>
      <c r="E474" s="27" t="s">
        <v>688</v>
      </c>
      <c r="F474" s="27"/>
      <c r="G474" s="27" t="s">
        <v>209</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2"/>
      <c r="AR474" s="132">
        <f>SelectedInputs!AR334</f>
        <v>0</v>
      </c>
      <c r="AS474" s="132">
        <f>SelectedInputs!AS334</f>
        <v>0</v>
      </c>
      <c r="AT474" s="132">
        <f>SelectedInputs!AT334</f>
        <v>0</v>
      </c>
      <c r="AU474" s="132">
        <f>SelectedInputs!AU334</f>
        <v>0</v>
      </c>
      <c r="AV474" s="132">
        <f>SelectedInputs!AV334</f>
        <v>0</v>
      </c>
    </row>
    <row r="475" spans="1:48" ht="15">
      <c r="A475" s="7"/>
      <c r="B475" s="7"/>
      <c r="C475" s="7"/>
      <c r="D475" s="82"/>
      <c r="E475" s="27" t="s">
        <v>689</v>
      </c>
      <c r="F475" s="27"/>
      <c r="G475" s="27" t="s">
        <v>209</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2"/>
      <c r="AR475" s="132">
        <f>SelectedInputs!AR335</f>
        <v>0</v>
      </c>
      <c r="AS475" s="132">
        <f>SelectedInputs!AS335</f>
        <v>0</v>
      </c>
      <c r="AT475" s="132">
        <f>SelectedInputs!AT335</f>
        <v>0</v>
      </c>
      <c r="AU475" s="132">
        <f>SelectedInputs!AU335</f>
        <v>0</v>
      </c>
      <c r="AV475" s="132">
        <f>SelectedInputs!AV335</f>
        <v>0</v>
      </c>
    </row>
    <row r="476" spans="1:48" ht="15">
      <c r="A476" s="7"/>
      <c r="B476" s="7"/>
      <c r="C476" s="7"/>
      <c r="D476" s="82"/>
      <c r="E476" s="27" t="s">
        <v>690</v>
      </c>
      <c r="F476" s="27"/>
      <c r="G476" s="27" t="s">
        <v>209</v>
      </c>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192"/>
      <c r="AR476" s="132">
        <f>SelectedInputs!AR336</f>
        <v>0</v>
      </c>
      <c r="AS476" s="132">
        <f>SelectedInputs!AS336</f>
        <v>0</v>
      </c>
      <c r="AT476" s="132">
        <f>SelectedInputs!AT336</f>
        <v>0</v>
      </c>
      <c r="AU476" s="132">
        <f>SelectedInputs!AU336</f>
        <v>0</v>
      </c>
      <c r="AV476" s="132">
        <f>SelectedInputs!AV336</f>
        <v>0</v>
      </c>
    </row>
    <row r="477" spans="1:48" ht="15">
      <c r="A477" s="7"/>
      <c r="B477" s="7"/>
      <c r="C477" s="7"/>
      <c r="D477" s="82"/>
      <c r="E477" s="272" t="s">
        <v>691</v>
      </c>
      <c r="F477" s="272"/>
      <c r="G477" s="272" t="s">
        <v>209</v>
      </c>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s="272"/>
      <c r="AG477" s="272"/>
      <c r="AH477" s="272"/>
      <c r="AI477" s="272"/>
      <c r="AJ477" s="272"/>
      <c r="AK477" s="272"/>
      <c r="AL477" s="272"/>
      <c r="AM477" s="272"/>
      <c r="AN477" s="272"/>
      <c r="AO477" s="272"/>
      <c r="AP477" s="272"/>
      <c r="AQ477" s="300"/>
      <c r="AR477" s="493">
        <f>SelectedInputs!AR337</f>
        <v>1.6580623826838566E-2</v>
      </c>
      <c r="AS477" s="493">
        <f>SelectedInputs!AS337</f>
        <v>1.2254617229006975E-2</v>
      </c>
      <c r="AT477" s="493">
        <f>SelectedInputs!AT337</f>
        <v>2.9985539551226729E-2</v>
      </c>
      <c r="AU477" s="493">
        <f>SelectedInputs!AU337</f>
        <v>3.0925098810720957E-2</v>
      </c>
      <c r="AV477" s="493">
        <f>SelectedInputs!AV337</f>
        <v>1.6353392451442461E-2</v>
      </c>
    </row>
    <row r="478" spans="1:48" ht="15">
      <c r="A478" s="7"/>
      <c r="B478" s="7"/>
      <c r="C478" s="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99"/>
      <c r="AR478" s="7"/>
      <c r="AS478" s="7"/>
      <c r="AT478" s="7"/>
      <c r="AU478" s="7"/>
      <c r="AV478" s="7"/>
    </row>
    <row r="479" spans="1:48" ht="15">
      <c r="B479" s="37" t="s">
        <v>79</v>
      </c>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8"/>
      <c r="AR479" s="37"/>
      <c r="AS479" s="37"/>
      <c r="AT479" s="37"/>
      <c r="AU479" s="37"/>
      <c r="AV479" s="37"/>
    </row>
    <row r="480" spans="1:48" ht="15">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pans="1:48" ht="15">
      <c r="A481" s="7"/>
      <c r="B481" s="7"/>
      <c r="C481" s="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7"/>
      <c r="AS481" s="7"/>
      <c r="AT481" s="7"/>
      <c r="AU481" s="7"/>
      <c r="AV481" s="7"/>
    </row>
  </sheetData>
  <conditionalFormatting sqref="K275:AP275 AR275:BA275">
    <cfRule type="cellIs" dxfId="124" priority="15" operator="equal">
      <formula>FALSE()</formula>
    </cfRule>
  </conditionalFormatting>
  <conditionalFormatting sqref="K16:AV18 K101:BA114 K278:AP279 AR278:BA279">
    <cfRule type="cellIs" dxfId="123" priority="24" operator="equal">
      <formula>FALSE()</formula>
    </cfRule>
  </conditionalFormatting>
  <conditionalFormatting sqref="AM3">
    <cfRule type="expression" dxfId="122" priority="22">
      <formula>$AM$3="OK"</formula>
    </cfRule>
  </conditionalFormatting>
  <conditionalFormatting sqref="AW246:BA259">
    <cfRule type="cellIs" dxfId="121"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customHeight="1"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54" ht="19.5">
      <c r="A1" s="195" t="s">
        <v>43</v>
      </c>
      <c r="B1" s="181"/>
      <c r="C1" s="181"/>
      <c r="D1" s="181"/>
      <c r="E1" s="275"/>
      <c r="F1" s="331" t="s">
        <v>542</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181"/>
      <c r="AP1" s="181"/>
      <c r="AQ1" s="17"/>
      <c r="AR1" s="171"/>
      <c r="AS1" s="171"/>
      <c r="AT1" s="181"/>
      <c r="AU1" s="181"/>
      <c r="AV1" s="181"/>
      <c r="AW1" s="181"/>
    </row>
    <row r="2" spans="1:54" ht="15">
      <c r="A2" s="181"/>
      <c r="B2" s="157" t="str">
        <f>UserInterface!E30</f>
        <v>NPgN</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54"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5">
      <c r="A6" s="2"/>
      <c r="B6" s="37" t="s">
        <v>396</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5">
      <c r="A7" s="2"/>
      <c r="B7" s="2"/>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89"/>
      <c r="AR7" s="194"/>
      <c r="AS7" s="194"/>
      <c r="AT7" s="194"/>
      <c r="AU7" s="194"/>
      <c r="AV7" s="194"/>
    </row>
    <row r="8" spans="1:54" ht="15">
      <c r="A8" s="94"/>
      <c r="B8" s="2"/>
      <c r="C8" s="20" t="s">
        <v>692</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5">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5">
      <c r="A10" s="82"/>
      <c r="B10" s="82"/>
      <c r="C10" s="82"/>
      <c r="D10" s="82"/>
      <c r="E10" s="82" t="s">
        <v>693</v>
      </c>
      <c r="F10" s="82"/>
      <c r="G10" s="82" t="s">
        <v>315</v>
      </c>
      <c r="H10" s="82" t="s">
        <v>421</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SelectedInputs!AJ353</f>
        <v>0</v>
      </c>
      <c r="AK10" s="8">
        <f>SelectedInputs!AK353</f>
        <v>0</v>
      </c>
      <c r="AL10" s="8">
        <f>SelectedInputs!AL353</f>
        <v>0</v>
      </c>
      <c r="AM10" s="8">
        <f>SelectedInputs!AM353</f>
        <v>0</v>
      </c>
      <c r="AN10" s="8">
        <f>SelectedInputs!AN353</f>
        <v>0</v>
      </c>
      <c r="AO10" s="8">
        <f>SelectedInputs!AO353</f>
        <v>0</v>
      </c>
      <c r="AP10" s="8">
        <f>SelectedInputs!AP353</f>
        <v>1.238</v>
      </c>
      <c r="AQ10" s="9">
        <f>SelectedInputs!AQ353</f>
        <v>1.321</v>
      </c>
      <c r="AR10" s="490"/>
      <c r="AS10" s="490"/>
      <c r="AT10" s="82"/>
      <c r="AU10" s="82"/>
      <c r="AV10" s="82"/>
      <c r="AW10" s="184"/>
      <c r="AX10" s="184"/>
      <c r="AY10" s="184"/>
      <c r="AZ10" s="184"/>
      <c r="BA10" s="184"/>
      <c r="BB10" s="82"/>
    </row>
    <row r="11" spans="1:54" ht="15">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5">
      <c r="A12" s="82"/>
      <c r="B12" s="82"/>
      <c r="C12" s="82"/>
      <c r="D12" s="82"/>
      <c r="E12" s="2" t="s">
        <v>694</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1">
        <f>InputSummary!AQ194</f>
        <v>1.1939376770538244</v>
      </c>
      <c r="AR12" s="121">
        <f>InputSummary!AR194</f>
        <v>1.2891506141768156</v>
      </c>
      <c r="AS12" s="121">
        <f>InputSummary!AS194</f>
        <v>1.3284361388165782</v>
      </c>
      <c r="AT12" s="121">
        <f>InputSummary!AT194</f>
        <v>1.3511547218960771</v>
      </c>
      <c r="AU12" s="121">
        <f>InputSummary!AU194</f>
        <v>1.3719916643626167</v>
      </c>
      <c r="AV12" s="121">
        <f>InputSummary!AV194</f>
        <v>1.3966351746111914</v>
      </c>
      <c r="AW12" s="184"/>
      <c r="AX12" s="184"/>
      <c r="AY12" s="184"/>
      <c r="AZ12" s="184"/>
      <c r="BA12" s="184"/>
      <c r="BB12" s="82"/>
    </row>
    <row r="13" spans="1:54" ht="16.5">
      <c r="A13" s="82"/>
      <c r="B13" s="82"/>
      <c r="C13" s="82"/>
      <c r="D13" s="82"/>
      <c r="E13" s="2" t="s">
        <v>695</v>
      </c>
      <c r="F13" s="82"/>
      <c r="G13" s="2" t="s">
        <v>315</v>
      </c>
      <c r="H13" s="402" t="s">
        <v>696</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1">
        <f t="shared" si="0"/>
        <v>1.4354415721535372</v>
      </c>
      <c r="AR13" s="121">
        <f t="shared" si="0"/>
        <v>1.5499137182126492</v>
      </c>
      <c r="AS13" s="121">
        <f t="shared" si="0"/>
        <v>1.5971457273330341</v>
      </c>
      <c r="AT13" s="121">
        <f t="shared" si="0"/>
        <v>1.6244597146872219</v>
      </c>
      <c r="AU13" s="121">
        <f t="shared" si="0"/>
        <v>1.6495114523347425</v>
      </c>
      <c r="AV13" s="121">
        <f t="shared" si="0"/>
        <v>1.6791397317453445</v>
      </c>
      <c r="AW13" s="184"/>
      <c r="AX13" s="184"/>
      <c r="AY13" s="184"/>
      <c r="AZ13" s="184"/>
      <c r="BA13" s="184"/>
      <c r="BB13" s="82"/>
    </row>
    <row r="14" spans="1:54" ht="15">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6"/>
      <c r="AK14" s="256"/>
      <c r="AL14" s="256"/>
      <c r="AM14" s="256"/>
      <c r="AN14" s="256"/>
      <c r="AO14" s="256"/>
      <c r="AP14" s="423"/>
      <c r="AQ14" s="297"/>
      <c r="AR14" s="30"/>
      <c r="AS14" s="30"/>
      <c r="AT14" s="30"/>
      <c r="AU14" s="30"/>
      <c r="AV14" s="30"/>
      <c r="AW14" s="184"/>
      <c r="AX14" s="184"/>
      <c r="AY14" s="184"/>
      <c r="AZ14" s="184"/>
      <c r="BA14" s="184"/>
      <c r="BB14" s="82"/>
    </row>
    <row r="15" spans="1:54" ht="16.5">
      <c r="A15" s="82"/>
      <c r="B15" s="82"/>
      <c r="C15" s="82"/>
      <c r="D15" s="82"/>
      <c r="E15" s="2" t="s">
        <v>697</v>
      </c>
      <c r="F15" s="82"/>
      <c r="G15" s="2" t="s">
        <v>209</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2">
        <f>InputSummary!AJ182</f>
        <v>3.7574999999999997E-2</v>
      </c>
      <c r="AK15" s="212">
        <f>InputSummary!AK182</f>
        <v>3.6729999999999999E-2</v>
      </c>
      <c r="AL15" s="212">
        <f>InputSummary!AL182</f>
        <v>3.5885E-2</v>
      </c>
      <c r="AM15" s="212">
        <f>InputSummary!AM182</f>
        <v>3.4584999999999998E-2</v>
      </c>
      <c r="AN15" s="212">
        <f>InputSummary!AN182</f>
        <v>3.3610000000000001E-2</v>
      </c>
      <c r="AO15" s="212">
        <f>InputSummary!AO182</f>
        <v>3.2570000000000002E-2</v>
      </c>
      <c r="AP15" s="212">
        <f>InputSummary!AP182</f>
        <v>3.1529999999999996E-2</v>
      </c>
      <c r="AQ15" s="295">
        <f>InputSummary!AQ182</f>
        <v>3.0359999999999998E-2</v>
      </c>
      <c r="AR15" s="212">
        <f>InputSummary!AR182</f>
        <v>3.97335776E-2</v>
      </c>
      <c r="AS15" s="212">
        <f>InputSummary!AS182</f>
        <v>4.1370183200000001E-2</v>
      </c>
      <c r="AT15" s="212">
        <f>InputSummary!AT182</f>
        <v>4.1450170800000005E-2</v>
      </c>
      <c r="AU15" s="212">
        <f>InputSummary!AU182</f>
        <v>4.15681044E-2</v>
      </c>
      <c r="AV15" s="212">
        <f>InputSummary!AV182</f>
        <v>4.1755693600000005E-2</v>
      </c>
      <c r="AW15" s="184"/>
      <c r="AX15" s="184"/>
      <c r="AY15" s="184"/>
      <c r="AZ15" s="184"/>
      <c r="BA15" s="184"/>
      <c r="BB15" s="82"/>
    </row>
    <row r="16" spans="1:54" ht="16.5">
      <c r="A16" s="82"/>
      <c r="B16" s="82"/>
      <c r="C16" s="82"/>
      <c r="D16" s="82"/>
      <c r="E16" s="424" t="s">
        <v>698</v>
      </c>
      <c r="F16" s="82"/>
      <c r="G16" s="2" t="s">
        <v>315</v>
      </c>
      <c r="H16" s="82" t="s">
        <v>699</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1.0375749999999999</v>
      </c>
      <c r="AK16" s="425">
        <f t="shared" si="1"/>
        <v>1.0367299999999999</v>
      </c>
      <c r="AL16" s="425">
        <f t="shared" si="1"/>
        <v>1.0358849999999999</v>
      </c>
      <c r="AM16" s="425">
        <f t="shared" si="1"/>
        <v>1.0345850000000001</v>
      </c>
      <c r="AN16" s="425">
        <f t="shared" si="1"/>
        <v>1.0336099999999999</v>
      </c>
      <c r="AO16" s="425">
        <f t="shared" si="1"/>
        <v>1.03257</v>
      </c>
      <c r="AP16" s="425">
        <f t="shared" si="1"/>
        <v>1.0315300000000001</v>
      </c>
      <c r="AQ16" s="426">
        <f t="shared" si="1"/>
        <v>1.0303599999999999</v>
      </c>
      <c r="AR16" s="425">
        <f t="shared" si="1"/>
        <v>1.0397335776000001</v>
      </c>
      <c r="AS16" s="425">
        <f t="shared" si="1"/>
        <v>1.0413701832</v>
      </c>
      <c r="AT16" s="425">
        <f t="shared" si="1"/>
        <v>1.0414501707999999</v>
      </c>
      <c r="AU16" s="425">
        <f t="shared" si="1"/>
        <v>1.0415681044</v>
      </c>
      <c r="AV16" s="425">
        <f t="shared" si="1"/>
        <v>1.0417556936000001</v>
      </c>
      <c r="AW16" s="184"/>
      <c r="AX16" s="184"/>
      <c r="AY16" s="184"/>
      <c r="AZ16" s="184"/>
      <c r="BA16" s="184"/>
      <c r="BB16" s="82"/>
    </row>
    <row r="17" spans="1:54" ht="15">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8"/>
      <c r="AR17" s="30"/>
      <c r="AS17" s="30"/>
      <c r="AT17" s="30"/>
      <c r="AU17" s="30"/>
      <c r="AV17" s="30"/>
      <c r="AW17" s="184"/>
      <c r="AX17" s="184"/>
      <c r="AY17" s="184"/>
      <c r="AZ17" s="184"/>
      <c r="BA17" s="184"/>
      <c r="BB17" s="82"/>
    </row>
    <row r="18" spans="1:54" ht="15">
      <c r="A18" s="82"/>
      <c r="B18" s="82"/>
      <c r="C18" s="28" t="s">
        <v>700</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5">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8"/>
      <c r="AR19" s="30"/>
      <c r="AS19" s="30"/>
      <c r="AT19" s="30"/>
      <c r="AU19" s="30"/>
      <c r="AV19" s="30"/>
      <c r="AW19" s="184"/>
      <c r="AX19" s="184"/>
      <c r="AY19" s="184"/>
      <c r="AZ19" s="184"/>
      <c r="BA19" s="184"/>
      <c r="BB19" s="82"/>
    </row>
    <row r="20" spans="1:54" ht="15">
      <c r="A20" s="82"/>
      <c r="B20" s="82"/>
      <c r="C20" s="82"/>
      <c r="D20" s="82"/>
      <c r="E20" s="7" t="s">
        <v>701</v>
      </c>
      <c r="F20" s="82"/>
      <c r="G20" s="2" t="s">
        <v>529</v>
      </c>
      <c r="H20" s="82" t="s">
        <v>400</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8"/>
      <c r="AR20" s="30">
        <f>SelectedInputs!AR342</f>
        <v>5.9067877879569908</v>
      </c>
      <c r="AS20" s="30"/>
      <c r="AT20" s="30"/>
      <c r="AU20" s="30"/>
      <c r="AV20" s="30"/>
      <c r="AW20" s="184"/>
      <c r="AX20" s="184"/>
      <c r="AY20" s="184"/>
      <c r="AZ20" s="184"/>
      <c r="BA20" s="184"/>
      <c r="BB20" s="82"/>
    </row>
    <row r="21" spans="1:54" ht="15">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0"/>
      <c r="AW21" s="184"/>
      <c r="AX21" s="184"/>
      <c r="AY21" s="184"/>
      <c r="AZ21" s="184"/>
      <c r="BA21" s="184"/>
      <c r="BB21" s="82"/>
    </row>
    <row r="22" spans="1:54" ht="15">
      <c r="A22" s="82"/>
      <c r="B22" s="82"/>
      <c r="C22" s="82"/>
      <c r="D22" s="82"/>
      <c r="E22" s="2" t="s">
        <v>702</v>
      </c>
      <c r="F22" s="82"/>
      <c r="G22" s="2" t="s">
        <v>529</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5"/>
      <c r="AR22" s="13">
        <f>$AR20/5</f>
        <v>1.1813575575913982</v>
      </c>
      <c r="AS22" s="13">
        <f>$AR20/5</f>
        <v>1.1813575575913982</v>
      </c>
      <c r="AT22" s="13">
        <f>$AR20/5</f>
        <v>1.1813575575913982</v>
      </c>
      <c r="AU22" s="13">
        <f>$AR20/5</f>
        <v>1.1813575575913982</v>
      </c>
      <c r="AV22" s="13">
        <f>$AR20/5</f>
        <v>1.1813575575913982</v>
      </c>
      <c r="AW22" s="184"/>
      <c r="AX22" s="184"/>
      <c r="AY22" s="184"/>
      <c r="AZ22" s="184"/>
      <c r="BA22" s="184"/>
      <c r="BB22" s="82"/>
    </row>
    <row r="23" spans="1:54" ht="15">
      <c r="A23" s="82"/>
      <c r="B23" s="82"/>
      <c r="C23" s="82"/>
      <c r="D23" s="82"/>
      <c r="E23" s="2" t="s">
        <v>703</v>
      </c>
      <c r="F23" s="82"/>
      <c r="G23" s="2" t="s">
        <v>209</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5"/>
      <c r="AR23" s="212">
        <f>AR15</f>
        <v>3.97335776E-2</v>
      </c>
      <c r="AS23" s="212">
        <f>AS15</f>
        <v>4.1370183200000001E-2</v>
      </c>
      <c r="AT23" s="212">
        <f>AT15</f>
        <v>4.1450170800000005E-2</v>
      </c>
      <c r="AU23" s="212">
        <f>AU15</f>
        <v>4.15681044E-2</v>
      </c>
      <c r="AV23" s="212">
        <f>AV15</f>
        <v>4.1755693600000005E-2</v>
      </c>
      <c r="AW23" s="184"/>
      <c r="AX23" s="184"/>
      <c r="AY23" s="184"/>
      <c r="AZ23" s="184"/>
      <c r="BA23" s="184"/>
      <c r="BB23" s="82"/>
    </row>
    <row r="24" spans="1:54" ht="15">
      <c r="A24" s="82"/>
      <c r="B24" s="82"/>
      <c r="C24" s="82"/>
      <c r="D24" s="82"/>
      <c r="E24" s="2" t="s">
        <v>704</v>
      </c>
      <c r="F24" s="82"/>
      <c r="G24" s="2" t="s">
        <v>315</v>
      </c>
      <c r="H24" s="82" t="s">
        <v>705</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5"/>
      <c r="AR24" s="427">
        <v>1</v>
      </c>
      <c r="AS24" s="13" cm="1">
        <f t="array" ref="AS24">PRODUCT(1+$AR23:AR$23)</f>
        <v>1.0397335776000001</v>
      </c>
      <c r="AT24" s="13" cm="1">
        <f t="array" ref="AT24">PRODUCT(1+$AR23:AS$23)</f>
        <v>1.0827475461845035</v>
      </c>
      <c r="AU24" s="13" cm="1">
        <f t="array" ref="AU24">PRODUCT(1+$AR23:AT$23)</f>
        <v>1.127627616907132</v>
      </c>
      <c r="AV24" s="13" cm="1">
        <f t="array" ref="AV24">PRODUCT(1+$AR23:AU$23)</f>
        <v>1.1745009594110509</v>
      </c>
      <c r="AW24" s="184"/>
      <c r="AX24" s="184"/>
      <c r="AY24" s="184"/>
      <c r="AZ24" s="184"/>
      <c r="BA24" s="184"/>
      <c r="BB24" s="82"/>
    </row>
    <row r="25" spans="1:54" ht="15">
      <c r="A25" s="82"/>
      <c r="B25" s="82"/>
      <c r="C25" s="82"/>
      <c r="D25" s="82"/>
      <c r="E25" s="2" t="s">
        <v>706</v>
      </c>
      <c r="F25" s="82"/>
      <c r="G25" s="2" t="s">
        <v>529</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5"/>
      <c r="AR25" s="13">
        <f>AR22*AR24</f>
        <v>1.1813575575913982</v>
      </c>
      <c r="AS25" s="13">
        <f>AS22*AS24</f>
        <v>1.2282971197793024</v>
      </c>
      <c r="AT25" s="13">
        <f>AT22*AT24</f>
        <v>1.2791119966486046</v>
      </c>
      <c r="AU25" s="13">
        <f>AU22*AU24</f>
        <v>1.3321314073820183</v>
      </c>
      <c r="AV25" s="13">
        <f>AV22*AV24</f>
        <v>1.3875055847985929</v>
      </c>
      <c r="AW25" s="184"/>
      <c r="AX25" s="184"/>
      <c r="AY25" s="184"/>
      <c r="AZ25" s="184"/>
      <c r="BA25" s="184"/>
      <c r="BB25" s="82"/>
    </row>
    <row r="26" spans="1:54" ht="15">
      <c r="A26" s="82"/>
      <c r="B26" s="82"/>
      <c r="C26" s="82"/>
      <c r="D26" s="82"/>
      <c r="E26" s="2" t="s">
        <v>706</v>
      </c>
      <c r="F26" s="82"/>
      <c r="G26" s="2" t="s">
        <v>304</v>
      </c>
      <c r="H26" s="82" t="s">
        <v>707</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5"/>
      <c r="AR26" s="13">
        <f>AR25*AR13</f>
        <v>1.8310022846250977</v>
      </c>
      <c r="AS26" s="13">
        <f>AS25*AS13</f>
        <v>1.9617694967509849</v>
      </c>
      <c r="AT26" s="13">
        <f>AT25*AT13</f>
        <v>2.077865909128795</v>
      </c>
      <c r="AU26" s="13">
        <f>AU25*AU13</f>
        <v>2.1973660124914374</v>
      </c>
      <c r="AV26" s="13">
        <f>AV25*AV13</f>
        <v>2.3298157554538768</v>
      </c>
      <c r="AW26" s="184"/>
      <c r="AX26" s="184"/>
      <c r="AY26" s="184"/>
      <c r="AZ26" s="184"/>
      <c r="BA26" s="184"/>
      <c r="BB26" s="82"/>
    </row>
    <row r="27" spans="1:54" ht="15">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8"/>
      <c r="AS27" s="23"/>
      <c r="AT27" s="23"/>
      <c r="AU27" s="23"/>
      <c r="AV27" s="23"/>
      <c r="AW27" s="184"/>
      <c r="AX27" s="184"/>
      <c r="AY27" s="184"/>
      <c r="AZ27" s="184"/>
      <c r="BA27" s="184"/>
      <c r="BB27" s="82"/>
    </row>
    <row r="28" spans="1:54" ht="15">
      <c r="A28" s="82"/>
      <c r="B28" s="82"/>
      <c r="C28" s="28" t="s">
        <v>708</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5">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8"/>
      <c r="AR29" s="30"/>
      <c r="AS29" s="30"/>
      <c r="AT29" s="30"/>
      <c r="AU29" s="30"/>
      <c r="AV29" s="30"/>
      <c r="AW29" s="184"/>
      <c r="AX29" s="184"/>
      <c r="AY29" s="184"/>
      <c r="AZ29" s="184"/>
      <c r="BA29" s="184"/>
      <c r="BB29" s="82"/>
    </row>
    <row r="30" spans="1:54" ht="15">
      <c r="A30" s="82"/>
      <c r="B30" s="82"/>
      <c r="C30" s="82"/>
      <c r="D30" s="10" t="s">
        <v>709</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5">
      <c r="A31" s="82"/>
      <c r="B31" s="82"/>
      <c r="C31" s="82"/>
      <c r="D31" s="82"/>
      <c r="E31" s="85" t="s">
        <v>710</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8"/>
      <c r="AR31" s="30"/>
      <c r="AS31" s="30"/>
      <c r="AT31" s="30"/>
      <c r="AU31" s="30"/>
      <c r="AV31" s="30"/>
      <c r="AW31" s="184"/>
      <c r="AX31" s="184"/>
      <c r="AY31" s="184"/>
      <c r="AZ31" s="184"/>
      <c r="BA31" s="184"/>
      <c r="BB31" s="82"/>
    </row>
    <row r="32" spans="1:54" ht="15">
      <c r="A32" s="82"/>
      <c r="B32" s="82"/>
      <c r="C32" s="82"/>
      <c r="D32" s="82"/>
      <c r="E32" s="318" t="s">
        <v>711</v>
      </c>
      <c r="F32" s="82"/>
      <c r="G32" s="2" t="s">
        <v>529</v>
      </c>
      <c r="H32" s="82" t="s">
        <v>418</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SelectedInputs!AP352</f>
        <v>251.83793916644086</v>
      </c>
      <c r="AQ32" s="9">
        <f>SelectedInputs!AQ352</f>
        <v>244.31089676042151</v>
      </c>
      <c r="AR32" s="30"/>
      <c r="AS32" s="30"/>
      <c r="AT32" s="30"/>
      <c r="AU32" s="30"/>
      <c r="AV32" s="30"/>
      <c r="AW32" s="184"/>
      <c r="AX32" s="184"/>
      <c r="AY32" s="184"/>
      <c r="AZ32" s="184"/>
      <c r="BA32" s="184"/>
      <c r="BB32" s="82"/>
    </row>
    <row r="33" spans="1:54" ht="15">
      <c r="A33" s="82"/>
      <c r="B33" s="82"/>
      <c r="C33" s="82"/>
      <c r="D33" s="82"/>
      <c r="E33" s="7" t="s">
        <v>710</v>
      </c>
      <c r="F33" s="82"/>
      <c r="G33" s="2" t="s">
        <v>304</v>
      </c>
      <c r="H33" s="82" t="s">
        <v>712</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8"/>
      <c r="AR33" s="30">
        <f>IFERROR(((AP$13-AP10)/AP$13) * AP$32 * AP$16 * AQ$16*AR13,0)</f>
        <v>11.000388283562989</v>
      </c>
      <c r="AS33" s="30">
        <f>IFERROR(((AQ$13-AQ10)/AQ$13) * AQ$32 * AQ$16 * AR$16*AS13,0)</f>
        <v>33.327039582195709</v>
      </c>
      <c r="AT33" s="30"/>
      <c r="AU33" s="30"/>
      <c r="AV33" s="30"/>
      <c r="AW33" s="184"/>
      <c r="AX33" s="184"/>
      <c r="AY33" s="184"/>
      <c r="AZ33" s="184"/>
      <c r="BA33" s="184"/>
      <c r="BB33" s="82"/>
    </row>
    <row r="34" spans="1:54" ht="15">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8"/>
      <c r="AR34" s="30"/>
      <c r="AS34" s="30"/>
      <c r="AT34" s="30"/>
      <c r="AU34" s="30"/>
      <c r="AV34" s="30"/>
      <c r="AW34" s="184"/>
      <c r="AX34" s="184"/>
      <c r="AY34" s="184"/>
      <c r="AZ34" s="184"/>
      <c r="BA34" s="184"/>
      <c r="BB34" s="82"/>
    </row>
    <row r="35" spans="1:54" ht="15">
      <c r="A35" s="82"/>
      <c r="B35" s="82"/>
      <c r="C35" s="82"/>
      <c r="D35" s="82"/>
      <c r="E35" s="85" t="s">
        <v>422</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8"/>
      <c r="AR35" s="8"/>
      <c r="AS35" s="30"/>
      <c r="AT35" s="30"/>
      <c r="AU35" s="30"/>
      <c r="AV35" s="30"/>
      <c r="AW35" s="184"/>
      <c r="AX35" s="184"/>
      <c r="AY35" s="184"/>
      <c r="AZ35" s="184"/>
      <c r="BA35" s="184"/>
      <c r="BB35" s="82"/>
    </row>
    <row r="36" spans="1:54" ht="15">
      <c r="A36" s="82"/>
      <c r="B36" s="82"/>
      <c r="C36" s="82"/>
      <c r="D36" s="82"/>
      <c r="E36" s="318" t="s">
        <v>423</v>
      </c>
      <c r="F36" s="82"/>
      <c r="G36" s="82" t="s">
        <v>304</v>
      </c>
      <c r="H36" s="82" t="s">
        <v>424</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SelectedInputs!AJ355</f>
        <v>279.46422679</v>
      </c>
      <c r="AK36" s="8">
        <f>SelectedInputs!AK355</f>
        <v>290.64971804000004</v>
      </c>
      <c r="AL36" s="8">
        <f>SelectedInputs!AL355</f>
        <v>279.87524431000003</v>
      </c>
      <c r="AM36" s="8">
        <f>SelectedInputs!AM355</f>
        <v>280.96392697399995</v>
      </c>
      <c r="AN36" s="8">
        <f>SelectedInputs!AN355</f>
        <v>295.61218076</v>
      </c>
      <c r="AO36" s="8">
        <f>SelectedInputs!AO355</f>
        <v>302.06496326000001</v>
      </c>
      <c r="AP36" s="8">
        <f>SelectedInputs!AP355</f>
        <v>328.22779650999991</v>
      </c>
      <c r="AQ36" s="9">
        <f>SelectedInputs!AQ355</f>
        <v>387.98965212000002</v>
      </c>
      <c r="AR36" s="8"/>
      <c r="AS36" s="30"/>
      <c r="AT36" s="30"/>
      <c r="AU36" s="30"/>
      <c r="AV36" s="30"/>
      <c r="AW36" s="184"/>
      <c r="AX36" s="184"/>
      <c r="AY36" s="184"/>
      <c r="AZ36" s="184"/>
      <c r="BA36" s="184"/>
      <c r="BB36" s="82"/>
    </row>
    <row r="37" spans="1:54" ht="15">
      <c r="A37" s="82"/>
      <c r="B37" s="82"/>
      <c r="C37" s="82"/>
      <c r="D37" s="82"/>
      <c r="E37" s="318" t="s">
        <v>425</v>
      </c>
      <c r="F37" s="82"/>
      <c r="G37" s="82" t="s">
        <v>304</v>
      </c>
      <c r="H37" s="82" t="s">
        <v>69</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SelectedInputs!AJ356</f>
        <v>280.86902679440749</v>
      </c>
      <c r="AK37" s="8">
        <f>SelectedInputs!AK356</f>
        <v>288.84380742766234</v>
      </c>
      <c r="AL37" s="8">
        <f>SelectedInputs!AL356</f>
        <v>282.26484040299204</v>
      </c>
      <c r="AM37" s="8">
        <f>SelectedInputs!AM356</f>
        <v>295.47971438118259</v>
      </c>
      <c r="AN37" s="8">
        <f>SelectedInputs!AN356</f>
        <v>306.49167069017739</v>
      </c>
      <c r="AO37" s="8">
        <f>SelectedInputs!AO356</f>
        <v>321.94451616631017</v>
      </c>
      <c r="AP37" s="8">
        <f>SelectedInputs!AP356</f>
        <v>326.86098308043393</v>
      </c>
      <c r="AQ37" s="9">
        <f>SelectedInputs!AQ356</f>
        <v>400.6964231536399</v>
      </c>
      <c r="AR37" s="8"/>
      <c r="AS37" s="30"/>
      <c r="AT37" s="30"/>
      <c r="AU37" s="30"/>
      <c r="AV37" s="30"/>
      <c r="AW37" s="184"/>
      <c r="AX37" s="184"/>
      <c r="AY37" s="184"/>
      <c r="AZ37" s="184"/>
      <c r="BA37" s="184"/>
      <c r="BB37" s="82"/>
    </row>
    <row r="38" spans="1:54" ht="15">
      <c r="A38" s="82"/>
      <c r="B38" s="82"/>
      <c r="C38" s="82"/>
      <c r="D38" s="82"/>
      <c r="E38" s="318" t="s">
        <v>713</v>
      </c>
      <c r="F38" s="82"/>
      <c r="G38" s="82" t="s">
        <v>304</v>
      </c>
      <c r="H38" s="82" t="s">
        <v>714</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-1.4048000044074911</v>
      </c>
      <c r="AK38" s="7">
        <f t="shared" si="2"/>
        <v>1.8059106123376978</v>
      </c>
      <c r="AL38" s="7">
        <f t="shared" si="2"/>
        <v>-2.3895960929920079</v>
      </c>
      <c r="AM38" s="7">
        <f t="shared" si="2"/>
        <v>-14.515787407182643</v>
      </c>
      <c r="AN38" s="7">
        <f t="shared" si="2"/>
        <v>-10.879489930177385</v>
      </c>
      <c r="AO38" s="7">
        <f t="shared" si="2"/>
        <v>-19.879552906310153</v>
      </c>
      <c r="AP38" s="7">
        <f t="shared" si="2"/>
        <v>1.3668134295659797</v>
      </c>
      <c r="AQ38" s="65">
        <f t="shared" si="2"/>
        <v>-12.706771033639882</v>
      </c>
      <c r="AR38" s="8"/>
      <c r="AS38" s="30"/>
      <c r="AT38" s="30"/>
      <c r="AU38" s="30"/>
      <c r="AV38" s="30"/>
      <c r="AW38" s="184"/>
      <c r="AX38" s="184"/>
      <c r="AY38" s="184"/>
      <c r="AZ38" s="184"/>
      <c r="BA38" s="184"/>
      <c r="BB38" s="82"/>
    </row>
    <row r="39" spans="1:54" ht="15">
      <c r="A39" s="82"/>
      <c r="B39" s="82"/>
      <c r="C39" s="82"/>
      <c r="D39" s="82"/>
      <c r="E39" s="318" t="s">
        <v>426</v>
      </c>
      <c r="F39" s="82"/>
      <c r="G39" s="82" t="s">
        <v>100</v>
      </c>
      <c r="H39" s="82" t="s">
        <v>715</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SelectedInputs!AJ357</f>
        <v>0.5</v>
      </c>
      <c r="AK39" s="8">
        <f>SelectedInputs!AK357</f>
        <v>0.33561643835616445</v>
      </c>
      <c r="AL39" s="8">
        <f>SelectedInputs!AL357</f>
        <v>0.35273972602739728</v>
      </c>
      <c r="AM39" s="8">
        <f>SelectedInputs!AM357</f>
        <v>0.66575342465753418</v>
      </c>
      <c r="AN39" s="8">
        <f>SelectedInputs!AN357</f>
        <v>0.71598360655737692</v>
      </c>
      <c r="AO39" s="8">
        <f>SelectedInputs!AO357</f>
        <v>0.1</v>
      </c>
      <c r="AP39" s="8">
        <f>SelectedInputs!AP357</f>
        <v>0.19287671232876738</v>
      </c>
      <c r="AQ39" s="9">
        <f>SelectedInputs!AQ357</f>
        <v>2.3034246575342467</v>
      </c>
      <c r="AR39" s="8">
        <f>SelectedInputs!AR357</f>
        <v>0</v>
      </c>
      <c r="AS39" s="8"/>
      <c r="AT39" s="30"/>
      <c r="AU39" s="30"/>
      <c r="AV39" s="30"/>
      <c r="AW39" s="184"/>
      <c r="AX39" s="184"/>
      <c r="AY39" s="184"/>
      <c r="AZ39" s="184"/>
      <c r="BA39" s="184"/>
      <c r="BB39" s="82"/>
    </row>
    <row r="40" spans="1:54" ht="15">
      <c r="A40" s="82"/>
      <c r="B40" s="82"/>
      <c r="C40" s="82"/>
      <c r="D40" s="82"/>
      <c r="E40" s="318" t="s">
        <v>428</v>
      </c>
      <c r="F40" s="82"/>
      <c r="G40" s="82" t="s">
        <v>100</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SelectedInputs!AJ358</f>
        <v>0</v>
      </c>
      <c r="AK40" s="8">
        <f>SelectedInputs!AK358</f>
        <v>0</v>
      </c>
      <c r="AL40" s="8">
        <f>SelectedInputs!AL358</f>
        <v>0</v>
      </c>
      <c r="AM40" s="8">
        <f>SelectedInputs!AM358</f>
        <v>0</v>
      </c>
      <c r="AN40" s="8">
        <f>SelectedInputs!AN358</f>
        <v>0</v>
      </c>
      <c r="AO40" s="8">
        <f>SelectedInputs!AO358</f>
        <v>0</v>
      </c>
      <c r="AP40" s="8">
        <f>SelectedInputs!AP358</f>
        <v>0</v>
      </c>
      <c r="AQ40" s="9">
        <f>SelectedInputs!AQ358</f>
        <v>0</v>
      </c>
      <c r="AR40" s="8"/>
      <c r="AS40" s="30"/>
      <c r="AT40" s="30"/>
      <c r="AU40" s="30"/>
      <c r="AV40" s="30"/>
      <c r="AW40" s="184"/>
      <c r="AX40" s="184"/>
      <c r="AY40" s="184"/>
      <c r="AZ40" s="184"/>
      <c r="BA40" s="184"/>
      <c r="BB40" s="82"/>
    </row>
    <row r="41" spans="1:54" ht="15">
      <c r="A41" s="82"/>
      <c r="B41" s="82"/>
      <c r="C41" s="82"/>
      <c r="D41" s="82"/>
      <c r="E41" s="318" t="s">
        <v>716</v>
      </c>
      <c r="F41" s="82"/>
      <c r="G41" s="82" t="s">
        <v>100</v>
      </c>
      <c r="H41" s="82" t="s">
        <v>429</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0</v>
      </c>
      <c r="AP41" s="7">
        <f t="shared" si="3"/>
        <v>1.5</v>
      </c>
      <c r="AQ41" s="65">
        <f t="shared" si="3"/>
        <v>1.5</v>
      </c>
      <c r="AR41" s="8"/>
      <c r="AS41" s="30"/>
      <c r="AT41" s="30"/>
      <c r="AU41" s="30"/>
      <c r="AV41" s="30"/>
      <c r="AW41" s="184"/>
      <c r="AX41" s="184"/>
      <c r="AY41" s="184"/>
      <c r="AZ41" s="184"/>
      <c r="BA41" s="184"/>
      <c r="BB41" s="82"/>
    </row>
    <row r="42" spans="1:54" ht="15">
      <c r="A42" s="82"/>
      <c r="B42" s="82"/>
      <c r="C42" s="82"/>
      <c r="D42" s="82"/>
      <c r="E42" s="56" t="s">
        <v>717</v>
      </c>
      <c r="F42" s="82"/>
      <c r="G42" s="82" t="s">
        <v>304</v>
      </c>
      <c r="H42" s="82" t="s">
        <v>718</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-1.4591984790987116</v>
      </c>
      <c r="AM42" s="7">
        <f t="shared" si="4"/>
        <v>1.8731332033922627</v>
      </c>
      <c r="AN42" s="7">
        <f t="shared" si="4"/>
        <v>-2.4865806922473004</v>
      </c>
      <c r="AO42" s="7">
        <f t="shared" si="4"/>
        <v>-15.158797563608093</v>
      </c>
      <c r="AP42" s="7">
        <f t="shared" si="4"/>
        <v>-11.29850688580329</v>
      </c>
      <c r="AQ42" s="65">
        <f t="shared" si="4"/>
        <v>-20.236305317204124</v>
      </c>
      <c r="AR42" s="7">
        <f t="shared" si="4"/>
        <v>1.4428176689494179</v>
      </c>
      <c r="AS42" s="7"/>
      <c r="AT42" s="7"/>
      <c r="AU42" s="30"/>
      <c r="AV42" s="30"/>
      <c r="AW42" s="184"/>
      <c r="AX42" s="184"/>
      <c r="AY42" s="184"/>
      <c r="AZ42" s="184"/>
      <c r="BA42" s="184"/>
      <c r="BB42" s="82"/>
    </row>
    <row r="43" spans="1:54" ht="15">
      <c r="A43" s="82"/>
      <c r="B43" s="82"/>
      <c r="C43" s="82"/>
      <c r="D43" s="82"/>
      <c r="E43" s="56" t="s">
        <v>719</v>
      </c>
      <c r="F43" s="82"/>
      <c r="G43" s="82" t="s">
        <v>304</v>
      </c>
      <c r="H43" s="82" t="s">
        <v>720</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1.4591984790987116</v>
      </c>
      <c r="AM43" s="7">
        <f t="shared" si="5"/>
        <v>-1.8731332033922627</v>
      </c>
      <c r="AN43" s="7">
        <f t="shared" si="5"/>
        <v>2.4865806922473004</v>
      </c>
      <c r="AO43" s="7">
        <f t="shared" si="5"/>
        <v>15.158797563608093</v>
      </c>
      <c r="AP43" s="7">
        <f t="shared" si="5"/>
        <v>11.29850688580329</v>
      </c>
      <c r="AQ43" s="65">
        <f t="shared" si="5"/>
        <v>20.236305317204124</v>
      </c>
      <c r="AR43" s="30">
        <f t="shared" si="5"/>
        <v>-1.4428176689494179</v>
      </c>
      <c r="AS43" s="30"/>
      <c r="AT43" s="30"/>
      <c r="AU43" s="30"/>
      <c r="AV43" s="30"/>
      <c r="AW43" s="184"/>
      <c r="AX43" s="184"/>
      <c r="AY43" s="184"/>
      <c r="AZ43" s="184"/>
      <c r="BA43" s="184"/>
      <c r="BB43" s="82"/>
    </row>
    <row r="44" spans="1:54" ht="15">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8"/>
      <c r="AR44" s="30"/>
      <c r="AS44" s="30"/>
      <c r="AT44" s="30"/>
      <c r="AU44" s="30"/>
      <c r="AV44" s="30"/>
      <c r="AW44" s="184"/>
      <c r="AX44" s="184"/>
      <c r="AY44" s="184"/>
      <c r="AZ44" s="184"/>
      <c r="BA44" s="184"/>
      <c r="BB44" s="82"/>
    </row>
    <row r="45" spans="1:54" ht="15">
      <c r="A45" s="82"/>
      <c r="B45" s="82"/>
      <c r="C45" s="82"/>
      <c r="D45" s="82"/>
      <c r="E45" s="511" t="s">
        <v>430</v>
      </c>
      <c r="F45" s="510"/>
      <c r="G45" s="510"/>
      <c r="H45" s="51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8"/>
      <c r="AR45" s="30"/>
      <c r="AS45" s="30"/>
      <c r="AT45" s="30"/>
      <c r="AU45" s="30"/>
      <c r="AV45" s="30"/>
      <c r="AW45" s="184"/>
      <c r="AX45" s="184"/>
      <c r="AY45" s="184"/>
      <c r="AZ45" s="184"/>
      <c r="BA45" s="184"/>
      <c r="BB45" s="82"/>
    </row>
    <row r="46" spans="1:54" ht="15">
      <c r="A46" s="82"/>
      <c r="B46" s="82"/>
      <c r="C46" s="82"/>
      <c r="D46" s="82"/>
      <c r="E46" s="512" t="s">
        <v>431</v>
      </c>
      <c r="F46" s="510"/>
      <c r="G46" s="510" t="s">
        <v>304</v>
      </c>
      <c r="H46" s="510" t="s">
        <v>432</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8"/>
      <c r="AR46" s="8">
        <f>SelectedInputs!AR360</f>
        <v>0</v>
      </c>
      <c r="AS46" s="8">
        <f>SelectedInputs!AS360</f>
        <v>0</v>
      </c>
      <c r="AT46" s="8">
        <f>SelectedInputs!AT360</f>
        <v>0</v>
      </c>
      <c r="AU46" s="8">
        <f>SelectedInputs!AU360</f>
        <v>0</v>
      </c>
      <c r="AV46" s="8">
        <f>SelectedInputs!AV360</f>
        <v>0</v>
      </c>
      <c r="AW46" s="184"/>
      <c r="AX46" s="184"/>
      <c r="AY46" s="184"/>
      <c r="AZ46" s="184"/>
      <c r="BA46" s="184"/>
      <c r="BB46" s="82"/>
    </row>
    <row r="47" spans="1:54" ht="15">
      <c r="A47" s="82"/>
      <c r="B47" s="82"/>
      <c r="C47" s="82"/>
      <c r="D47" s="82"/>
      <c r="E47" s="512" t="s">
        <v>433</v>
      </c>
      <c r="F47" s="510"/>
      <c r="G47" s="510" t="s">
        <v>304</v>
      </c>
      <c r="H47" s="510" t="s">
        <v>434</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8"/>
      <c r="AR47" s="8">
        <f>SelectedInputs!AR361</f>
        <v>0</v>
      </c>
      <c r="AS47" s="8">
        <f>SelectedInputs!AS361</f>
        <v>0</v>
      </c>
      <c r="AT47" s="8">
        <f>SelectedInputs!AT361</f>
        <v>0</v>
      </c>
      <c r="AU47" s="8">
        <f>SelectedInputs!AU361</f>
        <v>0</v>
      </c>
      <c r="AV47" s="8">
        <f>SelectedInputs!AV361</f>
        <v>0</v>
      </c>
      <c r="AW47" s="184"/>
      <c r="AX47" s="184"/>
      <c r="AY47" s="184"/>
      <c r="AZ47" s="184"/>
      <c r="BA47" s="184"/>
      <c r="BB47" s="82"/>
    </row>
    <row r="48" spans="1:54" ht="15">
      <c r="A48" s="82"/>
      <c r="B48" s="82"/>
      <c r="C48" s="82"/>
      <c r="D48" s="82"/>
      <c r="E48" s="513" t="s">
        <v>430</v>
      </c>
      <c r="F48" s="510"/>
      <c r="G48" s="510" t="s">
        <v>304</v>
      </c>
      <c r="H48" s="510" t="s">
        <v>721</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8"/>
      <c r="AR48" s="514">
        <f>AR46-AR47</f>
        <v>0</v>
      </c>
      <c r="AS48" s="514">
        <f>AS46-AS47</f>
        <v>0</v>
      </c>
      <c r="AT48" s="514">
        <f>AT46-AT47</f>
        <v>0</v>
      </c>
      <c r="AU48" s="514">
        <f>AU46-AU47</f>
        <v>0</v>
      </c>
      <c r="AV48" s="514">
        <f>AV46-AV47</f>
        <v>0</v>
      </c>
      <c r="AW48" s="184"/>
      <c r="AX48" s="184"/>
      <c r="AY48" s="184"/>
      <c r="AZ48" s="184"/>
      <c r="BA48" s="184"/>
      <c r="BB48" s="82"/>
    </row>
    <row r="49" spans="1:54" ht="15">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8"/>
      <c r="AR49" s="30"/>
      <c r="AS49" s="30"/>
      <c r="AT49" s="30"/>
      <c r="AU49" s="30"/>
      <c r="AV49" s="30"/>
      <c r="AW49" s="184"/>
      <c r="AX49" s="184"/>
      <c r="AY49" s="184"/>
      <c r="AZ49" s="184"/>
      <c r="BA49" s="184"/>
      <c r="BB49" s="82"/>
    </row>
    <row r="50" spans="1:54" ht="15">
      <c r="A50" s="82"/>
      <c r="B50" s="82"/>
      <c r="C50" s="82"/>
      <c r="D50" s="82"/>
      <c r="E50" s="85" t="s">
        <v>435</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8"/>
      <c r="AR50" s="8"/>
      <c r="AS50" s="8"/>
      <c r="AT50" s="30"/>
      <c r="AU50" s="30"/>
      <c r="AV50" s="30"/>
      <c r="AW50" s="184"/>
      <c r="AX50" s="184"/>
      <c r="AY50" s="184"/>
      <c r="AZ50" s="184"/>
      <c r="BA50" s="184"/>
      <c r="BB50" s="82"/>
    </row>
    <row r="51" spans="1:54" ht="15">
      <c r="A51" s="82"/>
      <c r="B51" s="82"/>
      <c r="C51" s="82"/>
      <c r="D51" s="82"/>
      <c r="E51" s="318" t="s">
        <v>722</v>
      </c>
      <c r="F51" s="82"/>
      <c r="G51" s="82" t="s">
        <v>304</v>
      </c>
      <c r="H51" s="82" t="s">
        <v>723</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SelectedInputs!AJ363</f>
        <v>2.64E-3</v>
      </c>
      <c r="AK51" s="8">
        <f>SelectedInputs!AK363</f>
        <v>8.0300000000000007E-3</v>
      </c>
      <c r="AL51" s="8">
        <f>SelectedInputs!AL363</f>
        <v>2.631E-2</v>
      </c>
      <c r="AM51" s="8">
        <f>SelectedInputs!AM363</f>
        <v>2.1659999999999999E-2</v>
      </c>
      <c r="AN51" s="8">
        <f>SelectedInputs!AN363</f>
        <v>2.6984999999999999E-2</v>
      </c>
      <c r="AO51" s="8">
        <f>SelectedInputs!AO363</f>
        <v>2.878E-2</v>
      </c>
      <c r="AP51" s="8">
        <f>SelectedInputs!AP363</f>
        <v>8.3595000000000003E-2</v>
      </c>
      <c r="AQ51" s="9">
        <f>SelectedInputs!AQ363</f>
        <v>0.23425499999999999</v>
      </c>
      <c r="AR51" s="8"/>
      <c r="AS51" s="8"/>
      <c r="AT51" s="30"/>
      <c r="AU51" s="30"/>
      <c r="AV51" s="30"/>
      <c r="AW51" s="184"/>
      <c r="AX51" s="184"/>
      <c r="AY51" s="184"/>
      <c r="AZ51" s="184"/>
      <c r="BA51" s="184"/>
      <c r="BB51" s="82"/>
    </row>
    <row r="52" spans="1:54" ht="15">
      <c r="A52" s="82"/>
      <c r="B52" s="82"/>
      <c r="C52" s="82"/>
      <c r="D52" s="82"/>
      <c r="E52" s="318" t="s">
        <v>724</v>
      </c>
      <c r="F52" s="82"/>
      <c r="G52" s="82" t="s">
        <v>304</v>
      </c>
      <c r="H52" s="82" t="s">
        <v>725</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2.64E-3</v>
      </c>
      <c r="AM52" s="7">
        <f>SUM($AH51:AK51)</f>
        <v>1.0670000000000001E-2</v>
      </c>
      <c r="AN52" s="7">
        <f>SUM($AH51:AL51)</f>
        <v>3.6979999999999999E-2</v>
      </c>
      <c r="AO52" s="7">
        <f>SUM($AH51:AM51)</f>
        <v>5.8639999999999998E-2</v>
      </c>
      <c r="AP52" s="7">
        <f>SUM($AH51:AN51)</f>
        <v>8.5624999999999993E-2</v>
      </c>
      <c r="AQ52" s="65">
        <f>SUM($AH51:AO51)</f>
        <v>0.11440499999999999</v>
      </c>
      <c r="AR52" s="8">
        <f>SUM($AH51:AP51)</f>
        <v>0.19800000000000001</v>
      </c>
      <c r="AS52" s="8">
        <f>SUM($AH51:AQ51)</f>
        <v>0.432255</v>
      </c>
      <c r="AT52" s="30"/>
      <c r="AU52" s="30"/>
      <c r="AV52" s="30"/>
      <c r="AW52" s="184"/>
      <c r="AX52" s="184"/>
      <c r="AY52" s="184"/>
      <c r="AZ52" s="184"/>
      <c r="BA52" s="184"/>
      <c r="BB52" s="82"/>
    </row>
    <row r="53" spans="1:54" ht="15">
      <c r="A53" s="82"/>
      <c r="B53" s="82"/>
      <c r="C53" s="82"/>
      <c r="D53" s="82"/>
      <c r="E53" s="318" t="s">
        <v>438</v>
      </c>
      <c r="F53" s="82"/>
      <c r="G53" s="82" t="s">
        <v>529</v>
      </c>
      <c r="H53" s="82" t="s">
        <v>726</v>
      </c>
      <c r="I53" s="260">
        <f>SelectedInputs!I364</f>
        <v>32</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8"/>
      <c r="AR53" s="8"/>
      <c r="AS53" s="8"/>
      <c r="AT53" s="30"/>
      <c r="AU53" s="30"/>
      <c r="AV53" s="30"/>
      <c r="AW53" s="184"/>
      <c r="AX53" s="184"/>
      <c r="AY53" s="184"/>
      <c r="AZ53" s="184"/>
      <c r="BA53" s="184"/>
      <c r="BB53" s="82"/>
    </row>
    <row r="54" spans="1:54" ht="15">
      <c r="A54" s="82"/>
      <c r="B54" s="82"/>
      <c r="C54" s="82"/>
      <c r="D54" s="82"/>
      <c r="E54" s="318" t="s">
        <v>727</v>
      </c>
      <c r="F54" s="82"/>
      <c r="G54" s="82" t="s">
        <v>304</v>
      </c>
      <c r="H54" s="82" t="s">
        <v>728</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8">
        <f>SUM($AI55:AP55)</f>
        <v>0</v>
      </c>
      <c r="AR54" s="8">
        <f>SUM($AI55:AQ55)</f>
        <v>0</v>
      </c>
      <c r="AS54" s="8">
        <f>SUM($AI55:AR55)</f>
        <v>0</v>
      </c>
      <c r="AT54" s="30"/>
      <c r="AU54" s="30"/>
      <c r="AV54" s="30"/>
      <c r="AW54" s="184"/>
      <c r="AX54" s="184"/>
      <c r="AY54" s="184"/>
      <c r="AZ54" s="184"/>
      <c r="BA54" s="184"/>
      <c r="BB54" s="82"/>
    </row>
    <row r="55" spans="1:54" ht="15">
      <c r="A55" s="82"/>
      <c r="B55" s="82"/>
      <c r="C55" s="82"/>
      <c r="D55" s="82"/>
      <c r="E55" s="56" t="s">
        <v>729</v>
      </c>
      <c r="F55" s="82"/>
      <c r="G55" s="82" t="s">
        <v>304</v>
      </c>
      <c r="H55" s="82" t="s">
        <v>730</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8">
        <f t="shared" si="6"/>
        <v>0</v>
      </c>
      <c r="AR55" s="8">
        <f t="shared" si="6"/>
        <v>0</v>
      </c>
      <c r="AS55" s="8">
        <f t="shared" si="6"/>
        <v>0</v>
      </c>
      <c r="AT55" s="30"/>
      <c r="AU55" s="30"/>
      <c r="AV55" s="30"/>
      <c r="AW55" s="184"/>
      <c r="AX55" s="184"/>
      <c r="AY55" s="184"/>
      <c r="AZ55" s="184"/>
      <c r="BA55" s="184"/>
      <c r="BB55" s="82"/>
    </row>
    <row r="56" spans="1:54" ht="15">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8"/>
      <c r="AR56" s="30"/>
      <c r="AS56" s="30"/>
      <c r="AT56" s="30"/>
      <c r="AU56" s="30"/>
      <c r="AV56" s="30"/>
      <c r="AW56" s="184"/>
      <c r="AX56" s="184"/>
      <c r="AY56" s="184"/>
      <c r="AZ56" s="184"/>
      <c r="BA56" s="184"/>
      <c r="BB56" s="82"/>
    </row>
    <row r="57" spans="1:54" ht="15">
      <c r="A57" s="82"/>
      <c r="B57" s="82"/>
      <c r="C57" s="82"/>
      <c r="D57" s="10" t="s">
        <v>731</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5">
      <c r="A58" s="82"/>
      <c r="B58" s="82"/>
      <c r="C58" s="82"/>
      <c r="D58" s="82"/>
      <c r="E58" s="85" t="s">
        <v>732</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8"/>
      <c r="AR58" s="30"/>
      <c r="AS58" s="30"/>
      <c r="AT58" s="30"/>
      <c r="AU58" s="30"/>
      <c r="AV58" s="30"/>
      <c r="AW58" s="184"/>
      <c r="AX58" s="184"/>
      <c r="AY58" s="184"/>
      <c r="AZ58" s="184"/>
      <c r="BA58" s="184"/>
      <c r="BB58" s="82"/>
    </row>
    <row r="59" spans="1:54" ht="15">
      <c r="A59" s="82"/>
      <c r="B59" s="82"/>
      <c r="C59" s="82"/>
      <c r="D59" s="82"/>
      <c r="E59" s="318" t="s">
        <v>733</v>
      </c>
      <c r="G59" s="2" t="s">
        <v>529</v>
      </c>
      <c r="H59" s="82" t="s">
        <v>443</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SelectedInputs!AP368</f>
        <v>0.68740400000000024</v>
      </c>
      <c r="AQ59" s="9">
        <f>SelectedInputs!AQ368</f>
        <v>1.4778254440608405</v>
      </c>
      <c r="AR59" s="30"/>
      <c r="AS59" s="30"/>
      <c r="AT59" s="30"/>
      <c r="AU59" s="30"/>
      <c r="AV59" s="30"/>
      <c r="AW59" s="184"/>
      <c r="AX59" s="184"/>
      <c r="AY59" s="184"/>
      <c r="AZ59" s="184"/>
      <c r="BA59" s="184"/>
      <c r="BB59" s="82"/>
    </row>
    <row r="60" spans="1:54" ht="15">
      <c r="A60" s="82"/>
      <c r="B60" s="82"/>
      <c r="C60" s="82"/>
      <c r="D60" s="82"/>
      <c r="E60" s="318" t="s">
        <v>734</v>
      </c>
      <c r="G60" s="2" t="s">
        <v>529</v>
      </c>
      <c r="H60" s="82" t="s">
        <v>445</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SelectedInputs!AP369</f>
        <v>0</v>
      </c>
      <c r="AQ60" s="9">
        <f>SelectedInputs!AQ369</f>
        <v>0</v>
      </c>
      <c r="AR60" s="30"/>
      <c r="AS60" s="30"/>
      <c r="AT60" s="30"/>
      <c r="AU60" s="30"/>
      <c r="AV60" s="30"/>
      <c r="AW60" s="184"/>
      <c r="AX60" s="184"/>
      <c r="AY60" s="184"/>
      <c r="AZ60" s="184"/>
      <c r="BA60" s="184"/>
      <c r="BB60" s="82"/>
    </row>
    <row r="61" spans="1:54" ht="15">
      <c r="A61" s="82"/>
      <c r="B61" s="82"/>
      <c r="C61" s="82"/>
      <c r="D61" s="82"/>
      <c r="E61" s="318" t="s">
        <v>735</v>
      </c>
      <c r="G61" s="2" t="s">
        <v>529</v>
      </c>
      <c r="H61" s="82" t="s">
        <v>447</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SelectedInputs!AP370</f>
        <v>0</v>
      </c>
      <c r="AQ61" s="9">
        <f>SelectedInputs!AQ370</f>
        <v>0</v>
      </c>
      <c r="AR61" s="30"/>
      <c r="AS61" s="30"/>
      <c r="AT61" s="30"/>
      <c r="AU61" s="30"/>
      <c r="AV61" s="30"/>
      <c r="AW61" s="184"/>
      <c r="AX61" s="184"/>
      <c r="AY61" s="184"/>
      <c r="AZ61" s="184"/>
      <c r="BA61" s="184"/>
      <c r="BB61" s="82"/>
    </row>
    <row r="62" spans="1:54" ht="15">
      <c r="A62" s="82"/>
      <c r="B62" s="82"/>
      <c r="C62" s="82"/>
      <c r="D62" s="82"/>
      <c r="E62" s="7" t="s">
        <v>736</v>
      </c>
      <c r="F62" s="82"/>
      <c r="G62" s="2" t="s">
        <v>304</v>
      </c>
      <c r="H62" s="82" t="s">
        <v>737</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0.87418609570518735</v>
      </c>
      <c r="AS62" s="30">
        <f>SUM(AQ59:AQ61)*AQ$13</f>
        <v>2.121332078791192</v>
      </c>
      <c r="AT62" s="30"/>
      <c r="AU62" s="30"/>
      <c r="AV62" s="30"/>
      <c r="AW62" s="184"/>
      <c r="AX62" s="184"/>
      <c r="AY62" s="184"/>
      <c r="AZ62" s="184"/>
      <c r="BA62" s="184"/>
      <c r="BB62" s="82"/>
    </row>
    <row r="63" spans="1:54" ht="15">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6"/>
      <c r="AL63" s="256"/>
      <c r="AM63" s="256"/>
      <c r="AN63" s="256"/>
      <c r="AO63" s="256"/>
      <c r="AP63" s="256"/>
      <c r="AQ63" s="9"/>
      <c r="AR63" s="256"/>
      <c r="AS63" s="256"/>
      <c r="AT63" s="256"/>
      <c r="AU63" s="256"/>
      <c r="AV63" s="30"/>
      <c r="AW63" s="184"/>
      <c r="AX63" s="184"/>
      <c r="AY63" s="184"/>
      <c r="AZ63" s="184"/>
      <c r="BA63" s="184"/>
      <c r="BB63" s="82"/>
    </row>
    <row r="64" spans="1:54" ht="15">
      <c r="A64" s="82"/>
      <c r="B64" s="82"/>
      <c r="C64" s="82"/>
      <c r="D64" s="82"/>
      <c r="E64" s="85" t="s">
        <v>738</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5">
      <c r="A65" s="82"/>
      <c r="B65" s="82"/>
      <c r="C65" s="82"/>
      <c r="D65" s="82"/>
      <c r="E65" s="318" t="s">
        <v>739</v>
      </c>
      <c r="F65" s="82"/>
      <c r="G65" s="2" t="s">
        <v>529</v>
      </c>
      <c r="H65" s="82" t="s">
        <v>450</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SelectedInputs!AP372</f>
        <v>4.2130569188096398</v>
      </c>
      <c r="AQ65" s="9">
        <f>SelectedInputs!AQ372</f>
        <v>4.7902939651127117</v>
      </c>
      <c r="AR65" s="30"/>
      <c r="AS65" s="30"/>
      <c r="AT65" s="30"/>
      <c r="AU65" s="30"/>
      <c r="AV65" s="30"/>
      <c r="AW65" s="184"/>
      <c r="AX65" s="184"/>
      <c r="AY65" s="184"/>
      <c r="AZ65" s="184"/>
      <c r="BA65" s="184"/>
      <c r="BB65" s="82"/>
    </row>
    <row r="66" spans="1:54" ht="15">
      <c r="A66" s="82"/>
      <c r="B66" s="82"/>
      <c r="C66" s="82"/>
      <c r="D66" s="82"/>
      <c r="E66" s="318" t="s">
        <v>740</v>
      </c>
      <c r="F66" s="82"/>
      <c r="G66" s="2" t="s">
        <v>529</v>
      </c>
      <c r="H66" s="82" t="s">
        <v>452</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SelectedInputs!AP373</f>
        <v>0.38867999999999903</v>
      </c>
      <c r="AQ66" s="9">
        <f>SelectedInputs!AQ373</f>
        <v>0</v>
      </c>
      <c r="AR66" s="30"/>
      <c r="AS66" s="30"/>
      <c r="AT66" s="30"/>
      <c r="AU66" s="30"/>
      <c r="AV66" s="30"/>
      <c r="AW66" s="184"/>
      <c r="AX66" s="184"/>
      <c r="AY66" s="184"/>
      <c r="AZ66" s="184"/>
      <c r="BA66" s="184"/>
      <c r="BB66" s="82"/>
    </row>
    <row r="67" spans="1:54" ht="15">
      <c r="A67" s="82"/>
      <c r="B67" s="82"/>
      <c r="C67" s="82"/>
      <c r="D67" s="82"/>
      <c r="E67" s="318" t="s">
        <v>741</v>
      </c>
      <c r="F67" s="82"/>
      <c r="G67" s="2" t="s">
        <v>529</v>
      </c>
      <c r="H67" s="82" t="s">
        <v>454</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SelectedInputs!AP374</f>
        <v>0</v>
      </c>
      <c r="AQ67" s="9">
        <f>SelectedInputs!AQ374</f>
        <v>-5.4486000000000034E-2</v>
      </c>
      <c r="AR67" s="30"/>
      <c r="AS67" s="30"/>
      <c r="AT67" s="30"/>
      <c r="AU67" s="30"/>
      <c r="AV67" s="30"/>
      <c r="AW67" s="184"/>
      <c r="AX67" s="184"/>
      <c r="AY67" s="184"/>
      <c r="AZ67" s="184"/>
      <c r="BA67" s="184"/>
      <c r="BB67" s="82"/>
    </row>
    <row r="68" spans="1:54" ht="15">
      <c r="A68" s="82"/>
      <c r="B68" s="82"/>
      <c r="C68" s="82"/>
      <c r="D68" s="82"/>
      <c r="E68" s="7" t="s">
        <v>738</v>
      </c>
      <c r="F68" s="82"/>
      <c r="G68" s="2" t="s">
        <v>304</v>
      </c>
      <c r="H68" s="82" t="s">
        <v>742</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7.5805403219043788</v>
      </c>
      <c r="AS68" s="30">
        <f>SUM(AQ65:AQ67) * AQ$16 * AR$16 * AS$13</f>
        <v>8.1030718075714798</v>
      </c>
      <c r="AT68" s="30"/>
      <c r="AU68" s="30"/>
      <c r="AV68" s="30"/>
      <c r="AW68" s="184"/>
      <c r="AX68" s="184"/>
      <c r="AY68" s="184"/>
      <c r="AZ68" s="184"/>
      <c r="BA68" s="184"/>
      <c r="BB68" s="82"/>
    </row>
    <row r="69" spans="1:54" ht="15">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5">
      <c r="A70" s="82"/>
      <c r="B70" s="82"/>
      <c r="C70" s="82"/>
      <c r="D70" s="82"/>
      <c r="E70" s="85" t="s">
        <v>455</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5">
      <c r="A71" s="82"/>
      <c r="B71" s="82"/>
      <c r="C71" s="82"/>
      <c r="D71" s="82"/>
      <c r="E71" s="318" t="s">
        <v>743</v>
      </c>
      <c r="F71" s="82"/>
      <c r="G71" s="2" t="s">
        <v>529</v>
      </c>
      <c r="H71" s="82" t="s">
        <v>457</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SelectedInputs!AO376</f>
        <v>0</v>
      </c>
      <c r="AP71" s="8">
        <f>SelectedInputs!AP376</f>
        <v>0</v>
      </c>
      <c r="AQ71" s="9">
        <f>SelectedInputs!AQ376</f>
        <v>0</v>
      </c>
      <c r="AR71" s="30"/>
      <c r="AS71" s="30"/>
      <c r="AT71" s="30"/>
      <c r="AU71" s="30"/>
      <c r="AV71" s="30"/>
      <c r="AW71" s="184"/>
      <c r="AX71" s="184"/>
      <c r="AY71" s="184"/>
      <c r="AZ71" s="184"/>
      <c r="BA71" s="184"/>
      <c r="BB71" s="82"/>
    </row>
    <row r="72" spans="1:54" ht="15">
      <c r="A72" s="82"/>
      <c r="B72" s="82"/>
      <c r="C72" s="82"/>
      <c r="D72" s="82"/>
      <c r="E72" s="7" t="s">
        <v>456</v>
      </c>
      <c r="F72" s="82"/>
      <c r="G72" s="2" t="s">
        <v>304</v>
      </c>
      <c r="H72" s="82" t="s">
        <v>744</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5">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5">
      <c r="A74" s="82"/>
      <c r="B74" s="82"/>
      <c r="C74" s="82"/>
      <c r="D74" s="82"/>
      <c r="E74" s="428" t="s">
        <v>458</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5">
      <c r="A75" s="82"/>
      <c r="B75" s="82"/>
      <c r="C75" s="82"/>
      <c r="D75" s="82"/>
      <c r="E75" s="346" t="s">
        <v>745</v>
      </c>
      <c r="F75" s="82"/>
      <c r="G75" s="2" t="s">
        <v>529</v>
      </c>
      <c r="H75" s="82" t="s">
        <v>460</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SelectedInputs!AP378</f>
        <v>0</v>
      </c>
      <c r="AQ75" s="9">
        <f>SelectedInputs!AQ378</f>
        <v>0</v>
      </c>
      <c r="AR75" s="30"/>
      <c r="AS75" s="30"/>
      <c r="AT75" s="30"/>
      <c r="AU75" s="30"/>
      <c r="AV75" s="30"/>
      <c r="AW75" s="184"/>
      <c r="AX75" s="184"/>
      <c r="AY75" s="184"/>
      <c r="AZ75" s="184"/>
      <c r="BA75" s="184"/>
      <c r="BB75" s="82"/>
    </row>
    <row r="76" spans="1:54" ht="15">
      <c r="A76" s="82"/>
      <c r="B76" s="82"/>
      <c r="C76" s="82"/>
      <c r="D76" s="82"/>
      <c r="E76" s="346" t="s">
        <v>746</v>
      </c>
      <c r="F76" s="82"/>
      <c r="G76" s="2" t="s">
        <v>529</v>
      </c>
      <c r="H76" s="82" t="s">
        <v>462</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SelectedInputs!AP379</f>
        <v>0</v>
      </c>
      <c r="AQ76" s="9">
        <f>SelectedInputs!AQ379</f>
        <v>0</v>
      </c>
      <c r="AR76" s="30"/>
      <c r="AS76" s="30"/>
      <c r="AT76" s="30"/>
      <c r="AU76" s="30"/>
      <c r="AV76" s="30"/>
      <c r="AW76" s="184"/>
      <c r="AX76" s="184"/>
      <c r="AY76" s="184"/>
      <c r="AZ76" s="184"/>
      <c r="BA76" s="184"/>
      <c r="BB76" s="82"/>
    </row>
    <row r="77" spans="1:54" ht="15">
      <c r="A77" s="82"/>
      <c r="B77" s="82"/>
      <c r="C77" s="82"/>
      <c r="D77" s="82"/>
      <c r="E77" s="346" t="s">
        <v>747</v>
      </c>
      <c r="F77" s="82"/>
      <c r="G77" s="2" t="s">
        <v>529</v>
      </c>
      <c r="H77" s="82" t="s">
        <v>464</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SelectedInputs!AP380</f>
        <v>0</v>
      </c>
      <c r="AQ77" s="9">
        <f>SelectedInputs!AQ380</f>
        <v>0</v>
      </c>
      <c r="AR77" s="30"/>
      <c r="AS77" s="30"/>
      <c r="AT77" s="30"/>
      <c r="AU77" s="30"/>
      <c r="AV77" s="30"/>
      <c r="AW77" s="184"/>
      <c r="AX77" s="184"/>
      <c r="AY77" s="184"/>
      <c r="AZ77" s="184"/>
      <c r="BA77" s="184"/>
      <c r="BB77" s="82"/>
    </row>
    <row r="78" spans="1:54" ht="15">
      <c r="A78" s="82"/>
      <c r="B78" s="82"/>
      <c r="C78" s="82"/>
      <c r="D78" s="82"/>
      <c r="E78" s="346" t="s">
        <v>748</v>
      </c>
      <c r="F78" s="82"/>
      <c r="G78" s="2" t="s">
        <v>529</v>
      </c>
      <c r="H78" s="82" t="s">
        <v>466</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SelectedInputs!AP381</f>
        <v>0</v>
      </c>
      <c r="AQ78" s="9">
        <f>SelectedInputs!AQ381</f>
        <v>0</v>
      </c>
      <c r="AR78" s="30"/>
      <c r="AS78" s="30"/>
      <c r="AT78" s="30"/>
      <c r="AU78" s="30"/>
      <c r="AV78" s="30"/>
      <c r="AW78" s="184"/>
      <c r="AX78" s="184"/>
      <c r="AY78" s="184"/>
      <c r="AZ78" s="184"/>
      <c r="BA78" s="184"/>
      <c r="BB78" s="82"/>
    </row>
    <row r="79" spans="1:54" ht="15">
      <c r="A79" s="82"/>
      <c r="B79" s="82"/>
      <c r="C79" s="82"/>
      <c r="D79" s="82"/>
      <c r="E79" s="293" t="s">
        <v>749</v>
      </c>
      <c r="F79" s="82"/>
      <c r="G79" s="2" t="s">
        <v>304</v>
      </c>
      <c r="H79" s="82" t="s">
        <v>750</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0</v>
      </c>
      <c r="AS79" s="30">
        <f>SUM(AQ75:AQ78)*AQ$13</f>
        <v>0</v>
      </c>
      <c r="AT79" s="30"/>
      <c r="AU79" s="30"/>
      <c r="AV79" s="30"/>
      <c r="AW79" s="184"/>
      <c r="AX79" s="184"/>
      <c r="AY79" s="184"/>
      <c r="AZ79" s="184"/>
      <c r="BA79" s="184"/>
      <c r="BB79" s="82"/>
    </row>
    <row r="80" spans="1:54" ht="15">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5">
      <c r="A81" s="82"/>
      <c r="B81" s="82"/>
      <c r="C81" s="82"/>
      <c r="D81" s="10" t="s">
        <v>751</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5">
      <c r="A82" s="82"/>
      <c r="B82" s="82"/>
      <c r="C82" s="82"/>
      <c r="D82" s="82"/>
      <c r="E82" s="428" t="s">
        <v>752</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5">
      <c r="A83" s="82"/>
      <c r="B83" s="82"/>
      <c r="C83" s="82"/>
      <c r="D83" s="82"/>
      <c r="E83" s="346" t="s">
        <v>753</v>
      </c>
      <c r="F83" s="82"/>
      <c r="G83" s="82" t="s">
        <v>304</v>
      </c>
      <c r="H83" s="82" t="s">
        <v>470</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SelectedInputs!AP385</f>
        <v>1.5874440000000001</v>
      </c>
      <c r="AQ83" s="9">
        <f>SelectedInputs!AQ385</f>
        <v>1.66398801</v>
      </c>
      <c r="AR83" s="30"/>
      <c r="AS83" s="30"/>
      <c r="AT83" s="30"/>
      <c r="AU83" s="30"/>
      <c r="AV83" s="30"/>
      <c r="AW83" s="184"/>
      <c r="AX83" s="184"/>
      <c r="AY83" s="184"/>
      <c r="AZ83" s="184"/>
      <c r="BA83" s="184"/>
      <c r="BB83" s="82"/>
    </row>
    <row r="84" spans="1:54" ht="15">
      <c r="A84" s="82"/>
      <c r="B84" s="82"/>
      <c r="C84" s="82"/>
      <c r="D84" s="82"/>
      <c r="E84" s="346" t="s">
        <v>754</v>
      </c>
      <c r="F84" s="82"/>
      <c r="G84" s="82" t="s">
        <v>755</v>
      </c>
      <c r="H84" s="82" t="s">
        <v>472</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SelectedInputs!AP386</f>
        <v>0.8</v>
      </c>
      <c r="AQ84" s="9">
        <f>SelectedInputs!AQ386</f>
        <v>0.8</v>
      </c>
      <c r="AR84" s="30"/>
      <c r="AS84" s="30"/>
      <c r="AT84" s="30"/>
      <c r="AU84" s="30"/>
      <c r="AV84" s="30"/>
      <c r="AW84" s="184"/>
      <c r="AX84" s="184"/>
      <c r="AY84" s="184"/>
      <c r="AZ84" s="184"/>
      <c r="BA84" s="184"/>
      <c r="BB84" s="82"/>
    </row>
    <row r="85" spans="1:54" ht="15">
      <c r="A85" s="82"/>
      <c r="B85" s="82"/>
      <c r="C85" s="82"/>
      <c r="D85" s="82"/>
      <c r="E85" s="293" t="s">
        <v>752</v>
      </c>
      <c r="F85" s="82"/>
      <c r="G85" s="82" t="s">
        <v>304</v>
      </c>
      <c r="H85" s="82" t="s">
        <v>756</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0.73843554858591287</v>
      </c>
      <c r="AS85" s="30">
        <f>(AQ83/AQ$13 - AQ84) * AQ$16 * AR$16 * AS$13</f>
        <v>0.61462789087013836</v>
      </c>
      <c r="AT85" s="30"/>
      <c r="AU85" s="30"/>
      <c r="AV85" s="30"/>
      <c r="AW85" s="184"/>
      <c r="AX85" s="184"/>
      <c r="AY85" s="184"/>
      <c r="AZ85" s="184"/>
      <c r="BA85" s="184"/>
      <c r="BB85" s="82"/>
    </row>
    <row r="86" spans="1:54" ht="15">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5">
      <c r="A87" s="82"/>
      <c r="B87" s="82"/>
      <c r="C87" s="82"/>
      <c r="D87" s="82"/>
      <c r="E87" s="428" t="s">
        <v>473</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5">
      <c r="A88" s="82"/>
      <c r="B88" s="82"/>
      <c r="C88" s="82"/>
      <c r="D88" s="82"/>
      <c r="E88" s="346" t="s">
        <v>757</v>
      </c>
      <c r="F88" s="82"/>
      <c r="G88" s="82" t="s">
        <v>304</v>
      </c>
      <c r="H88" s="82" t="s">
        <v>475</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SelectedInputs!AP388</f>
        <v>20.869119999999999</v>
      </c>
      <c r="AQ88" s="9">
        <f>SelectedInputs!AQ388</f>
        <v>20.869119999999999</v>
      </c>
      <c r="AR88" s="30"/>
      <c r="AS88" s="30"/>
      <c r="AT88" s="30"/>
      <c r="AU88" s="30"/>
      <c r="AV88" s="30"/>
      <c r="AW88" s="184"/>
      <c r="AX88" s="184"/>
      <c r="AY88" s="184"/>
      <c r="AZ88" s="184"/>
      <c r="BA88" s="184"/>
      <c r="BB88" s="82"/>
    </row>
    <row r="89" spans="1:54" ht="15">
      <c r="A89" s="82"/>
      <c r="B89" s="82"/>
      <c r="C89" s="82"/>
      <c r="D89" s="82"/>
      <c r="E89" s="346" t="s">
        <v>758</v>
      </c>
      <c r="F89" s="82"/>
      <c r="G89" s="82" t="s">
        <v>755</v>
      </c>
      <c r="H89" s="82" t="s">
        <v>477</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SelectedInputs!AP389</f>
        <v>13.3</v>
      </c>
      <c r="AQ89" s="9">
        <f>SelectedInputs!AQ389</f>
        <v>13.3</v>
      </c>
      <c r="AR89" s="30"/>
      <c r="AS89" s="30"/>
      <c r="AT89" s="30"/>
      <c r="AU89" s="30"/>
      <c r="AV89" s="30"/>
      <c r="AW89" s="184"/>
      <c r="AX89" s="184"/>
      <c r="AY89" s="184"/>
      <c r="AZ89" s="184"/>
      <c r="BA89" s="184"/>
      <c r="BB89" s="82"/>
    </row>
    <row r="90" spans="1:54" ht="15">
      <c r="A90" s="82"/>
      <c r="B90" s="82"/>
      <c r="C90" s="82"/>
      <c r="D90" s="82"/>
      <c r="E90" s="293" t="s">
        <v>473</v>
      </c>
      <c r="F90" s="82"/>
      <c r="G90" s="82" t="s">
        <v>304</v>
      </c>
      <c r="H90" s="82" t="s">
        <v>759</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5.1234012525284145</v>
      </c>
      <c r="AS90" s="30">
        <f>(AQ88/AQ$13 - AQ89) * AQ$16 * AR$16 * AS$13</f>
        <v>2.1190444201478074</v>
      </c>
      <c r="AT90" s="30"/>
      <c r="AU90" s="30"/>
      <c r="AV90" s="30"/>
      <c r="AW90" s="184"/>
      <c r="AX90" s="184"/>
      <c r="AY90" s="184"/>
      <c r="AZ90" s="184"/>
      <c r="BA90" s="184"/>
      <c r="BB90" s="82"/>
    </row>
    <row r="91" spans="1:54" ht="15">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5">
      <c r="A92" s="82"/>
      <c r="B92" s="82"/>
      <c r="C92" s="82"/>
      <c r="D92" s="82"/>
      <c r="E92" s="428" t="s">
        <v>478</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5">
      <c r="A93" s="82"/>
      <c r="B93" s="82"/>
      <c r="C93" s="82"/>
      <c r="D93" s="82"/>
      <c r="E93" s="346" t="s">
        <v>760</v>
      </c>
      <c r="F93" s="82"/>
      <c r="G93" s="82" t="s">
        <v>304</v>
      </c>
      <c r="H93" s="82" t="s">
        <v>480</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SelectedInputs!AP391</f>
        <v>7.7663137200000003</v>
      </c>
      <c r="AQ93" s="9">
        <f>SelectedInputs!AQ391</f>
        <v>11.326099970000001</v>
      </c>
      <c r="AR93" s="30"/>
      <c r="AS93" s="30"/>
      <c r="AT93" s="30"/>
      <c r="AU93" s="30"/>
      <c r="AV93" s="30"/>
      <c r="AW93" s="184"/>
      <c r="AX93" s="184"/>
      <c r="AY93" s="184"/>
      <c r="AZ93" s="184"/>
      <c r="BA93" s="184"/>
      <c r="BB93" s="82"/>
    </row>
    <row r="94" spans="1:54" ht="15">
      <c r="A94" s="82"/>
      <c r="B94" s="82"/>
      <c r="C94" s="82"/>
      <c r="D94" s="82"/>
      <c r="E94" s="346" t="s">
        <v>761</v>
      </c>
      <c r="F94" s="82"/>
      <c r="G94" s="82" t="s">
        <v>755</v>
      </c>
      <c r="H94" s="82" t="s">
        <v>482</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SelectedInputs!AP392</f>
        <v>8.9</v>
      </c>
      <c r="AQ94" s="9">
        <f>SelectedInputs!AQ392</f>
        <v>9</v>
      </c>
      <c r="AR94" s="30"/>
      <c r="AS94" s="30"/>
      <c r="AT94" s="30"/>
      <c r="AU94" s="30"/>
      <c r="AV94" s="30"/>
      <c r="AW94" s="184"/>
      <c r="AX94" s="184"/>
      <c r="AY94" s="184"/>
      <c r="AZ94" s="184"/>
      <c r="BA94" s="184"/>
      <c r="BB94" s="82"/>
    </row>
    <row r="95" spans="1:54" ht="15">
      <c r="A95" s="82"/>
      <c r="B95" s="82"/>
      <c r="C95" s="82"/>
      <c r="D95" s="82"/>
      <c r="E95" s="293" t="s">
        <v>478</v>
      </c>
      <c r="F95" s="82"/>
      <c r="G95" s="82" t="s">
        <v>304</v>
      </c>
      <c r="H95" s="82" t="s">
        <v>762</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-4.6010809228740754</v>
      </c>
      <c r="AS95" s="30">
        <f>(AQ93/AQ$13 - AQ94) * AQ$16 * AR$16 * AS$13</f>
        <v>-1.8986790416498178</v>
      </c>
      <c r="AT95" s="30"/>
      <c r="AU95" s="30"/>
      <c r="AV95" s="30"/>
      <c r="AW95" s="184"/>
      <c r="AX95" s="184"/>
      <c r="AY95" s="184"/>
      <c r="AZ95" s="184"/>
      <c r="BA95" s="184"/>
      <c r="BB95" s="82"/>
    </row>
    <row r="96" spans="1:54" ht="15">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5">
      <c r="A97" s="82"/>
      <c r="B97" s="82"/>
      <c r="C97" s="82"/>
      <c r="D97" s="82"/>
      <c r="E97" s="428" t="s">
        <v>483</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5">
      <c r="A98" s="82"/>
      <c r="B98" s="82"/>
      <c r="C98" s="82"/>
      <c r="D98" s="82"/>
      <c r="E98" s="346" t="s">
        <v>763</v>
      </c>
      <c r="F98" s="82"/>
      <c r="G98" s="82" t="s">
        <v>304</v>
      </c>
      <c r="H98" s="82" t="s">
        <v>485</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SelectedInputs!AP394</f>
        <v>1.7514029100000001</v>
      </c>
      <c r="AQ98" s="9">
        <f>SelectedInputs!AQ394</f>
        <v>1.8716212100000003</v>
      </c>
      <c r="AR98" s="30"/>
      <c r="AS98" s="30"/>
      <c r="AT98" s="30"/>
      <c r="AU98" s="30"/>
      <c r="AV98" s="30"/>
      <c r="AW98" s="184"/>
      <c r="AX98" s="184"/>
      <c r="AY98" s="184"/>
      <c r="AZ98" s="184"/>
      <c r="BA98" s="184"/>
      <c r="BB98" s="82"/>
    </row>
    <row r="99" spans="1:54" ht="15">
      <c r="A99" s="82"/>
      <c r="B99" s="82"/>
      <c r="C99" s="82"/>
      <c r="D99" s="82"/>
      <c r="E99" s="346" t="s">
        <v>764</v>
      </c>
      <c r="F99" s="82"/>
      <c r="G99" s="82" t="s">
        <v>755</v>
      </c>
      <c r="H99" s="82" t="s">
        <v>487</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SelectedInputs!AP395</f>
        <v>0</v>
      </c>
      <c r="AQ99" s="9">
        <f>SelectedInputs!AQ395</f>
        <v>0</v>
      </c>
      <c r="AR99" s="30"/>
      <c r="AS99" s="30"/>
      <c r="AT99" s="30"/>
      <c r="AU99" s="30"/>
      <c r="AV99" s="30"/>
      <c r="AW99" s="184"/>
      <c r="AX99" s="184"/>
      <c r="AY99" s="184"/>
      <c r="AZ99" s="184"/>
      <c r="BA99" s="184"/>
      <c r="BB99" s="82"/>
    </row>
    <row r="100" spans="1:54" ht="15">
      <c r="A100" s="82"/>
      <c r="B100" s="82"/>
      <c r="C100" s="82"/>
      <c r="D100" s="82"/>
      <c r="E100" s="293" t="s">
        <v>483</v>
      </c>
      <c r="F100" s="82"/>
      <c r="G100" s="82" t="s">
        <v>304</v>
      </c>
      <c r="H100" s="82" t="s">
        <v>765</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2.2686766599988282</v>
      </c>
      <c r="AS100" s="30">
        <f>(AQ98/AQ$13 - AQ99) * AQ$16 * AR$16 * AS$13</f>
        <v>2.2309407807171353</v>
      </c>
      <c r="AT100" s="30"/>
      <c r="AU100" s="30"/>
      <c r="AV100" s="30"/>
      <c r="AW100" s="184"/>
      <c r="AX100" s="184"/>
      <c r="AY100" s="184"/>
      <c r="AZ100" s="184"/>
      <c r="BA100" s="184"/>
      <c r="BB100" s="82"/>
    </row>
    <row r="101" spans="1:54" ht="15">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5">
      <c r="A102" s="82"/>
      <c r="B102" s="82"/>
      <c r="C102" s="82"/>
      <c r="D102" s="82"/>
      <c r="E102" s="428" t="s">
        <v>488</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5">
      <c r="A103" s="82"/>
      <c r="B103" s="82"/>
      <c r="C103" s="82"/>
      <c r="D103" s="82"/>
      <c r="E103" s="346" t="s">
        <v>766</v>
      </c>
      <c r="G103" s="82" t="s">
        <v>304</v>
      </c>
      <c r="H103" s="82" t="s">
        <v>490</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SelectedInputs!AP397</f>
        <v>1.0168446550000001</v>
      </c>
      <c r="AQ103" s="9">
        <f>SelectedInputs!AQ397</f>
        <v>0.77735213000000003</v>
      </c>
      <c r="AR103" s="30"/>
      <c r="AS103" s="30"/>
      <c r="AT103" s="30"/>
      <c r="AU103" s="30"/>
      <c r="AV103" s="30"/>
      <c r="AW103" s="184"/>
      <c r="AX103" s="184"/>
      <c r="AY103" s="184"/>
      <c r="AZ103" s="184"/>
      <c r="BA103" s="184"/>
      <c r="BB103" s="82"/>
    </row>
    <row r="104" spans="1:54" ht="15">
      <c r="A104" s="82"/>
      <c r="B104" s="82"/>
      <c r="C104" s="82"/>
      <c r="D104" s="82"/>
      <c r="E104" s="346" t="s">
        <v>767</v>
      </c>
      <c r="G104" s="82" t="s">
        <v>755</v>
      </c>
      <c r="H104" s="82" t="s">
        <v>492</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SelectedInputs!AP398</f>
        <v>0</v>
      </c>
      <c r="AQ104" s="9">
        <f>SelectedInputs!AQ398</f>
        <v>0</v>
      </c>
      <c r="AR104" s="30"/>
      <c r="AS104" s="30"/>
      <c r="AT104" s="30"/>
      <c r="AU104" s="30"/>
      <c r="AV104" s="30"/>
      <c r="AW104" s="184"/>
      <c r="AX104" s="184"/>
      <c r="AY104" s="184"/>
      <c r="AZ104" s="184"/>
      <c r="BA104" s="184"/>
      <c r="BB104" s="82"/>
    </row>
    <row r="105" spans="1:54" ht="15">
      <c r="A105" s="82"/>
      <c r="B105" s="82"/>
      <c r="C105" s="82"/>
      <c r="D105" s="82"/>
      <c r="E105" s="293" t="s">
        <v>488</v>
      </c>
      <c r="F105" s="82"/>
      <c r="G105" s="82" t="s">
        <v>304</v>
      </c>
      <c r="H105" s="82" t="s">
        <v>768</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1.3171679243373307</v>
      </c>
      <c r="AS105" s="30">
        <f>(AQ103/AQ$13 - AQ104) * AQ$16 * AR$16 * AS$13</f>
        <v>0.926590572135228</v>
      </c>
      <c r="AT105" s="30"/>
      <c r="AU105" s="30"/>
      <c r="AV105" s="30"/>
      <c r="AW105" s="184"/>
      <c r="AX105" s="184"/>
      <c r="AY105" s="184"/>
      <c r="AZ105" s="184"/>
      <c r="BA105" s="184"/>
      <c r="BB105" s="82"/>
    </row>
    <row r="106" spans="1:54" ht="15">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5">
      <c r="A107" s="82"/>
      <c r="B107" s="82"/>
      <c r="C107" s="82"/>
      <c r="D107" s="82"/>
      <c r="E107" s="428" t="s">
        <v>493</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5">
      <c r="A108" s="82"/>
      <c r="B108" s="82"/>
      <c r="C108" s="82"/>
      <c r="D108" s="82"/>
      <c r="E108" s="346" t="s">
        <v>769</v>
      </c>
      <c r="G108" s="82" t="s">
        <v>304</v>
      </c>
      <c r="H108" s="82" t="s">
        <v>495</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SelectedInputs!AP400</f>
        <v>3.4057440000000001E-2</v>
      </c>
      <c r="AQ108" s="9">
        <f>SelectedInputs!AQ400</f>
        <v>3.6031769999999998E-2</v>
      </c>
      <c r="AR108" s="30"/>
      <c r="AS108" s="30"/>
      <c r="AT108" s="30"/>
      <c r="AU108" s="30"/>
      <c r="AV108" s="30"/>
      <c r="AW108" s="184"/>
      <c r="AX108" s="184"/>
      <c r="AY108" s="184"/>
      <c r="AZ108" s="184"/>
      <c r="BA108" s="184"/>
      <c r="BB108" s="82"/>
    </row>
    <row r="109" spans="1:54" ht="15">
      <c r="A109" s="82"/>
      <c r="B109" s="82"/>
      <c r="C109" s="82"/>
      <c r="D109" s="82"/>
      <c r="E109" s="346" t="s">
        <v>770</v>
      </c>
      <c r="G109" s="82" t="s">
        <v>755</v>
      </c>
      <c r="H109" s="82" t="s">
        <v>497</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SelectedInputs!AP401</f>
        <v>0</v>
      </c>
      <c r="AQ109" s="9">
        <f>SelectedInputs!AQ401</f>
        <v>0</v>
      </c>
      <c r="AR109" s="30"/>
      <c r="AS109" s="30"/>
      <c r="AT109" s="30"/>
      <c r="AU109" s="30"/>
      <c r="AV109" s="30"/>
      <c r="AW109" s="184"/>
      <c r="AX109" s="184"/>
      <c r="AY109" s="184"/>
      <c r="AZ109" s="184"/>
      <c r="BA109" s="184"/>
      <c r="BB109" s="82"/>
    </row>
    <row r="110" spans="1:54" ht="15">
      <c r="A110" s="82"/>
      <c r="B110" s="82"/>
      <c r="C110" s="82"/>
      <c r="D110" s="82"/>
      <c r="E110" s="293" t="s">
        <v>493</v>
      </c>
      <c r="F110" s="82"/>
      <c r="G110" s="82" t="s">
        <v>304</v>
      </c>
      <c r="H110" s="82" t="s">
        <v>771</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4.4116244632316205E-2</v>
      </c>
      <c r="AS110" s="30">
        <f>(AQ108/AQ$13 - AQ109) * AQ$16 * AR$16 * AS$13</f>
        <v>4.2949259532285504E-2</v>
      </c>
      <c r="AT110" s="30"/>
      <c r="AU110" s="30"/>
      <c r="AV110" s="30"/>
      <c r="AW110" s="184"/>
      <c r="AX110" s="184"/>
      <c r="AY110" s="184"/>
      <c r="AZ110" s="184"/>
      <c r="BA110" s="184"/>
      <c r="BB110" s="82"/>
    </row>
    <row r="111" spans="1:54" ht="15">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5">
      <c r="A112" s="82"/>
      <c r="B112" s="82"/>
      <c r="C112" s="82"/>
      <c r="D112" s="82"/>
      <c r="E112" s="428" t="s">
        <v>498</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5">
      <c r="A113" s="82"/>
      <c r="B113" s="82"/>
      <c r="C113" s="82"/>
      <c r="D113" s="82"/>
      <c r="E113" s="346" t="s">
        <v>772</v>
      </c>
      <c r="F113" s="82"/>
      <c r="G113" s="82" t="s">
        <v>304</v>
      </c>
      <c r="H113" s="82" t="s">
        <v>500</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SelectedInputs!AP403</f>
        <v>0</v>
      </c>
      <c r="AQ113" s="9">
        <f>SelectedInputs!AQ403</f>
        <v>0</v>
      </c>
      <c r="AR113" s="30"/>
      <c r="AS113" s="30"/>
      <c r="AT113" s="30"/>
      <c r="AU113" s="30"/>
      <c r="AV113" s="30"/>
      <c r="AW113" s="184"/>
      <c r="AX113" s="184"/>
      <c r="AY113" s="184"/>
      <c r="AZ113" s="184"/>
      <c r="BA113" s="184"/>
      <c r="BB113" s="82"/>
    </row>
    <row r="114" spans="1:54" ht="15">
      <c r="A114" s="82"/>
      <c r="B114" s="82"/>
      <c r="C114" s="82"/>
      <c r="D114" s="82"/>
      <c r="E114" s="346" t="s">
        <v>773</v>
      </c>
      <c r="F114" s="82"/>
      <c r="G114" s="82" t="s">
        <v>755</v>
      </c>
      <c r="H114" s="82" t="s">
        <v>502</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SelectedInputs!AP404</f>
        <v>0</v>
      </c>
      <c r="AQ114" s="9">
        <f>SelectedInputs!AQ404</f>
        <v>0</v>
      </c>
      <c r="AR114" s="30"/>
      <c r="AS114" s="30"/>
      <c r="AT114" s="30"/>
      <c r="AU114" s="30"/>
      <c r="AV114" s="30"/>
      <c r="AW114" s="184"/>
      <c r="AX114" s="184"/>
      <c r="AY114" s="184"/>
      <c r="AZ114" s="184"/>
      <c r="BA114" s="184"/>
      <c r="BB114" s="82"/>
    </row>
    <row r="115" spans="1:54" ht="15">
      <c r="A115" s="82"/>
      <c r="B115" s="82"/>
      <c r="C115" s="82"/>
      <c r="D115" s="82"/>
      <c r="E115" s="293" t="s">
        <v>498</v>
      </c>
      <c r="F115" s="82"/>
      <c r="G115" s="82" t="s">
        <v>304</v>
      </c>
      <c r="H115" s="82" t="s">
        <v>774</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5">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5">
      <c r="A117" s="82"/>
      <c r="B117" s="82"/>
      <c r="C117" s="82"/>
      <c r="D117" s="82"/>
      <c r="E117" s="428" t="s">
        <v>503</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5">
      <c r="A118" s="82"/>
      <c r="B118" s="82"/>
      <c r="C118" s="82"/>
      <c r="D118" s="82"/>
      <c r="E118" s="346" t="s">
        <v>775</v>
      </c>
      <c r="F118" s="82"/>
      <c r="G118" s="82" t="s">
        <v>304</v>
      </c>
      <c r="H118" s="82" t="s">
        <v>505</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SelectedInputs!AP406</f>
        <v>0</v>
      </c>
      <c r="AQ118" s="9">
        <f>SelectedInputs!AQ406</f>
        <v>0</v>
      </c>
      <c r="AR118" s="30"/>
      <c r="AS118" s="30"/>
      <c r="AT118" s="30"/>
      <c r="AU118" s="30"/>
      <c r="AV118" s="30"/>
      <c r="AW118" s="184"/>
      <c r="AX118" s="184"/>
      <c r="AY118" s="184"/>
      <c r="AZ118" s="184"/>
      <c r="BA118" s="184"/>
      <c r="BB118" s="82"/>
    </row>
    <row r="119" spans="1:54" ht="15">
      <c r="A119" s="82"/>
      <c r="B119" s="82"/>
      <c r="C119" s="82"/>
      <c r="D119" s="82"/>
      <c r="E119" s="346" t="s">
        <v>776</v>
      </c>
      <c r="F119" s="82"/>
      <c r="G119" s="82" t="s">
        <v>755</v>
      </c>
      <c r="H119" s="82" t="s">
        <v>507</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SelectedInputs!AP407</f>
        <v>0</v>
      </c>
      <c r="AQ119" s="9">
        <f>SelectedInputs!AQ407</f>
        <v>0</v>
      </c>
      <c r="AR119" s="30"/>
      <c r="AS119" s="30"/>
      <c r="AT119" s="30"/>
      <c r="AU119" s="30"/>
      <c r="AV119" s="30"/>
      <c r="AW119" s="184"/>
      <c r="AX119" s="184"/>
      <c r="AY119" s="184"/>
      <c r="AZ119" s="184"/>
      <c r="BA119" s="184"/>
      <c r="BB119" s="82"/>
    </row>
    <row r="120" spans="1:54" ht="15">
      <c r="A120" s="82"/>
      <c r="B120" s="82"/>
      <c r="C120" s="82"/>
      <c r="D120" s="82"/>
      <c r="E120" s="293" t="s">
        <v>503</v>
      </c>
      <c r="F120" s="82"/>
      <c r="G120" s="82" t="s">
        <v>304</v>
      </c>
      <c r="H120" s="82" t="s">
        <v>777</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5">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5">
      <c r="A122" s="82"/>
      <c r="B122" s="82"/>
      <c r="C122" s="82"/>
      <c r="D122" s="82"/>
      <c r="E122" s="428" t="s">
        <v>508</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5">
      <c r="A123" s="82"/>
      <c r="B123" s="82"/>
      <c r="C123" s="82"/>
      <c r="D123" s="82"/>
      <c r="E123" s="346" t="s">
        <v>778</v>
      </c>
      <c r="F123" s="82"/>
      <c r="G123" s="82" t="s">
        <v>304</v>
      </c>
      <c r="H123" s="82" t="s">
        <v>510</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SelectedInputs!AP409</f>
        <v>0</v>
      </c>
      <c r="AQ123" s="9">
        <f>SelectedInputs!AQ409</f>
        <v>0</v>
      </c>
      <c r="AR123" s="30"/>
      <c r="AS123" s="30"/>
      <c r="AT123" s="30"/>
      <c r="AU123" s="30"/>
      <c r="AV123" s="30"/>
      <c r="AW123" s="184"/>
      <c r="AX123" s="184"/>
      <c r="AY123" s="184"/>
      <c r="AZ123" s="184"/>
      <c r="BA123" s="184"/>
      <c r="BB123" s="82"/>
    </row>
    <row r="124" spans="1:54" ht="15">
      <c r="A124" s="82"/>
      <c r="B124" s="82"/>
      <c r="C124" s="82"/>
      <c r="D124" s="82"/>
      <c r="E124" s="346" t="s">
        <v>779</v>
      </c>
      <c r="F124" s="82"/>
      <c r="G124" s="82" t="s">
        <v>755</v>
      </c>
      <c r="H124" s="82" t="s">
        <v>512</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SelectedInputs!AP410</f>
        <v>0</v>
      </c>
      <c r="AQ124" s="9">
        <f>SelectedInputs!AQ410</f>
        <v>0</v>
      </c>
      <c r="AR124" s="30"/>
      <c r="AS124" s="30"/>
      <c r="AT124" s="30"/>
      <c r="AU124" s="30"/>
      <c r="AV124" s="30"/>
      <c r="AW124" s="184"/>
      <c r="AX124" s="184"/>
      <c r="AY124" s="184"/>
      <c r="AZ124" s="184"/>
      <c r="BA124" s="184"/>
      <c r="BB124" s="82"/>
    </row>
    <row r="125" spans="1:54" ht="15">
      <c r="A125" s="82"/>
      <c r="B125" s="82"/>
      <c r="C125" s="82"/>
      <c r="D125" s="82"/>
      <c r="E125" s="293" t="s">
        <v>508</v>
      </c>
      <c r="F125" s="82"/>
      <c r="G125" s="82" t="s">
        <v>304</v>
      </c>
      <c r="H125" s="82" t="s">
        <v>780</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5">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5">
      <c r="A127" s="82"/>
      <c r="B127" s="82"/>
      <c r="C127" s="82"/>
      <c r="D127" s="82"/>
      <c r="E127" s="428" t="s">
        <v>513</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5">
      <c r="A128" s="82"/>
      <c r="B128" s="82"/>
      <c r="C128" s="82"/>
      <c r="D128" s="82"/>
      <c r="E128" s="346" t="s">
        <v>781</v>
      </c>
      <c r="F128" s="82"/>
      <c r="G128" s="82" t="s">
        <v>304</v>
      </c>
      <c r="H128" s="82" t="s">
        <v>515</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SelectedInputs!AP412</f>
        <v>0.55616246000000003</v>
      </c>
      <c r="AQ128" s="9">
        <f>SelectedInputs!AQ412</f>
        <v>1.1573850599999957</v>
      </c>
      <c r="AR128" s="7"/>
      <c r="AS128" s="30"/>
      <c r="AT128" s="30"/>
      <c r="AU128" s="30"/>
      <c r="AV128" s="30"/>
      <c r="AW128" s="184"/>
      <c r="AX128" s="184"/>
      <c r="AY128" s="184"/>
      <c r="AZ128" s="184"/>
      <c r="BA128" s="184"/>
      <c r="BB128" s="82"/>
    </row>
    <row r="129" spans="1:54" ht="15">
      <c r="A129" s="82"/>
      <c r="B129" s="82"/>
      <c r="C129" s="82"/>
      <c r="D129" s="82"/>
      <c r="E129" s="346" t="s">
        <v>782</v>
      </c>
      <c r="F129" s="82"/>
      <c r="G129" s="82" t="s">
        <v>304</v>
      </c>
      <c r="H129" s="82" t="s">
        <v>783</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5">
      <c r="A130" s="82"/>
      <c r="B130" s="82"/>
      <c r="C130" s="82"/>
      <c r="D130" s="82"/>
      <c r="E130" s="293" t="s">
        <v>513</v>
      </c>
      <c r="F130" s="82"/>
      <c r="G130" s="82" t="s">
        <v>304</v>
      </c>
      <c r="H130" s="82" t="s">
        <v>784</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0.72042405831650225</v>
      </c>
      <c r="AS130" s="30">
        <f>(AQ128/AQ$13) * AQ$16 * AR$16 * AS$13 + AS129</f>
        <v>1.3795833876806398</v>
      </c>
      <c r="AT130" s="30"/>
      <c r="AU130" s="30"/>
      <c r="AV130" s="30"/>
      <c r="AW130" s="184"/>
      <c r="AX130" s="184"/>
      <c r="AY130" s="184"/>
      <c r="AZ130" s="184"/>
      <c r="BA130" s="184"/>
      <c r="BB130" s="82"/>
    </row>
    <row r="131" spans="1:54" ht="15">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5">
      <c r="A132" s="82"/>
      <c r="B132" s="82"/>
      <c r="C132" s="82"/>
      <c r="D132" s="82"/>
      <c r="E132" s="428" t="s">
        <v>785</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5">
      <c r="A133" s="82"/>
      <c r="B133" s="82"/>
      <c r="C133" s="82"/>
      <c r="D133" s="82"/>
      <c r="E133" s="346" t="s">
        <v>786</v>
      </c>
      <c r="F133" s="82"/>
      <c r="G133" s="82" t="s">
        <v>304</v>
      </c>
      <c r="H133" s="82" t="s">
        <v>518</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SelectedInputs!AO414</f>
        <v>0.62224200833333332</v>
      </c>
      <c r="AP133" s="8">
        <f>SelectedInputs!AP414</f>
        <v>2.2745069449999997</v>
      </c>
      <c r="AQ133" s="9">
        <f>SelectedInputs!AQ414</f>
        <v>1.6846693333333343E-2</v>
      </c>
      <c r="AR133" s="30"/>
      <c r="AS133" s="30"/>
      <c r="AT133" s="30"/>
      <c r="AU133" s="30"/>
      <c r="AV133" s="30"/>
      <c r="AW133" s="184"/>
      <c r="AX133" s="184"/>
      <c r="AY133" s="184"/>
      <c r="AZ133" s="184"/>
      <c r="BA133" s="184"/>
      <c r="BB133" s="82"/>
    </row>
    <row r="134" spans="1:54" ht="15">
      <c r="A134" s="82"/>
      <c r="B134" s="82"/>
      <c r="C134" s="82"/>
      <c r="D134" s="82"/>
      <c r="E134" s="346" t="s">
        <v>787</v>
      </c>
      <c r="F134" s="82"/>
      <c r="G134" s="82" t="s">
        <v>304</v>
      </c>
      <c r="H134" s="82" t="s">
        <v>520</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SelectedInputs!AO415</f>
        <v>1.3628950000000001E-2</v>
      </c>
      <c r="AP134" s="8">
        <f>SelectedInputs!AP415</f>
        <v>6.9366575E-2</v>
      </c>
      <c r="AQ134" s="9">
        <f>SelectedInputs!AQ415</f>
        <v>7.409898333333334E-2</v>
      </c>
      <c r="AR134" s="30"/>
      <c r="AS134" s="30"/>
      <c r="AT134" s="30"/>
      <c r="AU134" s="30"/>
      <c r="AV134" s="30"/>
      <c r="AW134" s="184"/>
      <c r="AX134" s="184"/>
      <c r="AY134" s="184"/>
      <c r="AZ134" s="184"/>
      <c r="BA134" s="184"/>
      <c r="BB134" s="82"/>
    </row>
    <row r="135" spans="1:54" ht="15">
      <c r="A135" s="82"/>
      <c r="B135" s="82"/>
      <c r="C135" s="82"/>
      <c r="D135" s="82"/>
      <c r="E135" s="293" t="s">
        <v>516</v>
      </c>
      <c r="F135" s="82"/>
      <c r="G135" s="82" t="s">
        <v>304</v>
      </c>
      <c r="H135" s="82" t="s">
        <v>788</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0.86106370336092886</v>
      </c>
      <c r="AS135" s="30">
        <f>((AP133-AP134))/AP$13*AP$16*AQ$16*AR$16*AS$13</f>
        <v>3.0604258912504139</v>
      </c>
      <c r="AT135" s="30">
        <f>((AQ133-AQ134))/AQ$13*AQ$16*AR$16*AS$16*AT$13</f>
        <v>-7.228238716177296E-2</v>
      </c>
      <c r="AU135" s="30"/>
      <c r="AV135" s="30"/>
      <c r="AW135" s="184"/>
      <c r="AX135" s="184"/>
      <c r="AY135" s="184"/>
      <c r="AZ135" s="184"/>
      <c r="BA135" s="184"/>
      <c r="BB135" s="82"/>
    </row>
    <row r="136" spans="1:54" ht="15">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5">
      <c r="A137" s="82"/>
      <c r="B137" s="82"/>
      <c r="C137" s="82"/>
      <c r="D137" s="82"/>
      <c r="E137" s="428" t="s">
        <v>521</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5">
      <c r="A138" s="82"/>
      <c r="B138" s="82"/>
      <c r="C138" s="82"/>
      <c r="D138" s="82"/>
      <c r="E138" s="346" t="s">
        <v>522</v>
      </c>
      <c r="F138" s="82"/>
      <c r="G138" s="82" t="s">
        <v>304</v>
      </c>
      <c r="H138" s="82" t="s">
        <v>523</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SelectedInputs!AP417</f>
        <v>0</v>
      </c>
      <c r="AQ138" s="9">
        <f>SelectedInputs!AQ417</f>
        <v>0</v>
      </c>
      <c r="AR138" s="30"/>
      <c r="AS138" s="30"/>
      <c r="AT138" s="30"/>
      <c r="AU138" s="30"/>
      <c r="AV138" s="30"/>
      <c r="AW138" s="184"/>
      <c r="AX138" s="184"/>
      <c r="AY138" s="184"/>
      <c r="AZ138" s="184"/>
      <c r="BA138" s="184"/>
      <c r="BB138" s="82"/>
    </row>
    <row r="139" spans="1:54" ht="15">
      <c r="A139" s="82"/>
      <c r="B139" s="82"/>
      <c r="C139" s="82"/>
      <c r="D139" s="82"/>
      <c r="E139" s="346" t="s">
        <v>524</v>
      </c>
      <c r="F139" s="82"/>
      <c r="G139" s="82" t="s">
        <v>304</v>
      </c>
      <c r="H139" s="82" t="s">
        <v>525</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SelectedInputs!AP418</f>
        <v>0</v>
      </c>
      <c r="AQ139" s="9">
        <f>SelectedInputs!AQ418</f>
        <v>0</v>
      </c>
      <c r="AR139" s="30"/>
      <c r="AS139" s="30"/>
      <c r="AT139" s="30"/>
      <c r="AU139" s="30"/>
      <c r="AV139" s="30"/>
      <c r="AW139" s="184"/>
      <c r="AX139" s="184"/>
      <c r="AY139" s="184"/>
      <c r="AZ139" s="184"/>
      <c r="BA139" s="184"/>
      <c r="BB139" s="82"/>
    </row>
    <row r="140" spans="1:54" ht="15">
      <c r="A140" s="82"/>
      <c r="B140" s="82"/>
      <c r="C140" s="82"/>
      <c r="D140" s="82"/>
      <c r="E140" s="346" t="s">
        <v>526</v>
      </c>
      <c r="F140" s="82"/>
      <c r="G140" s="82" t="s">
        <v>304</v>
      </c>
      <c r="H140" s="82" t="s">
        <v>527</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SelectedInputs!AP419</f>
        <v>0</v>
      </c>
      <c r="AQ140" s="9">
        <f>SelectedInputs!AQ419</f>
        <v>0</v>
      </c>
      <c r="AR140" s="30"/>
      <c r="AS140" s="30"/>
      <c r="AT140" s="30"/>
      <c r="AU140" s="30"/>
      <c r="AV140" s="30"/>
      <c r="AW140" s="184"/>
      <c r="AX140" s="184"/>
      <c r="AY140" s="184"/>
      <c r="AZ140" s="184"/>
      <c r="BA140" s="184"/>
      <c r="BB140" s="82"/>
    </row>
    <row r="141" spans="1:54" ht="15">
      <c r="A141" s="82"/>
      <c r="B141" s="82"/>
      <c r="C141" s="82"/>
      <c r="D141" s="82"/>
      <c r="E141" s="293" t="s">
        <v>789</v>
      </c>
      <c r="F141" s="82"/>
      <c r="G141" s="82" t="s">
        <v>304</v>
      </c>
      <c r="H141" s="82" t="s">
        <v>790</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5">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5">
      <c r="A143" s="82"/>
      <c r="B143" s="82"/>
      <c r="C143" s="28" t="s">
        <v>791</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5">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5">
      <c r="A145" s="82"/>
      <c r="B145" s="82"/>
      <c r="C145" s="82"/>
      <c r="D145" s="82"/>
      <c r="E145" s="259" t="s">
        <v>397</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5">
      <c r="A146" s="82"/>
      <c r="B146" s="82"/>
      <c r="C146" s="82"/>
      <c r="D146" s="82"/>
      <c r="E146" s="346" t="s">
        <v>792</v>
      </c>
      <c r="F146" s="82"/>
      <c r="G146" s="2" t="s">
        <v>304</v>
      </c>
      <c r="H146" s="82" t="s">
        <v>793</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1.8310022846250977</v>
      </c>
      <c r="AS146" s="30">
        <f>AS26</f>
        <v>1.9617694967509849</v>
      </c>
      <c r="AT146" s="30">
        <f>AT26</f>
        <v>2.077865909128795</v>
      </c>
      <c r="AU146" s="30">
        <f>AU26</f>
        <v>2.1973660124914374</v>
      </c>
      <c r="AV146" s="30">
        <f>AV26</f>
        <v>2.3298157554538768</v>
      </c>
      <c r="AW146" s="184"/>
      <c r="AX146" s="184"/>
      <c r="AY146" s="184"/>
      <c r="AZ146" s="184"/>
      <c r="BA146" s="184"/>
      <c r="BB146" s="82"/>
    </row>
    <row r="147" spans="1:54" ht="15">
      <c r="A147" s="82"/>
      <c r="B147" s="82"/>
      <c r="C147" s="82"/>
      <c r="D147" s="82"/>
      <c r="E147" s="346" t="s">
        <v>794</v>
      </c>
      <c r="F147" s="82"/>
      <c r="G147" s="2" t="s">
        <v>304</v>
      </c>
      <c r="H147" s="82" t="s">
        <v>712</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11.000388283562989</v>
      </c>
      <c r="AS147" s="30">
        <f>AS33</f>
        <v>33.327039582195709</v>
      </c>
      <c r="AT147" s="30"/>
      <c r="AU147" s="30"/>
      <c r="AV147" s="30"/>
      <c r="AW147" s="184"/>
      <c r="AX147" s="184"/>
      <c r="AY147" s="184"/>
      <c r="AZ147" s="184"/>
      <c r="BA147" s="184"/>
      <c r="BB147" s="82"/>
    </row>
    <row r="148" spans="1:54" ht="15">
      <c r="A148" s="82"/>
      <c r="B148" s="82"/>
      <c r="C148" s="82"/>
      <c r="D148" s="82"/>
      <c r="E148" s="346" t="s">
        <v>717</v>
      </c>
      <c r="F148" s="82"/>
      <c r="G148" s="2" t="s">
        <v>304</v>
      </c>
      <c r="H148" s="82" t="s">
        <v>720</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-1.4428176689494179</v>
      </c>
      <c r="AS148" s="30"/>
      <c r="AT148" s="30"/>
      <c r="AU148" s="30"/>
      <c r="AV148" s="30"/>
      <c r="AW148" s="184"/>
      <c r="AX148" s="184"/>
      <c r="AY148" s="184"/>
      <c r="AZ148" s="184"/>
      <c r="BA148" s="184"/>
      <c r="BB148" s="82"/>
    </row>
    <row r="149" spans="1:54" ht="15">
      <c r="A149" s="82"/>
      <c r="B149" s="82"/>
      <c r="C149" s="82"/>
      <c r="D149" s="82"/>
      <c r="E149" s="346" t="s">
        <v>435</v>
      </c>
      <c r="F149" s="82"/>
      <c r="G149" s="2" t="s">
        <v>304</v>
      </c>
      <c r="H149" s="82" t="s">
        <v>730</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5">
      <c r="A150" s="82"/>
      <c r="B150" s="82"/>
      <c r="C150" s="82"/>
      <c r="D150" s="82"/>
      <c r="E150" s="259" t="s">
        <v>795</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5">
      <c r="A151" s="82"/>
      <c r="B151" s="82"/>
      <c r="C151" s="82"/>
      <c r="D151" s="82"/>
      <c r="E151" s="346" t="s">
        <v>796</v>
      </c>
      <c r="G151" s="2" t="s">
        <v>304</v>
      </c>
      <c r="H151" s="82" t="s">
        <v>797</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0.87418609570518735</v>
      </c>
      <c r="AS151" s="30">
        <f>AS62</f>
        <v>2.121332078791192</v>
      </c>
      <c r="AT151" s="30"/>
      <c r="AU151" s="30"/>
      <c r="AV151" s="30"/>
      <c r="AW151" s="184"/>
      <c r="AX151" s="184"/>
      <c r="AY151" s="184"/>
      <c r="AZ151" s="184"/>
      <c r="BA151" s="184"/>
      <c r="BB151" s="82"/>
    </row>
    <row r="152" spans="1:54" ht="15">
      <c r="A152" s="82"/>
      <c r="B152" s="82"/>
      <c r="C152" s="82"/>
      <c r="D152" s="82"/>
      <c r="E152" s="346" t="s">
        <v>798</v>
      </c>
      <c r="G152" s="2" t="s">
        <v>304</v>
      </c>
      <c r="H152" s="82" t="s">
        <v>799</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7.5805403219043788</v>
      </c>
      <c r="AS152" s="30">
        <f>AS68</f>
        <v>8.1030718075714798</v>
      </c>
      <c r="AT152" s="30"/>
      <c r="AU152" s="30"/>
      <c r="AV152" s="30"/>
      <c r="AW152" s="184"/>
      <c r="AX152" s="184"/>
      <c r="AY152" s="184"/>
      <c r="AZ152" s="184"/>
      <c r="BA152" s="184"/>
      <c r="BB152" s="82"/>
    </row>
    <row r="153" spans="1:54" ht="15">
      <c r="A153" s="82"/>
      <c r="B153" s="82"/>
      <c r="C153" s="82"/>
      <c r="D153" s="82"/>
      <c r="E153" s="346" t="s">
        <v>800</v>
      </c>
      <c r="G153" s="2" t="s">
        <v>304</v>
      </c>
      <c r="H153" s="82" t="s">
        <v>801</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5">
      <c r="A154" s="82"/>
      <c r="B154" s="82"/>
      <c r="C154" s="82"/>
      <c r="D154" s="82"/>
      <c r="E154" s="346" t="s">
        <v>749</v>
      </c>
      <c r="G154" s="2" t="s">
        <v>304</v>
      </c>
      <c r="H154" s="82" t="s">
        <v>802</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0</v>
      </c>
      <c r="AS154" s="30">
        <f>AS79</f>
        <v>0</v>
      </c>
      <c r="AT154" s="30"/>
      <c r="AU154" s="30"/>
      <c r="AV154" s="30"/>
      <c r="AW154" s="184"/>
      <c r="AX154" s="184"/>
      <c r="AY154" s="184"/>
      <c r="AZ154" s="184"/>
      <c r="BA154" s="184"/>
      <c r="BB154" s="82"/>
    </row>
    <row r="155" spans="1:54" ht="15">
      <c r="A155" s="82"/>
      <c r="B155" s="82"/>
      <c r="C155" s="82"/>
      <c r="D155" s="82"/>
      <c r="E155" s="259" t="s">
        <v>803</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5">
      <c r="A156" s="82"/>
      <c r="B156" s="82"/>
      <c r="C156" s="82"/>
      <c r="D156" s="82"/>
      <c r="E156" s="346" t="s">
        <v>468</v>
      </c>
      <c r="F156" s="82"/>
      <c r="G156" s="2" t="s">
        <v>304</v>
      </c>
      <c r="H156" s="82" t="s">
        <v>756</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0.73843554858591287</v>
      </c>
      <c r="AS156" s="30">
        <f>AS85</f>
        <v>0.61462789087013836</v>
      </c>
      <c r="AT156" s="30"/>
      <c r="AU156" s="30"/>
      <c r="AV156" s="30"/>
      <c r="AW156" s="184"/>
      <c r="AX156" s="184"/>
      <c r="AY156" s="184"/>
      <c r="AZ156" s="184"/>
      <c r="BA156" s="184"/>
      <c r="BB156" s="82"/>
    </row>
    <row r="157" spans="1:54" ht="15">
      <c r="A157" s="82"/>
      <c r="B157" s="82"/>
      <c r="C157" s="82"/>
      <c r="D157" s="82"/>
      <c r="E157" s="346" t="s">
        <v>473</v>
      </c>
      <c r="F157" s="82"/>
      <c r="G157" s="2" t="s">
        <v>304</v>
      </c>
      <c r="H157" s="82" t="s">
        <v>759</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5.1234012525284145</v>
      </c>
      <c r="AS157" s="30">
        <f>AS90</f>
        <v>2.1190444201478074</v>
      </c>
      <c r="AT157" s="30"/>
      <c r="AU157" s="30"/>
      <c r="AV157" s="30"/>
      <c r="AW157" s="184"/>
      <c r="AX157" s="184"/>
      <c r="AY157" s="184"/>
      <c r="AZ157" s="184"/>
      <c r="BA157" s="184"/>
      <c r="BB157" s="82"/>
    </row>
    <row r="158" spans="1:54" ht="15">
      <c r="A158" s="82"/>
      <c r="B158" s="82"/>
      <c r="C158" s="82"/>
      <c r="D158" s="82"/>
      <c r="E158" s="346" t="s">
        <v>478</v>
      </c>
      <c r="F158" s="82"/>
      <c r="G158" s="2" t="s">
        <v>304</v>
      </c>
      <c r="H158" s="82" t="s">
        <v>762</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-4.6010809228740754</v>
      </c>
      <c r="AS158" s="30">
        <f>AS95</f>
        <v>-1.8986790416498178</v>
      </c>
      <c r="AT158" s="30"/>
      <c r="AU158" s="30"/>
      <c r="AV158" s="30"/>
      <c r="AW158" s="184"/>
      <c r="AX158" s="184"/>
      <c r="AY158" s="184"/>
      <c r="AZ158" s="184"/>
      <c r="BA158" s="184"/>
      <c r="BB158" s="82"/>
    </row>
    <row r="159" spans="1:54" ht="15">
      <c r="A159" s="82"/>
      <c r="B159" s="82"/>
      <c r="C159" s="82"/>
      <c r="D159" s="82"/>
      <c r="E159" s="346" t="s">
        <v>483</v>
      </c>
      <c r="F159" s="82"/>
      <c r="G159" s="2" t="s">
        <v>304</v>
      </c>
      <c r="H159" s="82" t="s">
        <v>765</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2.2686766599988282</v>
      </c>
      <c r="AS159" s="30">
        <f>AS100</f>
        <v>2.2309407807171353</v>
      </c>
      <c r="AT159" s="30"/>
      <c r="AU159" s="30"/>
      <c r="AV159" s="30"/>
      <c r="AW159" s="184"/>
      <c r="AX159" s="184"/>
      <c r="AY159" s="184"/>
      <c r="AZ159" s="184"/>
      <c r="BA159" s="184"/>
      <c r="BB159" s="82"/>
    </row>
    <row r="160" spans="1:54" ht="15">
      <c r="A160" s="82"/>
      <c r="B160" s="82"/>
      <c r="C160" s="82"/>
      <c r="D160" s="82"/>
      <c r="E160" s="346" t="s">
        <v>488</v>
      </c>
      <c r="F160" s="82"/>
      <c r="G160" s="2" t="s">
        <v>304</v>
      </c>
      <c r="H160" s="82" t="s">
        <v>768</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1.3171679243373307</v>
      </c>
      <c r="AS160" s="30">
        <f>AS105</f>
        <v>0.926590572135228</v>
      </c>
      <c r="AT160" s="30"/>
      <c r="AU160" s="30"/>
      <c r="AV160" s="30"/>
      <c r="AW160" s="184"/>
      <c r="AX160" s="184"/>
      <c r="AY160" s="184"/>
      <c r="AZ160" s="184"/>
      <c r="BA160" s="184"/>
      <c r="BB160" s="82"/>
    </row>
    <row r="161" spans="1:54" ht="15">
      <c r="A161" s="82"/>
      <c r="B161" s="82"/>
      <c r="C161" s="82"/>
      <c r="D161" s="82"/>
      <c r="E161" s="346" t="s">
        <v>804</v>
      </c>
      <c r="F161" s="82"/>
      <c r="G161" s="2" t="s">
        <v>304</v>
      </c>
      <c r="H161" s="82" t="s">
        <v>771</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4.4116244632316205E-2</v>
      </c>
      <c r="AS161" s="30">
        <f>AS110</f>
        <v>4.2949259532285504E-2</v>
      </c>
      <c r="AT161" s="30"/>
      <c r="AU161" s="30"/>
      <c r="AV161" s="30"/>
      <c r="AW161" s="184"/>
      <c r="AX161" s="184"/>
      <c r="AY161" s="184"/>
      <c r="AZ161" s="184"/>
      <c r="BA161" s="184"/>
      <c r="BB161" s="82"/>
    </row>
    <row r="162" spans="1:54" ht="15">
      <c r="A162" s="82"/>
      <c r="B162" s="82"/>
      <c r="C162" s="82"/>
      <c r="D162" s="82"/>
      <c r="E162" s="346" t="s">
        <v>805</v>
      </c>
      <c r="F162" s="82"/>
      <c r="G162" s="2" t="s">
        <v>304</v>
      </c>
      <c r="H162" s="82" t="s">
        <v>774</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5">
      <c r="A163" s="82"/>
      <c r="B163" s="82"/>
      <c r="C163" s="82"/>
      <c r="D163" s="82"/>
      <c r="E163" s="346" t="s">
        <v>503</v>
      </c>
      <c r="F163" s="82"/>
      <c r="G163" s="2" t="s">
        <v>304</v>
      </c>
      <c r="H163" s="82" t="s">
        <v>777</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5">
      <c r="A164" s="82"/>
      <c r="B164" s="82"/>
      <c r="C164" s="82"/>
      <c r="D164" s="82"/>
      <c r="E164" s="346" t="s">
        <v>508</v>
      </c>
      <c r="F164" s="82"/>
      <c r="G164" s="2" t="s">
        <v>304</v>
      </c>
      <c r="H164" s="82" t="s">
        <v>780</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5">
      <c r="A165" s="82"/>
      <c r="B165" s="82"/>
      <c r="C165" s="82"/>
      <c r="D165" s="82"/>
      <c r="E165" s="346" t="s">
        <v>806</v>
      </c>
      <c r="F165" s="82"/>
      <c r="G165" s="2" t="s">
        <v>304</v>
      </c>
      <c r="H165" s="82" t="s">
        <v>784</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0.72042405831650225</v>
      </c>
      <c r="AS165" s="30">
        <f>AS130</f>
        <v>1.3795833876806398</v>
      </c>
      <c r="AT165" s="30"/>
      <c r="AU165" s="30"/>
      <c r="AV165" s="30"/>
      <c r="AW165" s="184"/>
      <c r="AX165" s="184"/>
      <c r="AY165" s="184"/>
      <c r="AZ165" s="184"/>
      <c r="BA165" s="184"/>
      <c r="BB165" s="82"/>
    </row>
    <row r="166" spans="1:54" ht="15">
      <c r="A166" s="82"/>
      <c r="B166" s="82"/>
      <c r="C166" s="82"/>
      <c r="D166" s="82"/>
      <c r="E166" s="346" t="s">
        <v>807</v>
      </c>
      <c r="F166" s="82"/>
      <c r="G166" s="2" t="s">
        <v>304</v>
      </c>
      <c r="H166" s="82" t="s">
        <v>788</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0.86106370336092886</v>
      </c>
      <c r="AS166" s="30">
        <f>AS135</f>
        <v>3.0604258912504139</v>
      </c>
      <c r="AT166" s="30">
        <f>AT135</f>
        <v>-7.228238716177296E-2</v>
      </c>
      <c r="AU166" s="30"/>
      <c r="AV166" s="30"/>
      <c r="AW166" s="184"/>
      <c r="AX166" s="184"/>
      <c r="AY166" s="184"/>
      <c r="AZ166" s="184"/>
      <c r="BA166" s="184"/>
      <c r="BB166" s="82"/>
    </row>
    <row r="167" spans="1:54" ht="15">
      <c r="A167" s="82"/>
      <c r="B167" s="82"/>
      <c r="C167" s="82"/>
      <c r="D167" s="82"/>
      <c r="E167" s="346" t="s">
        <v>808</v>
      </c>
      <c r="F167" s="82"/>
      <c r="G167" s="2" t="s">
        <v>304</v>
      </c>
      <c r="H167" s="82" t="s">
        <v>790</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5">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145"/>
      <c r="AS168" s="184"/>
      <c r="AT168" s="184"/>
      <c r="AU168" s="184"/>
      <c r="AV168" s="184"/>
      <c r="AW168" s="184"/>
      <c r="AX168" s="184"/>
      <c r="AY168" s="184"/>
      <c r="AZ168" s="184"/>
      <c r="BA168" s="184"/>
      <c r="BB168" s="82"/>
    </row>
    <row r="169" spans="1:54" ht="15">
      <c r="B169" s="37" t="s">
        <v>79</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120" priority="4" operator="equal">
      <formula>FALSE()</formula>
    </cfRule>
  </conditionalFormatting>
  <conditionalFormatting sqref="AM3">
    <cfRule type="expression" dxfId="119" priority="12">
      <formula>$AM$3="OK"</formula>
    </cfRule>
  </conditionalFormatting>
  <conditionalFormatting sqref="AW6:BA6">
    <cfRule type="cellIs" dxfId="118" priority="2" operator="equal">
      <formula>FALSE()</formula>
    </cfRule>
  </conditionalFormatting>
  <conditionalFormatting sqref="AW8:BA167">
    <cfRule type="cellIs" dxfId="117"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50.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49</v>
      </c>
      <c r="B1" s="181"/>
      <c r="C1" s="181"/>
      <c r="D1" s="181"/>
      <c r="E1" s="275"/>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49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5">
      <c r="A8" s="2"/>
      <c r="B8" s="2"/>
      <c r="C8" s="20" t="s">
        <v>809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10" t="s">
        <v>810</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5">
      <c r="A12" s="2"/>
      <c r="B12" s="2"/>
      <c r="C12" s="2"/>
      <c r="D12" s="2"/>
      <c r="E12" s="7" t="s">
        <v>811</v>
      </c>
      <c r="F12" s="2"/>
      <c r="G12" s="2" t="s">
        <v>105</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17.761922800000001</v>
      </c>
      <c r="AS12" s="8">
        <f>(InputSummary!AS31 + InputSummary!AS41)</f>
        <v>19.684784707906118</v>
      </c>
      <c r="AT12" s="8">
        <f>(InputSummary!AT31 + InputSummary!AT41)</f>
        <v>13.206462502240148</v>
      </c>
      <c r="AU12" s="8">
        <f>(InputSummary!AU31 + InputSummary!AU41)</f>
        <v>15.709759378239953</v>
      </c>
      <c r="AV12" s="8">
        <f>(InputSummary!AV31 + InputSummary!AV41)</f>
        <v>13.538933255454589</v>
      </c>
      <c r="AW12" s="2"/>
    </row>
    <row r="13" spans="1:49" ht="15">
      <c r="A13" s="2"/>
      <c r="B13" s="2"/>
      <c r="C13" s="2"/>
      <c r="D13" s="2"/>
      <c r="E13" s="7" t="s">
        <v>812</v>
      </c>
      <c r="F13" s="2"/>
      <c r="G13" s="2" t="s">
        <v>105</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58.7260712</v>
      </c>
      <c r="AS13" s="8">
        <f>(InputSummary!AS32 + InputSummary!AS42)</f>
        <v>62.059325837795797</v>
      </c>
      <c r="AT13" s="8">
        <f>(InputSummary!AT32 + InputSummary!AT42)</f>
        <v>62.707829043899125</v>
      </c>
      <c r="AU13" s="8">
        <f>(InputSummary!AU32 + InputSummary!AU42)</f>
        <v>66.953082028242392</v>
      </c>
      <c r="AV13" s="8">
        <f>(InputSummary!AV32 + InputSummary!AV42)</f>
        <v>70.171790867194716</v>
      </c>
      <c r="AW13" s="2"/>
    </row>
    <row r="14" spans="1:49" ht="15">
      <c r="A14" s="2"/>
      <c r="B14" s="2"/>
      <c r="C14" s="2"/>
      <c r="D14" s="2"/>
      <c r="E14" s="7" t="s">
        <v>813</v>
      </c>
      <c r="F14" s="2"/>
      <c r="G14" s="2" t="s">
        <v>105</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21.742043487500567</v>
      </c>
      <c r="AS14" s="8">
        <f>(InputSummary!AS33 + InputSummary!AS43)</f>
        <v>26.672430139895425</v>
      </c>
      <c r="AT14" s="8">
        <f>(InputSummary!AT33 + InputSummary!AT43)</f>
        <v>22.825020653524163</v>
      </c>
      <c r="AU14" s="8">
        <f>(InputSummary!AU33 + InputSummary!AU43)</f>
        <v>22.811216233952159</v>
      </c>
      <c r="AV14" s="8">
        <f>(InputSummary!AV33 + InputSummary!AV43)</f>
        <v>22.788687023630093</v>
      </c>
      <c r="AW14" s="2"/>
    </row>
    <row r="15" spans="1:49" ht="15">
      <c r="A15" s="2"/>
      <c r="B15" s="2"/>
      <c r="C15" s="2"/>
      <c r="D15" s="2"/>
      <c r="E15" s="7" t="s">
        <v>814</v>
      </c>
      <c r="F15" s="2"/>
      <c r="G15" s="2" t="s">
        <v>105</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23.705405599999999</v>
      </c>
      <c r="AS15" s="8">
        <f>(InputSummary!AS34 + InputSummary!AS44)</f>
        <v>24.002463181301323</v>
      </c>
      <c r="AT15" s="8">
        <f>(InputSummary!AT34 + InputSummary!AT44)</f>
        <v>24.147721676816172</v>
      </c>
      <c r="AU15" s="8">
        <f>(InputSummary!AU34 + InputSummary!AU44)</f>
        <v>24.835827175742264</v>
      </c>
      <c r="AV15" s="8">
        <f>(InputSummary!AV34 + InputSummary!AV44)</f>
        <v>24.707668386607708</v>
      </c>
      <c r="AW15" s="2"/>
    </row>
    <row r="16" spans="1:49" ht="15">
      <c r="A16" s="2"/>
      <c r="B16" s="2"/>
      <c r="C16" s="2"/>
      <c r="D16" s="2"/>
      <c r="E16" s="7" t="s">
        <v>815</v>
      </c>
      <c r="F16" s="2"/>
      <c r="G16" s="2" t="s">
        <v>105</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3.9503216000000001</v>
      </c>
      <c r="AS16" s="8">
        <f>(InputSummary!AS35 + InputSummary!AS45)</f>
        <v>3.5134259530589431</v>
      </c>
      <c r="AT16" s="8">
        <f>(InputSummary!AT35 + InputSummary!AT45)</f>
        <v>3.5362559200738617</v>
      </c>
      <c r="AU16" s="8">
        <f>(InputSummary!AU35 + InputSummary!AU45)</f>
        <v>3.9240955199766754</v>
      </c>
      <c r="AV16" s="8">
        <f>(InputSummary!AV35 + InputSummary!AV45)</f>
        <v>3.590979727294815</v>
      </c>
      <c r="AW16" s="2"/>
    </row>
    <row r="17" spans="1:49" ht="15">
      <c r="A17" s="2"/>
      <c r="B17" s="2"/>
      <c r="C17" s="2"/>
      <c r="D17" s="2"/>
      <c r="E17" s="7" t="s">
        <v>816</v>
      </c>
      <c r="F17" s="2"/>
      <c r="G17" s="2" t="s">
        <v>105</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6.1702173999999994</v>
      </c>
      <c r="AS17" s="8">
        <f>(InputSummary!AS36 + InputSummary!AS46)</f>
        <v>6.2357466996452695</v>
      </c>
      <c r="AT17" s="8">
        <f>(InputSummary!AT36 + InputSummary!AT46)</f>
        <v>6.1608157436610131</v>
      </c>
      <c r="AU17" s="8">
        <f>(InputSummary!AU36 + InputSummary!AU46)</f>
        <v>6.2742879546333645</v>
      </c>
      <c r="AV17" s="8">
        <f>(InputSummary!AV36 + InputSummary!AV46)</f>
        <v>6.216157588415375</v>
      </c>
      <c r="AW17" s="2"/>
    </row>
    <row r="18" spans="1:49" ht="15">
      <c r="A18" s="2"/>
      <c r="B18" s="2"/>
      <c r="C18" s="2"/>
      <c r="D18" s="2"/>
      <c r="E18" s="7" t="s">
        <v>817</v>
      </c>
      <c r="F18" s="2"/>
      <c r="G18" s="2" t="s">
        <v>105</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72.617103200000003</v>
      </c>
      <c r="AS18" s="8">
        <f>(InputSummary!AS37 + InputSummary!AS47)</f>
        <v>73.056132862432577</v>
      </c>
      <c r="AT18" s="8">
        <f>(InputSummary!AT37 + InputSummary!AT47)</f>
        <v>70.409865915661598</v>
      </c>
      <c r="AU18" s="8">
        <f>(InputSummary!AU37 + InputSummary!AU47)</f>
        <v>71.030302384527914</v>
      </c>
      <c r="AV18" s="8">
        <f>(InputSummary!AV37 + InputSummary!AV47)</f>
        <v>70.292296438894027</v>
      </c>
      <c r="AW18" s="2"/>
    </row>
    <row r="19" spans="1:49" ht="15">
      <c r="A19" s="2"/>
      <c r="B19" s="2"/>
      <c r="C19" s="2"/>
      <c r="D19" s="2"/>
      <c r="E19" s="7" t="s">
        <v>818</v>
      </c>
      <c r="F19" s="2"/>
      <c r="G19" s="2" t="s">
        <v>105</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3"/>
      <c r="AR19" s="431">
        <f t="shared" ref="AR19:AV19" si="0">SUM(AR12:AR18)</f>
        <v>204.67308528750058</v>
      </c>
      <c r="AS19" s="431">
        <f t="shared" si="0"/>
        <v>215.22430938203544</v>
      </c>
      <c r="AT19" s="431">
        <f t="shared" si="0"/>
        <v>202.99397145587608</v>
      </c>
      <c r="AU19" s="431">
        <f t="shared" si="0"/>
        <v>211.5385706753147</v>
      </c>
      <c r="AV19" s="431">
        <f t="shared" si="0"/>
        <v>211.30651328749133</v>
      </c>
      <c r="AW19" s="2"/>
    </row>
    <row r="20" spans="1:49" ht="15">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5">
      <c r="A21" s="2"/>
      <c r="B21" s="2"/>
      <c r="C21" s="2"/>
      <c r="D21" s="10" t="s">
        <v>819</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5">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5">
      <c r="A23" s="2"/>
      <c r="B23" s="2"/>
      <c r="C23" s="2"/>
      <c r="D23" s="2"/>
      <c r="E23" s="7" t="s">
        <v>811</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11.16328095393132</v>
      </c>
      <c r="AS23" s="8">
        <f>InputSummary!AS51</f>
        <v>17.919775171026401</v>
      </c>
      <c r="AT23" s="8">
        <f>InputSummary!AT51</f>
        <v>10.87339953022904</v>
      </c>
      <c r="AU23" s="8">
        <f>InputSummary!AU51</f>
        <v>13.600437700537034</v>
      </c>
      <c r="AV23" s="8">
        <f>InputSummary!AV51</f>
        <v>14.108366355051837</v>
      </c>
      <c r="AW23" s="2"/>
    </row>
    <row r="24" spans="1:49" ht="15">
      <c r="A24" s="2"/>
      <c r="B24" s="2"/>
      <c r="C24" s="2"/>
      <c r="D24" s="2"/>
      <c r="E24" s="7" t="s">
        <v>812</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2.7772179129024015</v>
      </c>
      <c r="AS24" s="8">
        <f>InputSummary!AS52</f>
        <v>7.36229373829139</v>
      </c>
      <c r="AT24" s="8">
        <f>InputSummary!AT52</f>
        <v>5.5838260800494925</v>
      </c>
      <c r="AU24" s="8">
        <f>InputSummary!AU52</f>
        <v>7.1763192847417084E-2</v>
      </c>
      <c r="AV24" s="8">
        <f>InputSummary!AV52</f>
        <v>0.11192758502274965</v>
      </c>
      <c r="AW24" s="2"/>
    </row>
    <row r="25" spans="1:49" ht="15">
      <c r="A25" s="2"/>
      <c r="B25" s="2"/>
      <c r="C25" s="2"/>
      <c r="D25" s="2"/>
      <c r="E25" s="7" t="s">
        <v>813</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1.36</v>
      </c>
      <c r="AS25" s="8">
        <f>InputSummary!AS53</f>
        <v>7.0937078566233769</v>
      </c>
      <c r="AT25" s="8">
        <f>InputSummary!AT53</f>
        <v>15.961334007619048</v>
      </c>
      <c r="AU25" s="8">
        <f>InputSummary!AU53</f>
        <v>14.990105017316019</v>
      </c>
      <c r="AV25" s="8">
        <f>InputSummary!AV53</f>
        <v>3.2402745584415582</v>
      </c>
      <c r="AW25" s="2"/>
    </row>
    <row r="26" spans="1:49" ht="15">
      <c r="A26" s="2"/>
      <c r="B26" s="2"/>
      <c r="C26" s="2"/>
      <c r="D26" s="2"/>
      <c r="E26" s="7" t="s">
        <v>814</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0</v>
      </c>
      <c r="AT26" s="8">
        <f>InputSummary!AT54</f>
        <v>0</v>
      </c>
      <c r="AU26" s="8">
        <f>InputSummary!AU54</f>
        <v>0</v>
      </c>
      <c r="AV26" s="8">
        <f>InputSummary!AV54</f>
        <v>0</v>
      </c>
      <c r="AW26" s="2"/>
    </row>
    <row r="27" spans="1:49" ht="15">
      <c r="A27" s="2"/>
      <c r="B27" s="2"/>
      <c r="C27" s="2"/>
      <c r="D27" s="2"/>
      <c r="E27" s="7" t="s">
        <v>815</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5">
      <c r="A28" s="2"/>
      <c r="B28" s="2"/>
      <c r="C28" s="2"/>
      <c r="D28" s="2"/>
      <c r="E28" s="7" t="s">
        <v>816</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5">
      <c r="A29" s="2"/>
      <c r="B29" s="2"/>
      <c r="C29" s="2"/>
      <c r="D29" s="2"/>
      <c r="E29" s="7" t="s">
        <v>817</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1.0404224958575865</v>
      </c>
      <c r="AS29" s="8">
        <f>InputSummary!AS57</f>
        <v>1.1671442471221247</v>
      </c>
      <c r="AT29" s="8">
        <f>InputSummary!AT57</f>
        <v>2.2711383297054857</v>
      </c>
      <c r="AU29" s="8">
        <f>InputSummary!AU57</f>
        <v>1.9173610042006672</v>
      </c>
      <c r="AV29" s="8">
        <f>InputSummary!AV57</f>
        <v>1.9401918741782023</v>
      </c>
      <c r="AW29" s="2"/>
    </row>
    <row r="30" spans="1:49" ht="15">
      <c r="A30" s="2"/>
      <c r="B30" s="2"/>
      <c r="C30" s="2"/>
      <c r="D30" s="2"/>
      <c r="E30" s="7" t="s">
        <v>820</v>
      </c>
      <c r="F30" s="2"/>
      <c r="G30" s="2" t="s">
        <v>105</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3"/>
      <c r="AR30" s="431">
        <f t="shared" ref="AR30:AV30" si="1">SUM(AR23:AR29)</f>
        <v>16.340921362691308</v>
      </c>
      <c r="AS30" s="431">
        <f t="shared" si="1"/>
        <v>33.542921013063292</v>
      </c>
      <c r="AT30" s="431">
        <f t="shared" si="1"/>
        <v>34.689697947603072</v>
      </c>
      <c r="AU30" s="431">
        <f t="shared" si="1"/>
        <v>30.579666914901136</v>
      </c>
      <c r="AV30" s="431">
        <f t="shared" si="1"/>
        <v>19.40076037269435</v>
      </c>
      <c r="AW30" s="2"/>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5">
      <c r="A32" s="2"/>
      <c r="B32" s="2"/>
      <c r="C32" s="2"/>
      <c r="D32" s="10" t="s">
        <v>821</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
      <c r="D34" s="2"/>
      <c r="E34" s="13" t="s">
        <v>822</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28.925203753931321</v>
      </c>
      <c r="AS34" s="2">
        <f t="shared" ref="AS34:AV34" si="2">AS12 + AS23</f>
        <v>37.60455987893252</v>
      </c>
      <c r="AT34" s="2">
        <f t="shared" si="2"/>
        <v>24.079862032469187</v>
      </c>
      <c r="AU34" s="2">
        <f t="shared" si="2"/>
        <v>29.310197078776987</v>
      </c>
      <c r="AV34" s="2">
        <f t="shared" si="2"/>
        <v>27.647299610506426</v>
      </c>
      <c r="AW34" s="2"/>
    </row>
    <row r="35" spans="1:49" ht="15">
      <c r="A35" s="2"/>
      <c r="B35" s="2"/>
      <c r="C35" s="2"/>
      <c r="D35" s="2"/>
      <c r="E35" s="13" t="s">
        <v>823</v>
      </c>
      <c r="F35" s="2"/>
      <c r="G35" s="2" t="s">
        <v>105</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61.503289112902401</v>
      </c>
      <c r="AS35" s="2">
        <f t="shared" ref="AS35:AV35" si="4">AS13 + AS24</f>
        <v>69.421619576087181</v>
      </c>
      <c r="AT35" s="2">
        <f t="shared" si="4"/>
        <v>68.291655123948615</v>
      </c>
      <c r="AU35" s="2">
        <f t="shared" si="4"/>
        <v>67.024845221089805</v>
      </c>
      <c r="AV35" s="2">
        <f t="shared" si="4"/>
        <v>70.283718452217471</v>
      </c>
      <c r="AW35" s="2"/>
    </row>
    <row r="36" spans="1:49" ht="15">
      <c r="A36" s="2"/>
      <c r="B36" s="2"/>
      <c r="C36" s="2"/>
      <c r="D36" s="2"/>
      <c r="E36" s="13" t="s">
        <v>824</v>
      </c>
      <c r="F36" s="2"/>
      <c r="G36" s="2" t="s">
        <v>105</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23.102043487500566</v>
      </c>
      <c r="AS36" s="2">
        <f t="shared" ref="AS36:AV36" si="6">AS14 + AS25</f>
        <v>33.7661379965188</v>
      </c>
      <c r="AT36" s="2">
        <f t="shared" si="6"/>
        <v>38.786354661143207</v>
      </c>
      <c r="AU36" s="2">
        <f t="shared" si="6"/>
        <v>37.801321251268178</v>
      </c>
      <c r="AV36" s="2">
        <f t="shared" si="6"/>
        <v>26.028961582071652</v>
      </c>
      <c r="AW36" s="2"/>
    </row>
    <row r="37" spans="1:49" ht="15">
      <c r="A37" s="2"/>
      <c r="B37" s="2"/>
      <c r="C37" s="2"/>
      <c r="D37" s="2"/>
      <c r="E37" s="13" t="s">
        <v>825</v>
      </c>
      <c r="F37" s="2"/>
      <c r="G37" s="2" t="s">
        <v>105</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23.705405599999999</v>
      </c>
      <c r="AS37" s="2">
        <f t="shared" ref="AS37:AV37" si="8">AS15 + AS26</f>
        <v>24.002463181301323</v>
      </c>
      <c r="AT37" s="2">
        <f t="shared" si="8"/>
        <v>24.147721676816172</v>
      </c>
      <c r="AU37" s="2">
        <f t="shared" si="8"/>
        <v>24.835827175742264</v>
      </c>
      <c r="AV37" s="2">
        <f t="shared" si="8"/>
        <v>24.707668386607708</v>
      </c>
      <c r="AW37" s="2"/>
    </row>
    <row r="38" spans="1:49" ht="15">
      <c r="A38" s="2"/>
      <c r="B38" s="2"/>
      <c r="C38" s="2"/>
      <c r="D38" s="2"/>
      <c r="E38" s="13" t="s">
        <v>826</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3.9503216000000001</v>
      </c>
      <c r="AS38" s="2">
        <f t="shared" ref="AS38:AV38" si="10">AS16 + AS27</f>
        <v>3.5134259530589431</v>
      </c>
      <c r="AT38" s="2">
        <f t="shared" si="10"/>
        <v>3.5362559200738617</v>
      </c>
      <c r="AU38" s="2">
        <f t="shared" si="10"/>
        <v>3.9240955199766754</v>
      </c>
      <c r="AV38" s="2">
        <f t="shared" si="10"/>
        <v>3.590979727294815</v>
      </c>
      <c r="AW38" s="2"/>
    </row>
    <row r="39" spans="1:49" ht="15">
      <c r="A39" s="2"/>
      <c r="B39" s="2"/>
      <c r="C39" s="2"/>
      <c r="D39" s="2"/>
      <c r="E39" s="13" t="s">
        <v>827</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6.1702173999999994</v>
      </c>
      <c r="AS39" s="2">
        <f t="shared" ref="AS39:AV39" si="12">AS17 + AS28</f>
        <v>6.2357466996452695</v>
      </c>
      <c r="AT39" s="2">
        <f t="shared" si="12"/>
        <v>6.1608157436610131</v>
      </c>
      <c r="AU39" s="2">
        <f t="shared" si="12"/>
        <v>6.2742879546333645</v>
      </c>
      <c r="AV39" s="2">
        <f t="shared" si="12"/>
        <v>6.216157588415375</v>
      </c>
      <c r="AW39" s="2"/>
    </row>
    <row r="40" spans="1:49" ht="15">
      <c r="A40" s="2"/>
      <c r="B40" s="2"/>
      <c r="C40" s="2"/>
      <c r="D40" s="2"/>
      <c r="E40" s="13" t="s">
        <v>828</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73.657525695857586</v>
      </c>
      <c r="AS40" s="2">
        <f t="shared" ref="AS40:AV40" si="14">AS18 + AS29</f>
        <v>74.223277109554701</v>
      </c>
      <c r="AT40" s="2">
        <f t="shared" si="14"/>
        <v>72.681004245367077</v>
      </c>
      <c r="AU40" s="2">
        <f t="shared" si="14"/>
        <v>72.947663388728586</v>
      </c>
      <c r="AV40" s="2">
        <f t="shared" si="14"/>
        <v>72.232488313072224</v>
      </c>
      <c r="AW40" s="2"/>
    </row>
    <row r="41" spans="1:49" ht="15">
      <c r="A41" s="2"/>
      <c r="B41" s="2"/>
      <c r="C41" s="2"/>
      <c r="D41" s="2"/>
      <c r="E41" s="2" t="s">
        <v>829</v>
      </c>
      <c r="F41" s="2"/>
      <c r="G41" s="2" t="s">
        <v>105</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4"/>
      <c r="AR41" s="432">
        <f t="shared" ref="AR41" si="15">SUM(AR34:AR40)</f>
        <v>221.0140066501919</v>
      </c>
      <c r="AS41" s="432">
        <f t="shared" ref="AS41:AV41" si="16">SUM(AS34:AS40)</f>
        <v>248.76723039509875</v>
      </c>
      <c r="AT41" s="432">
        <f t="shared" si="16"/>
        <v>237.68366940347914</v>
      </c>
      <c r="AU41" s="432">
        <f t="shared" si="16"/>
        <v>242.11823759021584</v>
      </c>
      <c r="AV41" s="432">
        <f t="shared" si="16"/>
        <v>230.70727366018565</v>
      </c>
      <c r="AW41" s="2"/>
    </row>
    <row r="42" spans="1:49" ht="15">
      <c r="A42" s="2"/>
      <c r="B42" s="2"/>
      <c r="C42" s="2"/>
      <c r="D42" s="2"/>
      <c r="E42" s="2" t="s">
        <v>21</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3"/>
      <c r="AR42" s="535">
        <f>AR41-SUM(InputSummary!AR31:AR37,InputSummary!AR41:AR47,InputSummary!AR51:AR57)</f>
        <v>0</v>
      </c>
      <c r="AS42" s="535">
        <f>AS41-SUM(InputSummary!AS31:AS37,InputSummary!AS41:AS47,InputSummary!AS51:AS57)</f>
        <v>0</v>
      </c>
      <c r="AT42" s="535">
        <f>AT41-SUM(InputSummary!AT31:AT37,InputSummary!AT41:AT47,InputSummary!AT51:AT57)</f>
        <v>0</v>
      </c>
      <c r="AU42" s="535">
        <f>AU41-SUM(InputSummary!AU31:AU37,InputSummary!AU41:AU47,InputSummary!AU51:AU57)</f>
        <v>0</v>
      </c>
      <c r="AV42" s="535">
        <f>AV41-SUM(InputSummary!AV31:AV37,InputSummary!AV41:AV47,InputSummary!AV51:AV57)</f>
        <v>0</v>
      </c>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5">
      <c r="C44" s="20" t="s">
        <v>127</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1"/>
      <c r="AR44" s="24"/>
      <c r="AS44" s="24"/>
      <c r="AT44" s="24"/>
      <c r="AU44" s="24"/>
      <c r="AV44" s="24"/>
    </row>
    <row r="45" spans="1:49" ht="15">
      <c r="C45" s="12" t="s">
        <v>830</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5">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5">
      <c r="A47" s="2"/>
      <c r="B47" s="2"/>
      <c r="C47" s="2"/>
      <c r="D47" s="10" t="s">
        <v>831</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5">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2"/>
      <c r="AR48" s="27"/>
      <c r="AS48" s="27"/>
      <c r="AT48" s="27"/>
      <c r="AU48" s="27"/>
      <c r="AV48" s="27"/>
      <c r="AW48" s="2"/>
    </row>
    <row r="49" spans="1:49" ht="15">
      <c r="E49" s="13" t="s">
        <v>832</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5">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2"/>
      <c r="AR50" s="27"/>
      <c r="AS50" s="27"/>
      <c r="AT50" s="27"/>
      <c r="AU50" s="27"/>
      <c r="AV50" s="27"/>
      <c r="AW50" s="2"/>
    </row>
    <row r="51" spans="1:49" ht="15">
      <c r="E51" s="7" t="s">
        <v>129</v>
      </c>
      <c r="G51" s="2" t="s">
        <v>105</v>
      </c>
      <c r="AJ51" s="8"/>
      <c r="AK51" s="8"/>
      <c r="AL51" s="8"/>
      <c r="AM51" s="8"/>
      <c r="AN51" s="8"/>
      <c r="AO51" s="8"/>
      <c r="AP51" s="8"/>
      <c r="AQ51" s="9"/>
      <c r="AR51" s="8">
        <f>(InputSummary!AR61 *  AR$49 + AR12 *  (1-AR$49))</f>
        <v>5.6441949704916112</v>
      </c>
      <c r="AS51" s="8">
        <f>(InputSummary!AS61 *  AS$49 + AS12 *  (1-AS$49))</f>
        <v>10.854847671154825</v>
      </c>
      <c r="AT51" s="8">
        <f>(InputSummary!AT61 *  AT$49 + AT12 *  (1-AT$49))</f>
        <v>19.740566201116323</v>
      </c>
      <c r="AU51" s="8">
        <f>(InputSummary!AU61 *  AU$49 + AU12 *  (1-AU$49))</f>
        <v>19.928515586489453</v>
      </c>
      <c r="AV51" s="8">
        <f>(InputSummary!AV61 *  AV$49 + AV12 *  (1-AV$49))</f>
        <v>10.360167542702149</v>
      </c>
    </row>
    <row r="52" spans="1:49" ht="15">
      <c r="E52" s="7" t="s">
        <v>131</v>
      </c>
      <c r="G52" s="2" t="s">
        <v>105</v>
      </c>
      <c r="AJ52" s="8"/>
      <c r="AK52" s="8"/>
      <c r="AL52" s="8"/>
      <c r="AM52" s="8"/>
      <c r="AN52" s="8"/>
      <c r="AO52" s="8"/>
      <c r="AP52" s="8"/>
      <c r="AQ52" s="9"/>
      <c r="AR52" s="8">
        <f>(InputSummary!AR62 *  AR$49 + AR13 *  (1-AR$49))</f>
        <v>42.875037909642728</v>
      </c>
      <c r="AS52" s="8">
        <f>(InputSummary!AS62 *  AS$49 + AS13 *  (1-AS$49))</f>
        <v>55.92420108196071</v>
      </c>
      <c r="AT52" s="8">
        <f>(InputSummary!AT62 *  AT$49 + AT13 *  (1-AT$49))</f>
        <v>69.636729856971769</v>
      </c>
      <c r="AU52" s="8">
        <f>(InputSummary!AU62 *  AU$49 + AU13 *  (1-AU$49))</f>
        <v>72.843036591530648</v>
      </c>
      <c r="AV52" s="8">
        <f>(InputSummary!AV62 *  AV$49 + AV13 *  (1-AV$49))</f>
        <v>70.113198889340723</v>
      </c>
    </row>
    <row r="53" spans="1:49" ht="15">
      <c r="E53" s="7" t="s">
        <v>133</v>
      </c>
      <c r="G53" s="2" t="s">
        <v>105</v>
      </c>
      <c r="AJ53" s="8"/>
      <c r="AK53" s="8"/>
      <c r="AL53" s="8"/>
      <c r="AM53" s="8"/>
      <c r="AN53" s="8"/>
      <c r="AO53" s="8"/>
      <c r="AP53" s="8"/>
      <c r="AQ53" s="9"/>
      <c r="AR53" s="8">
        <f>(InputSummary!AR63 *  AR$49 + AR14 *  (1-AR$49))</f>
        <v>21.48967087690496</v>
      </c>
      <c r="AS53" s="8">
        <f>(InputSummary!AS63 *  AS$49 + AS14 *  (1-AS$49))</f>
        <v>29.605590629781283</v>
      </c>
      <c r="AT53" s="8">
        <f>(InputSummary!AT63 *  AT$49 + AT14 *  (1-AT$49))</f>
        <v>26.138531424366626</v>
      </c>
      <c r="AU53" s="8">
        <f>(InputSummary!AU63 *  AU$49 + AU14 *  (1-AU$49))</f>
        <v>22.191257680374214</v>
      </c>
      <c r="AV53" s="8">
        <f>(InputSummary!AV63 *  AV$49 + AV14 *  (1-AV$49))</f>
        <v>19.437941296371157</v>
      </c>
    </row>
    <row r="54" spans="1:49" ht="15">
      <c r="E54" s="7" t="s">
        <v>135</v>
      </c>
      <c r="G54" s="2" t="s">
        <v>105</v>
      </c>
      <c r="AJ54" s="8"/>
      <c r="AK54" s="8"/>
      <c r="AL54" s="8"/>
      <c r="AM54" s="8"/>
      <c r="AN54" s="8"/>
      <c r="AO54" s="8"/>
      <c r="AP54" s="8"/>
      <c r="AQ54" s="9"/>
      <c r="AR54" s="8">
        <f>(InputSummary!AR64 *  AR$49 + AR15 *  (1-AR$49))</f>
        <v>27.703300516138484</v>
      </c>
      <c r="AS54" s="8">
        <f>(InputSummary!AS64 *  AS$49 + AS15 *  (1-AS$49))</f>
        <v>29.490477993800184</v>
      </c>
      <c r="AT54" s="8">
        <f>(InputSummary!AT64 *  AT$49 + AT15 *  (1-AT$49))</f>
        <v>29.528860632521543</v>
      </c>
      <c r="AU54" s="8">
        <f>(InputSummary!AU64 *  AU$49 + AU15 *  (1-AU$49))</f>
        <v>29.553204470273357</v>
      </c>
      <c r="AV54" s="8">
        <f>(InputSummary!AV64 *  AV$49 + AV15 *  (1-AV$49))</f>
        <v>29.584603555058059</v>
      </c>
    </row>
    <row r="55" spans="1:49" ht="15">
      <c r="E55" s="7" t="s">
        <v>137</v>
      </c>
      <c r="G55" s="2" t="s">
        <v>105</v>
      </c>
      <c r="AJ55" s="8"/>
      <c r="AK55" s="8"/>
      <c r="AL55" s="8"/>
      <c r="AM55" s="8"/>
      <c r="AN55" s="8"/>
      <c r="AO55" s="8"/>
      <c r="AP55" s="8"/>
      <c r="AQ55" s="9"/>
      <c r="AR55" s="8">
        <f>(InputSummary!AR65 *  AR$49 + AR16 *  (1-AR$49))</f>
        <v>3.497849952457512</v>
      </c>
      <c r="AS55" s="8">
        <f>(InputSummary!AS65 *  AS$49 + AS16 *  (1-AS$49))</f>
        <v>6.0335689889629887</v>
      </c>
      <c r="AT55" s="8">
        <f>(InputSummary!AT65 *  AT$49 + AT16 *  (1-AT$49))</f>
        <v>4.1967251720223633</v>
      </c>
      <c r="AU55" s="8">
        <f>(InputSummary!AU65 *  AU$49 + AU16 *  (1-AU$49))</f>
        <v>4.1790438753201657</v>
      </c>
      <c r="AV55" s="8">
        <f>(InputSummary!AV65 *  AV$49 + AV16 *  (1-AV$49))</f>
        <v>4.3620959591330903</v>
      </c>
    </row>
    <row r="56" spans="1:49" ht="15">
      <c r="E56" s="7" t="s">
        <v>139</v>
      </c>
      <c r="G56" s="2" t="s">
        <v>105</v>
      </c>
      <c r="AJ56" s="8"/>
      <c r="AK56" s="8"/>
      <c r="AL56" s="8"/>
      <c r="AM56" s="8"/>
      <c r="AN56" s="8"/>
      <c r="AO56" s="8"/>
      <c r="AP56" s="8"/>
      <c r="AQ56" s="9"/>
      <c r="AR56" s="8">
        <f>(InputSummary!AR66 *  AR$49 + AR17 *  (1-AR$49))</f>
        <v>6.3093940938820356</v>
      </c>
      <c r="AS56" s="8">
        <f>(InputSummary!AS66 *  AS$49 + AS17 *  (1-AS$49))</f>
        <v>6.3712449237630864</v>
      </c>
      <c r="AT56" s="8">
        <f>(InputSummary!AT66 *  AT$49 + AT17 *  (1-AT$49))</f>
        <v>6.3718517862666531</v>
      </c>
      <c r="AU56" s="8">
        <f>(InputSummary!AU66 *  AU$49 + AU17 *  (1-AU$49))</f>
        <v>6.4381156839255151</v>
      </c>
      <c r="AV56" s="8">
        <f>(InputSummary!AV66 *  AV$49 + AV17 *  (1-AV$49))</f>
        <v>6.3775426168462737</v>
      </c>
    </row>
    <row r="57" spans="1:49" ht="15">
      <c r="E57" s="7" t="s">
        <v>141</v>
      </c>
      <c r="G57" s="2" t="s">
        <v>105</v>
      </c>
      <c r="AJ57" s="8"/>
      <c r="AK57" s="8"/>
      <c r="AL57" s="8"/>
      <c r="AM57" s="8"/>
      <c r="AN57" s="8"/>
      <c r="AO57" s="8"/>
      <c r="AP57" s="8"/>
      <c r="AQ57" s="9"/>
      <c r="AR57" s="8">
        <f>(InputSummary!AR67 *  AR$49 + AR18 *  (1-AR$49))</f>
        <v>64.054982120607036</v>
      </c>
      <c r="AS57" s="8">
        <f>(InputSummary!AS67 *  AS$49 + AS18 *  (1-AS$49))</f>
        <v>72.147617177621967</v>
      </c>
      <c r="AT57" s="8">
        <f>(InputSummary!AT67 *  AT$49 + AT18 *  (1-AT$49))</f>
        <v>71.044673183229065</v>
      </c>
      <c r="AU57" s="8">
        <f>(InputSummary!AU67 *  AU$49 + AU18 *  (1-AU$49))</f>
        <v>71.603711316021545</v>
      </c>
      <c r="AV57" s="8">
        <f>(InputSummary!AV67 *  AV$49 + AV18 *  (1-AV$49))</f>
        <v>71.70597954765303</v>
      </c>
    </row>
    <row r="58" spans="1:49" ht="15">
      <c r="A58" s="2"/>
      <c r="B58" s="2"/>
      <c r="C58" s="2"/>
      <c r="D58" s="2"/>
      <c r="E58" s="7" t="s">
        <v>833</v>
      </c>
      <c r="F58" s="2"/>
      <c r="G58" s="2" t="s">
        <v>105</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3"/>
      <c r="AR58" s="431">
        <f t="shared" ref="AR58:AV58" si="17">SUM(AR51:AR57)</f>
        <v>171.57443044012436</v>
      </c>
      <c r="AS58" s="431">
        <f t="shared" si="17"/>
        <v>210.42754846704503</v>
      </c>
      <c r="AT58" s="431">
        <f t="shared" si="17"/>
        <v>226.65793825649433</v>
      </c>
      <c r="AU58" s="431">
        <f t="shared" si="17"/>
        <v>226.73688520393489</v>
      </c>
      <c r="AV58" s="431">
        <f t="shared" si="17"/>
        <v>211.9415294071045</v>
      </c>
      <c r="AW58" s="2"/>
    </row>
    <row r="59" spans="1:49" ht="15">
      <c r="E59" s="13"/>
      <c r="G59" s="2"/>
      <c r="AJ59" s="8"/>
      <c r="AK59" s="8"/>
      <c r="AL59" s="8"/>
      <c r="AM59" s="8"/>
      <c r="AN59" s="8"/>
      <c r="AO59" s="8"/>
      <c r="AP59" s="8"/>
      <c r="AQ59" s="9"/>
      <c r="AR59" s="379"/>
      <c r="AS59" s="379"/>
      <c r="AT59" s="379"/>
      <c r="AU59" s="379"/>
      <c r="AV59" s="379"/>
    </row>
    <row r="60" spans="1:49" ht="15">
      <c r="A60" s="2"/>
      <c r="B60" s="2"/>
      <c r="C60" s="2"/>
      <c r="D60" s="10" t="s">
        <v>834</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5">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2"/>
      <c r="AR61" s="27"/>
      <c r="AS61" s="27"/>
      <c r="AT61" s="27"/>
      <c r="AU61" s="27"/>
      <c r="AV61" s="27"/>
      <c r="AW61" s="2"/>
    </row>
    <row r="62" spans="1:49" ht="15">
      <c r="E62" s="13" t="s">
        <v>832</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5">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2"/>
      <c r="AR63" s="27"/>
      <c r="AS63" s="27"/>
      <c r="AT63" s="27"/>
      <c r="AU63" s="27"/>
      <c r="AV63" s="27"/>
      <c r="AW63" s="2"/>
    </row>
    <row r="64" spans="1:49" ht="15">
      <c r="E64" s="7" t="s">
        <v>129</v>
      </c>
      <c r="G64" s="2" t="s">
        <v>105</v>
      </c>
      <c r="AJ64" s="8"/>
      <c r="AK64" s="8"/>
      <c r="AL64" s="8"/>
      <c r="AM64" s="8"/>
      <c r="AN64" s="8"/>
      <c r="AO64" s="8"/>
      <c r="AP64" s="8"/>
      <c r="AQ64" s="9"/>
      <c r="AR64" s="8">
        <f>((InputSummary!AR72)*  AR$62 + AR23 *  (1-AR$62))</f>
        <v>11.187605089223041</v>
      </c>
      <c r="AS64" s="8">
        <f>((InputSummary!AS72)*  AS$62 + AS23 *  (1-AS$62))</f>
        <v>17.91210779872511</v>
      </c>
      <c r="AT64" s="8">
        <f>((InputSummary!AT72)*  AT$62 + AT23 *  (1-AT$62))</f>
        <v>10.751280830606349</v>
      </c>
      <c r="AU64" s="8">
        <f>((InputSummary!AU72)*  AU$62 + AU23 *  (1-AU$62))</f>
        <v>13.401490779635807</v>
      </c>
      <c r="AV64" s="8">
        <f>((InputSummary!AV72)*  AV$62 + AV23 *  (1-AV$62))</f>
        <v>13.79807290905743</v>
      </c>
    </row>
    <row r="65" spans="1:49" ht="15">
      <c r="E65" s="7" t="s">
        <v>131</v>
      </c>
      <c r="G65" s="2" t="s">
        <v>105</v>
      </c>
      <c r="AJ65" s="8"/>
      <c r="AK65" s="8"/>
      <c r="AL65" s="8"/>
      <c r="AM65" s="8"/>
      <c r="AN65" s="8"/>
      <c r="AO65" s="8"/>
      <c r="AP65" s="8"/>
      <c r="AQ65" s="9"/>
      <c r="AR65" s="8">
        <f>((InputSummary!AR73)*  AR$62 + AR24 *  (1-AR$62))</f>
        <v>2.7062262368035324</v>
      </c>
      <c r="AS65" s="8">
        <f>((InputSummary!AS73)*  AS$62 + AS24 *  (1-AS$62))</f>
        <v>6.9940535978616722</v>
      </c>
      <c r="AT65" s="8">
        <f>((InputSummary!AT73)*  AT$62 + AT24 *  (1-AT$62))</f>
        <v>5.2259429124744754</v>
      </c>
      <c r="AU65" s="8">
        <f>((InputSummary!AU73)*  AU$62 + AU24 *  (1-AU$62))</f>
        <v>0</v>
      </c>
      <c r="AV65" s="8">
        <f>((InputSummary!AV73)*  AV$62 + AV24 *  (1-AV$62))</f>
        <v>0</v>
      </c>
    </row>
    <row r="66" spans="1:49" ht="15">
      <c r="E66" s="7" t="s">
        <v>133</v>
      </c>
      <c r="G66" s="2" t="s">
        <v>105</v>
      </c>
      <c r="AJ66" s="8"/>
      <c r="AK66" s="8"/>
      <c r="AL66" s="8"/>
      <c r="AM66" s="8"/>
      <c r="AN66" s="8"/>
      <c r="AO66" s="8"/>
      <c r="AP66" s="8"/>
      <c r="AQ66" s="9"/>
      <c r="AR66" s="8">
        <f>((InputSummary!AR74)*  AR$62 + AR25 *  (1-AR$62))</f>
        <v>1.5877466719699669</v>
      </c>
      <c r="AS66" s="8">
        <f>((InputSummary!AS74)*  AS$62 + AS25 *  (1-AS$62))</f>
        <v>6.7147175286724359</v>
      </c>
      <c r="AT66" s="8">
        <f>((InputSummary!AT74)*  AT$62 + AT25 *  (1-AT$62))</f>
        <v>14.916843891614612</v>
      </c>
      <c r="AU66" s="8">
        <f>((InputSummary!AU74)*  AU$62 + AU25 *  (1-AU$62))</f>
        <v>13.784043800349032</v>
      </c>
      <c r="AV66" s="8">
        <f>((InputSummary!AV74)*  AV$62 + AV25 *  (1-AV$62))</f>
        <v>3.1165862457718783</v>
      </c>
    </row>
    <row r="67" spans="1:49" ht="15">
      <c r="E67" s="7" t="s">
        <v>135</v>
      </c>
      <c r="G67" s="2" t="s">
        <v>105</v>
      </c>
      <c r="AJ67" s="8"/>
      <c r="AK67" s="8"/>
      <c r="AL67" s="8"/>
      <c r="AM67" s="8"/>
      <c r="AN67" s="8"/>
      <c r="AO67" s="8"/>
      <c r="AP67" s="8"/>
      <c r="AQ67" s="9"/>
      <c r="AR67" s="8">
        <f>((InputSummary!AR75)*  AR$62 + AR26 *  (1-AR$62))</f>
        <v>0</v>
      </c>
      <c r="AS67" s="8">
        <f>((InputSummary!AS75)*  AS$62 + AS26 *  (1-AS$62))</f>
        <v>0</v>
      </c>
      <c r="AT67" s="8">
        <f>((InputSummary!AT75)*  AT$62 + AT26 *  (1-AT$62))</f>
        <v>0</v>
      </c>
      <c r="AU67" s="8">
        <f>((InputSummary!AU75)*  AU$62 + AU26 *  (1-AU$62))</f>
        <v>0</v>
      </c>
      <c r="AV67" s="8">
        <f>((InputSummary!AV75)*  AV$62 + AV26 *  (1-AV$62))</f>
        <v>0</v>
      </c>
    </row>
    <row r="68" spans="1:49" ht="15">
      <c r="E68" s="7" t="s">
        <v>137</v>
      </c>
      <c r="G68" s="2" t="s">
        <v>105</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5">
      <c r="E69" s="7" t="s">
        <v>139</v>
      </c>
      <c r="G69" s="2" t="s">
        <v>105</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5">
      <c r="E70" s="7" t="s">
        <v>141</v>
      </c>
      <c r="G70" s="2" t="s">
        <v>105</v>
      </c>
      <c r="AJ70" s="8"/>
      <c r="AK70" s="8"/>
      <c r="AL70" s="8"/>
      <c r="AM70" s="8"/>
      <c r="AN70" s="8"/>
      <c r="AO70" s="8"/>
      <c r="AP70" s="8"/>
      <c r="AQ70" s="9"/>
      <c r="AR70" s="8">
        <f>((InputSummary!AR78)*  AR$62 + AR29 *  (1-AR$62))</f>
        <v>0.81267582388761972</v>
      </c>
      <c r="AS70" s="8">
        <f>((InputSummary!AS78)*  AS$62 + AS29 *  (1-AS$62))</f>
        <v>1.5461345750730646</v>
      </c>
      <c r="AT70" s="8">
        <f>((InputSummary!AT78)*  AT$62 + AT29 *  (1-AT$62))</f>
        <v>3.3156284457099203</v>
      </c>
      <c r="AU70" s="8">
        <f>((InputSummary!AU78)*  AU$62 + AU29 *  (1-AU$62))</f>
        <v>3.1234222211676519</v>
      </c>
      <c r="AV70" s="8">
        <f>((InputSummary!AV78)*  AV$62 + AV29 *  (1-AV$62))</f>
        <v>2.0638801868478822</v>
      </c>
    </row>
    <row r="71" spans="1:49" ht="15">
      <c r="A71" s="2"/>
      <c r="B71" s="2"/>
      <c r="C71" s="2"/>
      <c r="D71" s="2"/>
      <c r="E71" s="7" t="s">
        <v>835</v>
      </c>
      <c r="F71" s="2"/>
      <c r="G71" s="2" t="s">
        <v>105</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3"/>
      <c r="AR71" s="431">
        <f t="shared" ref="AR71:AV71" si="18">SUM(AR64:AR70)</f>
        <v>16.294253821884158</v>
      </c>
      <c r="AS71" s="431">
        <f t="shared" si="18"/>
        <v>33.167013500332281</v>
      </c>
      <c r="AT71" s="431">
        <f t="shared" si="18"/>
        <v>34.209696080405358</v>
      </c>
      <c r="AU71" s="431">
        <f t="shared" si="18"/>
        <v>30.30895680115249</v>
      </c>
      <c r="AV71" s="431">
        <f t="shared" si="18"/>
        <v>18.978539341677191</v>
      </c>
      <c r="AW71" s="2"/>
    </row>
    <row r="72" spans="1:49" ht="15">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5">
      <c r="A73" s="2"/>
      <c r="B73" s="2"/>
      <c r="C73" s="2"/>
      <c r="D73" s="10" t="s">
        <v>836</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5">
      <c r="E74" s="13"/>
      <c r="G74" s="2"/>
      <c r="AJ74" s="8"/>
      <c r="AK74" s="8"/>
      <c r="AL74" s="8"/>
      <c r="AM74" s="8"/>
      <c r="AN74" s="8"/>
      <c r="AO74" s="8"/>
      <c r="AP74" s="8"/>
      <c r="AQ74" s="9"/>
      <c r="AR74" s="8"/>
      <c r="AS74" s="8"/>
      <c r="AT74" s="8"/>
      <c r="AU74" s="8"/>
      <c r="AV74" s="8"/>
    </row>
    <row r="75" spans="1:49" ht="15">
      <c r="E75" s="7" t="s">
        <v>837</v>
      </c>
      <c r="G75" s="2" t="s">
        <v>105</v>
      </c>
      <c r="AJ75" s="7"/>
      <c r="AK75" s="7"/>
      <c r="AL75" s="7"/>
      <c r="AM75" s="7"/>
      <c r="AN75" s="7"/>
      <c r="AO75" s="7"/>
      <c r="AP75" s="7"/>
      <c r="AQ75" s="65"/>
      <c r="AR75" s="7">
        <f>AR51+AR64</f>
        <v>16.831800059714652</v>
      </c>
      <c r="AS75" s="7">
        <f t="shared" ref="AS75:AV75" si="19">AS51+AS64</f>
        <v>28.766955469879935</v>
      </c>
      <c r="AT75" s="7">
        <f t="shared" si="19"/>
        <v>30.491847031722671</v>
      </c>
      <c r="AU75" s="7">
        <f t="shared" si="19"/>
        <v>33.330006366125261</v>
      </c>
      <c r="AV75" s="7">
        <f t="shared" si="19"/>
        <v>24.158240451759578</v>
      </c>
    </row>
    <row r="76" spans="1:49" ht="15">
      <c r="E76" s="7" t="s">
        <v>838</v>
      </c>
      <c r="G76" s="2" t="s">
        <v>105</v>
      </c>
      <c r="AJ76" s="7"/>
      <c r="AK76" s="7"/>
      <c r="AL76" s="7"/>
      <c r="AM76" s="7"/>
      <c r="AN76" s="7"/>
      <c r="AO76" s="7"/>
      <c r="AP76" s="7"/>
      <c r="AQ76" s="65"/>
      <c r="AR76" s="7">
        <f t="shared" ref="AR76" si="20">AR52+AR65</f>
        <v>45.581264146446259</v>
      </c>
      <c r="AS76" s="7">
        <f t="shared" ref="AS76:AV76" si="21">AS52+AS65</f>
        <v>62.918254679822383</v>
      </c>
      <c r="AT76" s="7">
        <f t="shared" si="21"/>
        <v>74.862672769446249</v>
      </c>
      <c r="AU76" s="7">
        <f t="shared" si="21"/>
        <v>72.843036591530648</v>
      </c>
      <c r="AV76" s="7">
        <f t="shared" si="21"/>
        <v>70.113198889340723</v>
      </c>
    </row>
    <row r="77" spans="1:49" ht="15">
      <c r="E77" s="7" t="s">
        <v>839</v>
      </c>
      <c r="G77" s="2" t="s">
        <v>105</v>
      </c>
      <c r="AJ77" s="7"/>
      <c r="AK77" s="7"/>
      <c r="AL77" s="7"/>
      <c r="AM77" s="7"/>
      <c r="AN77" s="7"/>
      <c r="AO77" s="7"/>
      <c r="AP77" s="7"/>
      <c r="AQ77" s="65"/>
      <c r="AR77" s="7">
        <f t="shared" ref="AR77" si="22">AR53+AR66</f>
        <v>23.077417548874926</v>
      </c>
      <c r="AS77" s="7">
        <f t="shared" ref="AS77:AV77" si="23">AS53+AS66</f>
        <v>36.32030815845372</v>
      </c>
      <c r="AT77" s="7">
        <f t="shared" si="23"/>
        <v>41.055375315981237</v>
      </c>
      <c r="AU77" s="7">
        <f t="shared" si="23"/>
        <v>35.975301480723246</v>
      </c>
      <c r="AV77" s="7">
        <f t="shared" si="23"/>
        <v>22.554527542143035</v>
      </c>
    </row>
    <row r="78" spans="1:49" ht="15">
      <c r="E78" s="7" t="s">
        <v>840</v>
      </c>
      <c r="G78" s="2" t="s">
        <v>105</v>
      </c>
      <c r="AJ78" s="7"/>
      <c r="AK78" s="7"/>
      <c r="AL78" s="7"/>
      <c r="AM78" s="7"/>
      <c r="AN78" s="7"/>
      <c r="AO78" s="7"/>
      <c r="AP78" s="7"/>
      <c r="AQ78" s="65"/>
      <c r="AR78" s="7">
        <f t="shared" ref="AR78" si="24">AR54+AR67</f>
        <v>27.703300516138484</v>
      </c>
      <c r="AS78" s="7">
        <f t="shared" ref="AS78:AV78" si="25">AS54+AS67</f>
        <v>29.490477993800184</v>
      </c>
      <c r="AT78" s="7">
        <f t="shared" si="25"/>
        <v>29.528860632521543</v>
      </c>
      <c r="AU78" s="7">
        <f t="shared" si="25"/>
        <v>29.553204470273357</v>
      </c>
      <c r="AV78" s="7">
        <f t="shared" si="25"/>
        <v>29.584603555058059</v>
      </c>
    </row>
    <row r="79" spans="1:49" ht="15">
      <c r="E79" s="7" t="s">
        <v>841</v>
      </c>
      <c r="G79" s="2" t="s">
        <v>105</v>
      </c>
      <c r="AJ79" s="7"/>
      <c r="AK79" s="7"/>
      <c r="AL79" s="7"/>
      <c r="AM79" s="7"/>
      <c r="AN79" s="7"/>
      <c r="AO79" s="7"/>
      <c r="AP79" s="7"/>
      <c r="AQ79" s="65"/>
      <c r="AR79" s="7">
        <f t="shared" ref="AR79" si="26">AR55+AR68</f>
        <v>3.497849952457512</v>
      </c>
      <c r="AS79" s="7">
        <f t="shared" ref="AS79:AV79" si="27">AS55+AS68</f>
        <v>6.0335689889629887</v>
      </c>
      <c r="AT79" s="7">
        <f t="shared" si="27"/>
        <v>4.1967251720223633</v>
      </c>
      <c r="AU79" s="7">
        <f t="shared" si="27"/>
        <v>4.1790438753201657</v>
      </c>
      <c r="AV79" s="7">
        <f t="shared" si="27"/>
        <v>4.3620959591330903</v>
      </c>
    </row>
    <row r="80" spans="1:49" ht="15">
      <c r="E80" s="7" t="s">
        <v>842</v>
      </c>
      <c r="G80" s="2" t="s">
        <v>105</v>
      </c>
      <c r="AJ80" s="7"/>
      <c r="AK80" s="7"/>
      <c r="AL80" s="7"/>
      <c r="AM80" s="7"/>
      <c r="AN80" s="7"/>
      <c r="AO80" s="7"/>
      <c r="AP80" s="7"/>
      <c r="AQ80" s="65"/>
      <c r="AR80" s="7">
        <f t="shared" ref="AR80" si="28">AR56+AR69</f>
        <v>6.3093940938820356</v>
      </c>
      <c r="AS80" s="7">
        <f t="shared" ref="AS80:AV80" si="29">AS56+AS69</f>
        <v>6.3712449237630864</v>
      </c>
      <c r="AT80" s="7">
        <f t="shared" si="29"/>
        <v>6.3718517862666531</v>
      </c>
      <c r="AU80" s="7">
        <f t="shared" si="29"/>
        <v>6.4381156839255151</v>
      </c>
      <c r="AV80" s="7">
        <f t="shared" si="29"/>
        <v>6.3775426168462737</v>
      </c>
    </row>
    <row r="81" spans="2:49" ht="15">
      <c r="E81" s="7" t="s">
        <v>843</v>
      </c>
      <c r="G81" s="2" t="s">
        <v>105</v>
      </c>
      <c r="AJ81" s="7"/>
      <c r="AK81" s="7"/>
      <c r="AL81" s="7"/>
      <c r="AM81" s="7"/>
      <c r="AN81" s="7"/>
      <c r="AO81" s="7"/>
      <c r="AP81" s="7"/>
      <c r="AQ81" s="65"/>
      <c r="AR81" s="7">
        <f t="shared" ref="AR81" si="30">AR57+AR70</f>
        <v>64.867657944494653</v>
      </c>
      <c r="AS81" s="7">
        <f t="shared" ref="AS81:AV81" si="31">AS57+AS70</f>
        <v>73.693751752695036</v>
      </c>
      <c r="AT81" s="7">
        <f t="shared" si="31"/>
        <v>74.360301628938984</v>
      </c>
      <c r="AU81" s="7">
        <f t="shared" si="31"/>
        <v>74.727133537189204</v>
      </c>
      <c r="AV81" s="7">
        <f t="shared" si="31"/>
        <v>73.769859734500912</v>
      </c>
    </row>
    <row r="82" spans="2:49" ht="15">
      <c r="E82" s="13" t="s">
        <v>844</v>
      </c>
      <c r="G82" s="2" t="s">
        <v>105</v>
      </c>
      <c r="AJ82" s="432"/>
      <c r="AK82" s="432"/>
      <c r="AL82" s="432"/>
      <c r="AM82" s="432"/>
      <c r="AN82" s="432"/>
      <c r="AO82" s="432"/>
      <c r="AP82" s="432"/>
      <c r="AQ82" s="534"/>
      <c r="AR82" s="432">
        <f t="shared" ref="AR82" si="32">SUM(AR75:AR81)</f>
        <v>187.86868426200851</v>
      </c>
      <c r="AS82" s="432">
        <f t="shared" ref="AS82:AV82" si="33">SUM(AS75:AS81)</f>
        <v>243.59456196737733</v>
      </c>
      <c r="AT82" s="432">
        <f t="shared" si="33"/>
        <v>260.8676343368997</v>
      </c>
      <c r="AU82" s="432">
        <f t="shared" si="33"/>
        <v>257.04584200508737</v>
      </c>
      <c r="AV82" s="432">
        <f t="shared" si="33"/>
        <v>230.92006874878166</v>
      </c>
    </row>
    <row r="83" spans="2:49" ht="15">
      <c r="E83" s="13" t="s">
        <v>21</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5">
      <c r="E84" s="13"/>
      <c r="AJ84" s="7"/>
      <c r="AK84" s="7"/>
      <c r="AL84" s="7"/>
      <c r="AM84" s="7"/>
      <c r="AN84" s="7"/>
      <c r="AO84" s="7"/>
      <c r="AP84" s="7"/>
      <c r="AQ84" s="7"/>
      <c r="AR84" s="7"/>
      <c r="AS84" s="7"/>
      <c r="AT84" s="7"/>
      <c r="AU84" s="7"/>
      <c r="AV84" s="7"/>
      <c r="AW84" s="7"/>
    </row>
    <row r="85" spans="2:49" ht="15">
      <c r="B85" s="37" t="s">
        <v>79</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116" priority="6" operator="equal">
      <formula>FALSE()</formula>
    </cfRule>
  </conditionalFormatting>
  <conditionalFormatting sqref="AM3">
    <cfRule type="expression" dxfId="115"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142875</xdr:colOff>
                    <xdr:row>0</xdr:row>
                    <xdr:rowOff>28575</xdr:rowOff>
                  </from>
                  <to>
                    <xdr:col>7</xdr:col>
                    <xdr:colOff>161925</xdr:colOff>
                    <xdr:row>0</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6"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845</v>
      </c>
      <c r="B1" s="181"/>
      <c r="C1" s="181"/>
      <c r="D1" s="181"/>
      <c r="E1" s="275"/>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846</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847</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848</v>
      </c>
      <c r="F10" s="2"/>
      <c r="G10" s="2" t="s">
        <v>209</v>
      </c>
      <c r="H10" s="2"/>
      <c r="I10" s="302">
        <f>InputSummary!I212</f>
        <v>0.499</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2"/>
      <c r="E11" s="2" t="s">
        <v>849</v>
      </c>
      <c r="F11" s="2"/>
      <c r="G11" s="2" t="s">
        <v>209</v>
      </c>
      <c r="H11" s="2"/>
      <c r="I11" s="303">
        <f>1-I10</f>
        <v>0.501</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0"/>
      <c r="AW11" s="165"/>
    </row>
    <row r="12" spans="1:49" ht="15">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0"/>
      <c r="AW12" s="165"/>
    </row>
    <row r="13" spans="1:49" ht="15">
      <c r="A13" s="2"/>
      <c r="B13" s="2"/>
      <c r="C13" s="2"/>
      <c r="D13" s="2"/>
      <c r="E13" s="2" t="s">
        <v>127</v>
      </c>
      <c r="F13" s="2"/>
      <c r="G13" s="2" t="s">
        <v>105</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171.57443044012436</v>
      </c>
      <c r="AS13" s="8">
        <f>Totex!AS58</f>
        <v>210.42754846704503</v>
      </c>
      <c r="AT13" s="8">
        <f>Totex!AT58</f>
        <v>226.65793825649433</v>
      </c>
      <c r="AU13" s="8">
        <f>Totex!AU58</f>
        <v>226.73688520393489</v>
      </c>
      <c r="AV13" s="8">
        <f>Totex!AV58</f>
        <v>211.9415294071045</v>
      </c>
      <c r="AW13" s="2"/>
    </row>
    <row r="14" spans="1:49" ht="15">
      <c r="A14" s="2"/>
      <c r="B14" s="2"/>
      <c r="C14" s="2"/>
      <c r="D14" s="2"/>
      <c r="E14" s="2" t="s">
        <v>850</v>
      </c>
      <c r="F14" s="2"/>
      <c r="G14" s="2" t="s">
        <v>105</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-204.67308528750058</v>
      </c>
      <c r="AS14" s="8">
        <f>- Totex!AS19</f>
        <v>-215.22430938203544</v>
      </c>
      <c r="AT14" s="8">
        <f>- Totex!AT19</f>
        <v>-202.99397145587608</v>
      </c>
      <c r="AU14" s="8">
        <f>- Totex!AU19</f>
        <v>-211.5385706753147</v>
      </c>
      <c r="AV14" s="8">
        <f>- Totex!AV19</f>
        <v>-211.30651328749133</v>
      </c>
      <c r="AW14" s="2"/>
    </row>
    <row r="15" spans="1:49" ht="15">
      <c r="A15" s="2"/>
      <c r="B15" s="2"/>
      <c r="C15" s="2"/>
      <c r="D15" s="2"/>
      <c r="E15" s="2" t="s">
        <v>851</v>
      </c>
      <c r="F15" s="2"/>
      <c r="G15" s="2" t="s">
        <v>105</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4"/>
      <c r="AR15" s="432">
        <f t="shared" ref="AR15:AV15" si="0">SUM(AR13:AR14)</f>
        <v>-33.098654847376224</v>
      </c>
      <c r="AS15" s="432">
        <f t="shared" si="0"/>
        <v>-4.7967609149904149</v>
      </c>
      <c r="AT15" s="432">
        <f t="shared" si="0"/>
        <v>23.663966800618255</v>
      </c>
      <c r="AU15" s="432">
        <f t="shared" si="0"/>
        <v>15.198314528620188</v>
      </c>
      <c r="AV15" s="432">
        <f t="shared" si="0"/>
        <v>0.63501611961316939</v>
      </c>
      <c r="AW15" s="2"/>
    </row>
    <row r="16" spans="1:49" ht="15">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5">
      <c r="A17" s="2"/>
      <c r="B17" s="2"/>
      <c r="C17" s="2"/>
      <c r="D17" s="2"/>
      <c r="E17" s="2" t="s">
        <v>849</v>
      </c>
      <c r="F17" s="2"/>
      <c r="G17" s="2" t="s">
        <v>209</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0"/>
      <c r="AO17" s="210"/>
      <c r="AP17" s="210"/>
      <c r="AQ17" s="225"/>
      <c r="AR17" s="210">
        <f>$I11</f>
        <v>0.501</v>
      </c>
      <c r="AS17" s="210">
        <f t="shared" ref="AS17:AV17" si="1">$I11</f>
        <v>0.501</v>
      </c>
      <c r="AT17" s="210">
        <f t="shared" si="1"/>
        <v>0.501</v>
      </c>
      <c r="AU17" s="210">
        <f t="shared" si="1"/>
        <v>0.501</v>
      </c>
      <c r="AV17" s="210">
        <f t="shared" si="1"/>
        <v>0.501</v>
      </c>
      <c r="AW17" s="2"/>
    </row>
    <row r="18" spans="1:49" ht="15">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
      <c r="D19" s="2"/>
      <c r="E19" s="2" t="s">
        <v>852</v>
      </c>
      <c r="F19" s="2"/>
      <c r="G19" s="2" t="s">
        <v>105</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6"/>
      <c r="AK19" s="536"/>
      <c r="AL19" s="536"/>
      <c r="AM19" s="536"/>
      <c r="AN19" s="536"/>
      <c r="AO19" s="536"/>
      <c r="AP19" s="536"/>
      <c r="AQ19" s="383"/>
      <c r="AR19" s="464">
        <f t="shared" ref="AR19:AV19" si="2">AR15 * AR17</f>
        <v>-16.582426078535487</v>
      </c>
      <c r="AS19" s="464">
        <f t="shared" si="2"/>
        <v>-2.4031772184101978</v>
      </c>
      <c r="AT19" s="464">
        <f t="shared" si="2"/>
        <v>11.855647367109746</v>
      </c>
      <c r="AU19" s="464">
        <f t="shared" si="2"/>
        <v>7.6143555788387136</v>
      </c>
      <c r="AV19" s="464">
        <f t="shared" si="2"/>
        <v>0.31814307592619789</v>
      </c>
      <c r="AW19" s="2"/>
    </row>
    <row r="20" spans="1:49" ht="15">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5">
      <c r="A21" s="2"/>
      <c r="B21" s="2"/>
      <c r="C21" s="20" t="s">
        <v>853</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5">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848</v>
      </c>
      <c r="F23" s="2"/>
      <c r="G23" s="2" t="s">
        <v>209</v>
      </c>
      <c r="H23" s="2"/>
      <c r="I23" s="303">
        <f>I10</f>
        <v>0.499</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2" t="s">
        <v>849</v>
      </c>
      <c r="F24" s="2"/>
      <c r="G24" s="2" t="s">
        <v>209</v>
      </c>
      <c r="H24" s="2"/>
      <c r="I24" s="303">
        <f>1-I23</f>
        <v>0.501</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0"/>
      <c r="AW24" s="165"/>
    </row>
    <row r="25" spans="1:49" ht="15">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0"/>
      <c r="AW25" s="165"/>
    </row>
    <row r="26" spans="1:49" ht="15">
      <c r="A26" s="2"/>
      <c r="B26" s="2"/>
      <c r="C26" s="2"/>
      <c r="D26" s="2"/>
      <c r="E26" s="2" t="s">
        <v>127</v>
      </c>
      <c r="F26" s="2"/>
      <c r="G26" s="2" t="s">
        <v>105</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16.294253821884158</v>
      </c>
      <c r="AS26" s="8">
        <f>Totex!AS71</f>
        <v>33.167013500332281</v>
      </c>
      <c r="AT26" s="8">
        <f>Totex!AT71</f>
        <v>34.209696080405358</v>
      </c>
      <c r="AU26" s="8">
        <f>Totex!AU71</f>
        <v>30.30895680115249</v>
      </c>
      <c r="AV26" s="8">
        <f>Totex!AV71</f>
        <v>18.978539341677191</v>
      </c>
      <c r="AW26" s="2"/>
    </row>
    <row r="27" spans="1:49" ht="15">
      <c r="A27" s="2"/>
      <c r="B27" s="2"/>
      <c r="C27" s="2"/>
      <c r="D27" s="2"/>
      <c r="E27" s="2" t="s">
        <v>850</v>
      </c>
      <c r="F27" s="2"/>
      <c r="G27" s="2" t="s">
        <v>105</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-16.340921362691308</v>
      </c>
      <c r="AS27" s="8">
        <f>- Totex!AS30</f>
        <v>-33.542921013063292</v>
      </c>
      <c r="AT27" s="8">
        <f>- Totex!AT30</f>
        <v>-34.689697947603072</v>
      </c>
      <c r="AU27" s="8">
        <f>- Totex!AU30</f>
        <v>-30.579666914901136</v>
      </c>
      <c r="AV27" s="8">
        <f>- Totex!AV30</f>
        <v>-19.40076037269435</v>
      </c>
      <c r="AW27" s="2"/>
    </row>
    <row r="28" spans="1:49" ht="15">
      <c r="A28" s="2"/>
      <c r="B28" s="2"/>
      <c r="C28" s="2"/>
      <c r="D28" s="2"/>
      <c r="E28" s="2" t="s">
        <v>851</v>
      </c>
      <c r="F28" s="2"/>
      <c r="G28" s="2" t="s">
        <v>105</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4"/>
      <c r="AR28" s="432">
        <f t="shared" ref="AR28:AV28" si="3">SUM(AR26:AR27)</f>
        <v>-4.6667540807149521E-2</v>
      </c>
      <c r="AS28" s="432">
        <f t="shared" si="3"/>
        <v>-0.3759075127310112</v>
      </c>
      <c r="AT28" s="432">
        <f t="shared" si="3"/>
        <v>-0.4800018671977142</v>
      </c>
      <c r="AU28" s="432">
        <f t="shared" si="3"/>
        <v>-0.2707101137486454</v>
      </c>
      <c r="AV28" s="432">
        <f t="shared" si="3"/>
        <v>-0.42222103101715902</v>
      </c>
      <c r="AW28" s="2"/>
    </row>
    <row r="29" spans="1:49" ht="15">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5">
      <c r="A30" s="2"/>
      <c r="B30" s="2"/>
      <c r="C30" s="2"/>
      <c r="D30" s="2"/>
      <c r="E30" s="2" t="s">
        <v>849</v>
      </c>
      <c r="F30" s="2"/>
      <c r="G30" s="2" t="s">
        <v>209</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0"/>
      <c r="AK30" s="210"/>
      <c r="AL30" s="210"/>
      <c r="AM30" s="210"/>
      <c r="AN30" s="210"/>
      <c r="AO30" s="210"/>
      <c r="AP30" s="210"/>
      <c r="AQ30" s="225"/>
      <c r="AR30" s="210">
        <f>$I24</f>
        <v>0.501</v>
      </c>
      <c r="AS30" s="210">
        <f t="shared" ref="AS30:AV30" si="4">$I24</f>
        <v>0.501</v>
      </c>
      <c r="AT30" s="210">
        <f t="shared" si="4"/>
        <v>0.501</v>
      </c>
      <c r="AU30" s="210">
        <f t="shared" si="4"/>
        <v>0.501</v>
      </c>
      <c r="AV30" s="210">
        <f t="shared" si="4"/>
        <v>0.501</v>
      </c>
      <c r="AW30" s="2"/>
    </row>
    <row r="31" spans="1:49" ht="15">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5">
      <c r="A32" s="2"/>
      <c r="B32" s="2"/>
      <c r="C32" s="2"/>
      <c r="D32" s="2"/>
      <c r="E32" s="2" t="s">
        <v>852</v>
      </c>
      <c r="F32" s="2"/>
      <c r="G32" s="2" t="s">
        <v>105</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7"/>
      <c r="AK32" s="537"/>
      <c r="AL32" s="537"/>
      <c r="AM32" s="537"/>
      <c r="AN32" s="537"/>
      <c r="AO32" s="537"/>
      <c r="AP32" s="537"/>
      <c r="AQ32" s="384"/>
      <c r="AR32" s="537">
        <f t="shared" ref="AR32:AV32" si="5">AR28 * AR30</f>
        <v>-2.338043794438191E-2</v>
      </c>
      <c r="AS32" s="537">
        <f t="shared" si="5"/>
        <v>-0.1883296638782366</v>
      </c>
      <c r="AT32" s="537">
        <f t="shared" si="5"/>
        <v>-0.24048093546605481</v>
      </c>
      <c r="AU32" s="537">
        <f t="shared" si="5"/>
        <v>-0.13562576698807136</v>
      </c>
      <c r="AV32" s="537">
        <f t="shared" si="5"/>
        <v>-0.21153273653959667</v>
      </c>
      <c r="AW32" s="2"/>
    </row>
    <row r="33" spans="1:49" ht="15">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5">
      <c r="A34" s="2"/>
      <c r="B34" s="22" t="s">
        <v>854</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7"/>
      <c r="AR34" s="22"/>
      <c r="AS34" s="22"/>
      <c r="AT34" s="22"/>
      <c r="AU34" s="22"/>
      <c r="AV34" s="22"/>
      <c r="AW34" s="2"/>
    </row>
    <row r="35" spans="1:49" ht="1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5">
      <c r="A36" s="2"/>
      <c r="B36" s="2"/>
      <c r="C36" s="20" t="s">
        <v>847</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5">
      <c r="A38" s="2"/>
      <c r="B38" s="2"/>
      <c r="C38" s="2"/>
      <c r="D38" s="2"/>
      <c r="E38" s="2" t="s">
        <v>855</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204.67308528750058</v>
      </c>
      <c r="AS38" s="2">
        <f>-AS14</f>
        <v>215.22430938203544</v>
      </c>
      <c r="AT38" s="2">
        <f>-AT14</f>
        <v>202.99397145587608</v>
      </c>
      <c r="AU38" s="2">
        <f>-AU14</f>
        <v>211.5385706753147</v>
      </c>
      <c r="AV38" s="2">
        <f>-AV14</f>
        <v>211.30651328749133</v>
      </c>
      <c r="AW38" s="2"/>
    </row>
    <row r="39" spans="1:49" ht="15">
      <c r="A39" s="2"/>
      <c r="B39" s="2"/>
      <c r="C39" s="2"/>
      <c r="D39" s="2"/>
      <c r="E39" s="2" t="s">
        <v>852</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-16.582426078535487</v>
      </c>
      <c r="AS39" s="2">
        <f>AS19</f>
        <v>-2.4031772184101978</v>
      </c>
      <c r="AT39" s="2">
        <f>AT19</f>
        <v>11.855647367109746</v>
      </c>
      <c r="AU39" s="2">
        <f>AU19</f>
        <v>7.6143555788387136</v>
      </c>
      <c r="AV39" s="2">
        <f>AV19</f>
        <v>0.31814307592619789</v>
      </c>
      <c r="AW39" s="2"/>
    </row>
    <row r="40" spans="1:49" ht="15">
      <c r="A40" s="2"/>
      <c r="B40" s="2"/>
      <c r="C40" s="2"/>
      <c r="D40" s="2"/>
      <c r="E40" s="2" t="s">
        <v>854</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4"/>
      <c r="AR40" s="432">
        <f t="shared" ref="AR40:AV40" si="6">SUM(AR38:AR39)</f>
        <v>188.09065920896509</v>
      </c>
      <c r="AS40" s="432">
        <f t="shared" si="6"/>
        <v>212.82113216362524</v>
      </c>
      <c r="AT40" s="432">
        <f t="shared" si="6"/>
        <v>214.84961882298583</v>
      </c>
      <c r="AU40" s="432">
        <f t="shared" si="6"/>
        <v>219.15292625415341</v>
      </c>
      <c r="AV40" s="432">
        <f t="shared" si="6"/>
        <v>211.62465636341753</v>
      </c>
      <c r="AW40" s="2"/>
    </row>
    <row r="41" spans="1:49" ht="1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5">
      <c r="A42" s="2"/>
      <c r="B42" s="2"/>
      <c r="C42" s="20" t="s">
        <v>853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5">
      <c r="A44" s="2"/>
      <c r="B44" s="2"/>
      <c r="C44" s="2"/>
      <c r="D44" s="2"/>
      <c r="E44" s="2" t="s">
        <v>855</v>
      </c>
      <c r="F44" s="2"/>
      <c r="G44" s="2" t="s">
        <v>105</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16.340921362691308</v>
      </c>
      <c r="AS44" s="2">
        <f>-AS27</f>
        <v>33.542921013063292</v>
      </c>
      <c r="AT44" s="2">
        <f>-AT27</f>
        <v>34.689697947603072</v>
      </c>
      <c r="AU44" s="2">
        <f>-AU27</f>
        <v>30.579666914901136</v>
      </c>
      <c r="AV44" s="2">
        <f>-AV27</f>
        <v>19.40076037269435</v>
      </c>
      <c r="AW44" s="2"/>
    </row>
    <row r="45" spans="1:49" ht="15">
      <c r="A45" s="2"/>
      <c r="B45" s="2"/>
      <c r="C45" s="2"/>
      <c r="D45" s="2"/>
      <c r="E45" s="2" t="s">
        <v>852</v>
      </c>
      <c r="F45" s="2"/>
      <c r="G45" s="2" t="s">
        <v>105</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-2.338043794438191E-2</v>
      </c>
      <c r="AS45" s="2">
        <f>AS32</f>
        <v>-0.1883296638782366</v>
      </c>
      <c r="AT45" s="2">
        <f>AT32</f>
        <v>-0.24048093546605481</v>
      </c>
      <c r="AU45" s="2">
        <f>AU32</f>
        <v>-0.13562576698807136</v>
      </c>
      <c r="AV45" s="2">
        <f>AV32</f>
        <v>-0.21153273653959667</v>
      </c>
      <c r="AW45" s="2"/>
    </row>
    <row r="46" spans="1:49" ht="15">
      <c r="A46" s="2"/>
      <c r="B46" s="2"/>
      <c r="C46" s="2"/>
      <c r="D46" s="2"/>
      <c r="E46" s="2" t="s">
        <v>854</v>
      </c>
      <c r="F46" s="2"/>
      <c r="G46" s="2" t="s">
        <v>105</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4"/>
      <c r="AR46" s="432">
        <f t="shared" ref="AR46:AV46" si="7">SUM(AR44:AR45)</f>
        <v>16.317540924746925</v>
      </c>
      <c r="AS46" s="432">
        <f t="shared" si="7"/>
        <v>33.354591349185057</v>
      </c>
      <c r="AT46" s="432">
        <f t="shared" si="7"/>
        <v>34.449217012137019</v>
      </c>
      <c r="AU46" s="432">
        <f t="shared" si="7"/>
        <v>30.444041147913065</v>
      </c>
      <c r="AV46" s="432">
        <f t="shared" si="7"/>
        <v>19.189227636154754</v>
      </c>
      <c r="AW46" s="2"/>
    </row>
    <row r="47" spans="1:49" ht="1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5">
      <c r="A48" s="2"/>
      <c r="B48" s="22" t="s">
        <v>856</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7"/>
      <c r="AR48" s="22"/>
      <c r="AS48" s="22"/>
      <c r="AT48" s="22"/>
      <c r="AU48" s="22"/>
      <c r="AV48" s="22"/>
      <c r="AW48" s="2"/>
    </row>
    <row r="49" spans="1:49" ht="1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5">
      <c r="A50" s="2"/>
      <c r="B50" s="2"/>
      <c r="C50" s="20" t="s">
        <v>857</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5">
      <c r="A52" s="2"/>
      <c r="B52" s="2"/>
      <c r="C52" s="2"/>
      <c r="D52" s="2"/>
      <c r="E52" s="2" t="s">
        <v>854</v>
      </c>
      <c r="F52" s="2"/>
      <c r="G52" s="2" t="s">
        <v>105</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188.09065920896509</v>
      </c>
      <c r="AS52" s="2">
        <f>AS40</f>
        <v>212.82113216362524</v>
      </c>
      <c r="AT52" s="2">
        <f>AT40</f>
        <v>214.84961882298583</v>
      </c>
      <c r="AU52" s="2">
        <f>AU40</f>
        <v>219.15292625415341</v>
      </c>
      <c r="AV52" s="2">
        <f>AV40</f>
        <v>211.62465636341753</v>
      </c>
      <c r="AW52" s="2"/>
    </row>
    <row r="53" spans="1:49" ht="15">
      <c r="A53" s="2"/>
      <c r="B53" s="2"/>
      <c r="C53" s="2"/>
      <c r="D53" s="2"/>
      <c r="E53" s="2" t="s">
        <v>858</v>
      </c>
      <c r="F53" s="2"/>
      <c r="G53" s="2" t="s">
        <v>209</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1"/>
      <c r="AK53" s="201"/>
      <c r="AL53" s="201"/>
      <c r="AM53" s="201"/>
      <c r="AN53" s="201"/>
      <c r="AO53" s="201"/>
      <c r="AP53" s="201"/>
      <c r="AQ53" s="242"/>
      <c r="AR53" s="201">
        <f>InputSummary!AR209</f>
        <v>0.73</v>
      </c>
      <c r="AS53" s="201">
        <f>InputSummary!AS209</f>
        <v>0.73</v>
      </c>
      <c r="AT53" s="201">
        <f>InputSummary!AT209</f>
        <v>0.73</v>
      </c>
      <c r="AU53" s="201">
        <f>InputSummary!AU209</f>
        <v>0.73</v>
      </c>
      <c r="AV53" s="201">
        <f>InputSummary!AV209</f>
        <v>0.73</v>
      </c>
      <c r="AW53" s="2"/>
    </row>
    <row r="54" spans="1:49" ht="15">
      <c r="A54" s="2"/>
      <c r="B54" s="2"/>
      <c r="C54" s="2"/>
      <c r="D54" s="2"/>
      <c r="E54" s="2" t="s">
        <v>528</v>
      </c>
      <c r="F54" s="2"/>
      <c r="G54" s="2" t="s">
        <v>105</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4"/>
      <c r="AR54" s="432">
        <f t="shared" ref="AR54:AV54" si="8">AR52 * (1-AR53)</f>
        <v>50.784477986420576</v>
      </c>
      <c r="AS54" s="432">
        <f t="shared" si="8"/>
        <v>57.461705684178817</v>
      </c>
      <c r="AT54" s="432">
        <f t="shared" si="8"/>
        <v>58.009397082206178</v>
      </c>
      <c r="AU54" s="432">
        <f t="shared" si="8"/>
        <v>59.171290088621426</v>
      </c>
      <c r="AV54" s="432">
        <f t="shared" si="8"/>
        <v>57.138657218122738</v>
      </c>
      <c r="AW54" s="2"/>
    </row>
    <row r="55" spans="1:49" ht="15">
      <c r="A55" s="2"/>
      <c r="B55" s="2"/>
      <c r="C55" s="2"/>
      <c r="D55" s="2"/>
      <c r="E55" s="2" t="s">
        <v>859</v>
      </c>
      <c r="F55" s="2"/>
      <c r="G55" s="2" t="s">
        <v>105</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137.30618122254452</v>
      </c>
      <c r="AS55" s="2">
        <f t="shared" si="9"/>
        <v>155.35942647944643</v>
      </c>
      <c r="AT55" s="2">
        <f t="shared" si="9"/>
        <v>156.84022174077964</v>
      </c>
      <c r="AU55" s="2">
        <f t="shared" si="9"/>
        <v>159.981636165532</v>
      </c>
      <c r="AV55" s="2">
        <f t="shared" si="9"/>
        <v>154.48599914529478</v>
      </c>
      <c r="AW55" s="2"/>
    </row>
    <row r="56" spans="1:49" ht="1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5">
      <c r="A57" s="2"/>
      <c r="B57" s="2"/>
      <c r="C57" s="20" t="s">
        <v>860</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5">
      <c r="A59" s="2"/>
      <c r="B59" s="2"/>
      <c r="C59" s="2"/>
      <c r="D59" s="2"/>
      <c r="E59" s="2" t="s">
        <v>854</v>
      </c>
      <c r="F59" s="2"/>
      <c r="G59" s="2" t="s">
        <v>105</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16.317540924746925</v>
      </c>
      <c r="AS59" s="2">
        <f>AS46</f>
        <v>33.354591349185057</v>
      </c>
      <c r="AT59" s="2">
        <f>AT46</f>
        <v>34.449217012137019</v>
      </c>
      <c r="AU59" s="2">
        <f>AU46</f>
        <v>30.444041147913065</v>
      </c>
      <c r="AV59" s="2">
        <f>AV46</f>
        <v>19.189227636154754</v>
      </c>
      <c r="AW59" s="2"/>
    </row>
    <row r="60" spans="1:49" ht="15">
      <c r="A60" s="2"/>
      <c r="B60" s="2"/>
      <c r="C60" s="2"/>
      <c r="D60" s="2"/>
      <c r="E60" s="2" t="s">
        <v>858</v>
      </c>
      <c r="F60" s="2"/>
      <c r="G60" s="2" t="s">
        <v>209</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1"/>
      <c r="AK60" s="201"/>
      <c r="AL60" s="201"/>
      <c r="AM60" s="201"/>
      <c r="AN60" s="201"/>
      <c r="AO60" s="201"/>
      <c r="AP60" s="201"/>
      <c r="AQ60" s="242"/>
      <c r="AR60" s="201">
        <f>InputSummary!AR210</f>
        <v>0.85</v>
      </c>
      <c r="AS60" s="201">
        <f>InputSummary!AS210</f>
        <v>0.85</v>
      </c>
      <c r="AT60" s="201">
        <f>InputSummary!AT210</f>
        <v>0.85</v>
      </c>
      <c r="AU60" s="201">
        <f>InputSummary!AU210</f>
        <v>0.85</v>
      </c>
      <c r="AV60" s="201">
        <f>InputSummary!AV210</f>
        <v>0.85</v>
      </c>
      <c r="AW60" s="2"/>
    </row>
    <row r="61" spans="1:49" ht="15">
      <c r="A61" s="2"/>
      <c r="B61" s="2"/>
      <c r="C61" s="2"/>
      <c r="D61" s="2"/>
      <c r="E61" s="2" t="s">
        <v>528</v>
      </c>
      <c r="F61" s="2"/>
      <c r="G61" s="2" t="s">
        <v>105</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4"/>
      <c r="AR61" s="432">
        <f t="shared" ref="AR61:AV61" si="10">AR59 * (1-AR60)</f>
        <v>2.4476311387120391</v>
      </c>
      <c r="AS61" s="432">
        <f t="shared" si="10"/>
        <v>5.0031887023777593</v>
      </c>
      <c r="AT61" s="432">
        <f t="shared" si="10"/>
        <v>5.1673825518205536</v>
      </c>
      <c r="AU61" s="432">
        <f t="shared" si="10"/>
        <v>4.5666061721869609</v>
      </c>
      <c r="AV61" s="432">
        <f t="shared" si="10"/>
        <v>2.8783841454232135</v>
      </c>
      <c r="AW61" s="2"/>
    </row>
    <row r="62" spans="1:49" ht="15">
      <c r="A62" s="2"/>
      <c r="B62" s="2"/>
      <c r="C62" s="2"/>
      <c r="D62" s="2"/>
      <c r="E62" s="2" t="s">
        <v>859</v>
      </c>
      <c r="F62" s="2"/>
      <c r="G62" s="2" t="s">
        <v>105</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13.869909786034887</v>
      </c>
      <c r="AS62" s="2">
        <f t="shared" si="11"/>
        <v>28.351402646807298</v>
      </c>
      <c r="AT62" s="2">
        <f t="shared" si="11"/>
        <v>29.281834460316464</v>
      </c>
      <c r="AU62" s="2">
        <f t="shared" si="11"/>
        <v>25.877434975726104</v>
      </c>
      <c r="AV62" s="2">
        <f t="shared" si="11"/>
        <v>16.310843490731539</v>
      </c>
      <c r="AW62" s="2"/>
    </row>
    <row r="63" spans="1:49" ht="1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5">
      <c r="A64" s="2"/>
      <c r="B64" s="2"/>
      <c r="C64" s="28" t="s">
        <v>861</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5">
      <c r="C66" s="2"/>
      <c r="D66" s="2"/>
      <c r="E66" s="2" t="s">
        <v>528</v>
      </c>
      <c r="F66" s="2"/>
      <c r="G66" s="2" t="s">
        <v>105</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8"/>
      <c r="AK66" s="538"/>
      <c r="AL66" s="538"/>
      <c r="AM66" s="538"/>
      <c r="AN66" s="538"/>
      <c r="AO66" s="538"/>
      <c r="AP66" s="538"/>
      <c r="AQ66" s="385"/>
      <c r="AR66" s="538">
        <f>AR54+AR61</f>
        <v>53.232109125132617</v>
      </c>
      <c r="AS66" s="538">
        <f t="shared" ref="AS66:AV66" si="12">AS54+AS61</f>
        <v>62.46489438655658</v>
      </c>
      <c r="AT66" s="538">
        <f t="shared" si="12"/>
        <v>63.17677963402673</v>
      </c>
      <c r="AU66" s="538">
        <f t="shared" si="12"/>
        <v>63.737896260808384</v>
      </c>
      <c r="AV66" s="538">
        <f t="shared" si="12"/>
        <v>60.01704136354595</v>
      </c>
    </row>
    <row r="67" spans="1:49">
      <c r="AQ67" s="220"/>
    </row>
    <row r="68" spans="1:49" ht="15">
      <c r="C68" s="2"/>
      <c r="D68" s="2"/>
      <c r="E68" s="2" t="s">
        <v>859</v>
      </c>
      <c r="F68" s="2"/>
      <c r="G68" s="2" t="s">
        <v>105</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8"/>
      <c r="AK68" s="538"/>
      <c r="AL68" s="538"/>
      <c r="AM68" s="538"/>
      <c r="AN68" s="538"/>
      <c r="AO68" s="538"/>
      <c r="AP68" s="538"/>
      <c r="AQ68" s="385"/>
      <c r="AR68" s="538">
        <f>AR55+AR62</f>
        <v>151.17609100857942</v>
      </c>
      <c r="AS68" s="538">
        <f t="shared" ref="AS68:AV68" si="13">AS55+AS62</f>
        <v>183.71082912625371</v>
      </c>
      <c r="AT68" s="538">
        <f t="shared" si="13"/>
        <v>186.12205620109611</v>
      </c>
      <c r="AU68" s="538">
        <f t="shared" si="13"/>
        <v>185.85907114125808</v>
      </c>
      <c r="AV68" s="538">
        <f t="shared" si="13"/>
        <v>170.79684263602633</v>
      </c>
    </row>
    <row r="69" spans="1:49" ht="1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5">
      <c r="A70" s="72"/>
      <c r="B70" s="72"/>
      <c r="C70" s="72"/>
      <c r="D70" s="72"/>
      <c r="E70" s="72" t="s">
        <v>862</v>
      </c>
      <c r="F70" s="72"/>
      <c r="G70" s="72" t="s">
        <v>209</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0.73957938531667888</v>
      </c>
      <c r="AS70" s="304">
        <f t="shared" si="14"/>
        <v>0.74625891824257773</v>
      </c>
      <c r="AT70" s="304">
        <f t="shared" si="14"/>
        <v>0.74658213135094809</v>
      </c>
      <c r="AU70" s="304">
        <f t="shared" si="14"/>
        <v>0.74463673607806546</v>
      </c>
      <c r="AV70" s="304">
        <f t="shared" si="14"/>
        <v>0.73997646795087435</v>
      </c>
      <c r="AW70" s="72"/>
    </row>
    <row r="71" spans="1:49" ht="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5">
      <c r="B72" s="22" t="s">
        <v>532</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5">
      <c r="B74" s="2"/>
      <c r="C74" s="28" t="s">
        <v>863</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5">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5">
      <c r="B76" s="2"/>
      <c r="C76" s="2"/>
      <c r="D76" s="2"/>
      <c r="E76" s="82" t="s">
        <v>194</v>
      </c>
      <c r="F76" s="2"/>
      <c r="G76" s="2" t="s">
        <v>105</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0</v>
      </c>
      <c r="AS76" s="30">
        <f>InputSummary!AS113</f>
        <v>0</v>
      </c>
      <c r="AT76" s="30">
        <f>InputSummary!AT113</f>
        <v>0</v>
      </c>
      <c r="AU76" s="30">
        <f>InputSummary!AU113</f>
        <v>0</v>
      </c>
      <c r="AV76" s="30">
        <f>InputSummary!AV113</f>
        <v>0</v>
      </c>
      <c r="AW76" s="7"/>
    </row>
    <row r="77" spans="1:49" ht="1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5">
      <c r="B78" s="37" t="s">
        <v>79</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5">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114"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Row="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0" width="9.625" hidden="1" customWidth="1" outlineLevel="1"/>
    <col min="31" max="31" width="12.625" hidden="1" customWidth="1" outlineLevel="1"/>
    <col min="32" max="35" width="9.625" hidden="1" customWidth="1" outlineLevel="1"/>
    <col min="36" max="48" width="9.625" customWidth="1"/>
    <col min="49" max="49" width="3" customWidth="1"/>
    <col min="50" max="53" width="9" hidden="1" customWidth="1"/>
    <col min="54" max="54" width="10.75" hidden="1" customWidth="1"/>
    <col min="55" max="99" width="0" hidden="1" customWidth="1"/>
    <col min="100" max="103" width="9" hidden="1" customWidth="1"/>
    <col min="104" max="104" width="10.75" hidden="1" customWidth="1"/>
    <col min="105" max="16384" width="9" hidden="1"/>
  </cols>
  <sheetData>
    <row r="1" spans="1:49" ht="19.5">
      <c r="A1" s="195" t="s">
        <v>864</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865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544</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276</v>
      </c>
      <c r="F10" s="2"/>
      <c r="G10" s="2" t="s">
        <v>277</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1"/>
      <c r="AR10" s="93"/>
      <c r="AS10" s="93"/>
      <c r="AT10" s="93"/>
      <c r="AU10" s="93"/>
      <c r="AV10" s="93"/>
      <c r="AW10" s="2"/>
    </row>
    <row r="11" spans="1:49" ht="15">
      <c r="A11" s="2"/>
      <c r="B11" s="2"/>
      <c r="C11" s="2"/>
      <c r="D11" s="2"/>
      <c r="E11" s="2" t="s">
        <v>280</v>
      </c>
      <c r="F11" s="2"/>
      <c r="G11" s="2" t="s">
        <v>281</v>
      </c>
      <c r="H11" s="2"/>
      <c r="I11" s="8">
        <f>InputSummary!I218</f>
        <v>14</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1"/>
      <c r="AR11" s="93"/>
      <c r="AS11" s="93"/>
      <c r="AT11" s="93"/>
      <c r="AU11" s="93"/>
      <c r="AV11" s="93"/>
      <c r="AW11" s="2"/>
    </row>
    <row r="12" spans="1:49" ht="15">
      <c r="A12" s="2"/>
      <c r="B12" s="2"/>
      <c r="C12" s="2"/>
      <c r="D12" s="2"/>
      <c r="E12" s="2" t="s">
        <v>866</v>
      </c>
      <c r="F12" s="2"/>
      <c r="G12" s="2" t="s">
        <v>279</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1"/>
      <c r="AR12" s="93"/>
      <c r="AS12" s="93"/>
      <c r="AT12" s="93"/>
      <c r="AU12" s="93"/>
      <c r="AV12" s="93"/>
      <c r="AW12" s="2"/>
    </row>
    <row r="13" spans="1:49" ht="15">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1"/>
      <c r="AR13" s="93"/>
      <c r="AS13" s="93"/>
      <c r="AT13" s="93"/>
      <c r="AU13" s="93"/>
      <c r="AV13" s="93"/>
      <c r="AW13" s="2"/>
    </row>
    <row r="14" spans="1:49" ht="15">
      <c r="A14" s="2"/>
      <c r="B14" s="2"/>
      <c r="C14" s="2"/>
      <c r="D14" s="2"/>
      <c r="E14" s="2" t="s">
        <v>549</v>
      </c>
      <c r="F14" s="2"/>
      <c r="G14" s="2" t="s">
        <v>550</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5">
      <c r="A15" s="2"/>
      <c r="B15" s="2"/>
      <c r="C15" s="2"/>
      <c r="D15" s="2"/>
      <c r="E15" s="2" t="s">
        <v>551</v>
      </c>
      <c r="F15" s="2"/>
      <c r="G15" s="2" t="s">
        <v>550</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5">
      <c r="A16" s="2"/>
      <c r="B16" s="2"/>
      <c r="C16" s="2"/>
      <c r="D16" s="2"/>
      <c r="E16" s="2" t="s">
        <v>552</v>
      </c>
      <c r="F16" s="2"/>
      <c r="G16" s="2" t="s">
        <v>550</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5">
      <c r="A17" s="2"/>
      <c r="B17" s="2"/>
      <c r="C17" s="2"/>
      <c r="D17" s="2"/>
      <c r="E17" s="2" t="s">
        <v>867</v>
      </c>
      <c r="F17" s="2"/>
      <c r="G17" s="2" t="s">
        <v>868</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1</v>
      </c>
      <c r="X17" s="2" t="b">
        <f t="shared" si="0"/>
        <v>1</v>
      </c>
      <c r="Y17" s="2" t="b">
        <f t="shared" si="0"/>
        <v>1</v>
      </c>
      <c r="Z17" s="2" t="b">
        <f t="shared" si="0"/>
        <v>0</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5">
      <c r="A18" s="2"/>
      <c r="B18" s="2"/>
      <c r="C18" s="2"/>
      <c r="D18" s="2"/>
      <c r="E18" s="2" t="s">
        <v>869</v>
      </c>
      <c r="F18" s="2"/>
      <c r="G18" s="2" t="s">
        <v>868</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0</v>
      </c>
      <c r="X18" s="2" t="b">
        <f t="shared" si="1"/>
        <v>0</v>
      </c>
      <c r="Y18" s="2" t="b">
        <f t="shared" si="1"/>
        <v>0</v>
      </c>
      <c r="Z18" s="2" t="b">
        <f t="shared" si="1"/>
        <v>1</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5">
      <c r="A20" s="2"/>
      <c r="B20" s="2"/>
      <c r="C20" s="20" t="s">
        <v>870</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5">
      <c r="A21" s="2"/>
      <c r="B21" s="2"/>
      <c r="C21" s="4" t="s">
        <v>871</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872</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56" t="s">
        <v>873</v>
      </c>
      <c r="F24" s="7"/>
      <c r="G24" s="2" t="s">
        <v>105</v>
      </c>
      <c r="H24" s="7"/>
      <c r="I24" s="7"/>
      <c r="J24" s="2"/>
      <c r="K24" s="8">
        <f>InputSummary!K229 + InputSummary!K231</f>
        <v>24.265624180091308</v>
      </c>
      <c r="L24" s="8">
        <f>InputSummary!L229 + InputSummary!L231</f>
        <v>75.575379125780543</v>
      </c>
      <c r="M24" s="8">
        <f>InputSummary!M229 + InputSummary!M231</f>
        <v>78.539119483654289</v>
      </c>
      <c r="N24" s="8">
        <f>InputSummary!N229 + InputSummary!N231</f>
        <v>89.097444508579528</v>
      </c>
      <c r="O24" s="8">
        <f>InputSummary!O229 + InputSummary!O231</f>
        <v>105.21278270451801</v>
      </c>
      <c r="P24" s="8">
        <f>InputSummary!P229 + InputSummary!P231</f>
        <v>77.61295062181874</v>
      </c>
      <c r="Q24" s="8">
        <f>InputSummary!Q229 + InputSummary!Q231</f>
        <v>83.169963792832021</v>
      </c>
      <c r="R24" s="8">
        <f>InputSummary!R229 + InputSummary!R231</f>
        <v>76.316314215248994</v>
      </c>
      <c r="S24" s="8">
        <f>InputSummary!S229 + InputSummary!S231</f>
        <v>81.374484759045359</v>
      </c>
      <c r="T24" s="8">
        <f>InputSummary!T229 + InputSummary!T231</f>
        <v>86.472798316801928</v>
      </c>
      <c r="U24" s="8">
        <f>InputSummary!U229 + InputSummary!U231</f>
        <v>88.773713396244773</v>
      </c>
      <c r="V24" s="8">
        <f>InputSummary!V229 + InputSummary!V231</f>
        <v>99.987059669302653</v>
      </c>
      <c r="W24" s="8">
        <f>InputSummary!W229 + InputSummary!W231</f>
        <v>92.334630861645195</v>
      </c>
      <c r="X24" s="8">
        <f>InputSummary!X229 + InputSummary!X231</f>
        <v>97.405183056914325</v>
      </c>
      <c r="Y24" s="8">
        <f>InputSummary!Y229 + InputSummary!Y231</f>
        <v>91.254455029953064</v>
      </c>
      <c r="Z24" s="8">
        <f>InputSummary!Z229 + InputSummary!Z231</f>
        <v>107.8513973764981</v>
      </c>
      <c r="AA24" s="8">
        <f>InputSummary!AA229 + InputSummary!AA231</f>
        <v>112.7814106362575</v>
      </c>
      <c r="AB24" s="8">
        <f>InputSummary!AB229 + InputSummary!AB231</f>
        <v>129.46104758722427</v>
      </c>
      <c r="AC24" s="8">
        <f>InputSummary!AC229 + InputSummary!AC231</f>
        <v>128.05734461084816</v>
      </c>
      <c r="AD24" s="8">
        <f>InputSummary!AD229 + InputSummary!AD231</f>
        <v>124.36188074160526</v>
      </c>
      <c r="AE24" s="8">
        <f>InputSummary!AE229 + InputSummary!AE231</f>
        <v>110.51366635320358</v>
      </c>
      <c r="AF24" s="8">
        <f>InputSummary!AF229 + InputSummary!AF231</f>
        <v>110.87417588734979</v>
      </c>
      <c r="AG24" s="8">
        <f>InputSummary!AG229 + InputSummary!AG231</f>
        <v>159.43632367418397</v>
      </c>
      <c r="AH24" s="8">
        <f>InputSummary!AH229 + InputSummary!AH231</f>
        <v>178.78617238698774</v>
      </c>
      <c r="AI24" s="8">
        <f>InputSummary!AI229 + InputSummary!AI231</f>
        <v>189.91789599238535</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5">
      <c r="A25" s="2"/>
      <c r="B25" s="2"/>
      <c r="C25" s="2"/>
      <c r="D25" s="2"/>
      <c r="E25" s="56" t="s">
        <v>874</v>
      </c>
      <c r="F25" s="7"/>
      <c r="G25" s="2" t="s">
        <v>105</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152.1933132965795</v>
      </c>
      <c r="AK25" s="8">
        <f>InputSummary!AK235</f>
        <v>149.29665090420096</v>
      </c>
      <c r="AL25" s="8">
        <f>InputSummary!AL235</f>
        <v>137.40108385479559</v>
      </c>
      <c r="AM25" s="8">
        <f>InputSummary!AM235</f>
        <v>137.82070013287711</v>
      </c>
      <c r="AN25" s="8">
        <f>InputSummary!AN235</f>
        <v>144.79272984739924</v>
      </c>
      <c r="AO25" s="8">
        <f>InputSummary!AO235</f>
        <v>137.73435049766616</v>
      </c>
      <c r="AP25" s="8">
        <f>InputSummary!AP235</f>
        <v>127.41662175284937</v>
      </c>
      <c r="AQ25" s="9">
        <f>InputSummary!AQ235</f>
        <v>115.22666816849804</v>
      </c>
      <c r="AR25" s="8">
        <f>InputSummary!AR235</f>
        <v>0</v>
      </c>
      <c r="AS25" s="8">
        <f>InputSummary!AS235</f>
        <v>0</v>
      </c>
      <c r="AT25" s="8">
        <f>InputSummary!AT235</f>
        <v>0</v>
      </c>
      <c r="AU25" s="8">
        <f>InputSummary!AU235</f>
        <v>0</v>
      </c>
      <c r="AV25" s="8">
        <f>InputSummary!AV235</f>
        <v>0</v>
      </c>
      <c r="AW25" s="2"/>
    </row>
    <row r="26" spans="1:49" ht="15">
      <c r="A26" s="2"/>
      <c r="B26" s="2"/>
      <c r="C26" s="2"/>
      <c r="D26" s="2"/>
      <c r="E26" s="56" t="s">
        <v>875</v>
      </c>
      <c r="F26" s="7"/>
      <c r="G26" s="2" t="s">
        <v>105</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151.17609100857942</v>
      </c>
      <c r="AS26" s="8">
        <f>TIM!AS68*AS16</f>
        <v>183.71082912625371</v>
      </c>
      <c r="AT26" s="8">
        <f>TIM!AT68*AT16</f>
        <v>186.12205620109611</v>
      </c>
      <c r="AU26" s="8">
        <f>TIM!AU68*AU16</f>
        <v>185.85907114125808</v>
      </c>
      <c r="AV26" s="8">
        <f>TIM!AV68*AV16</f>
        <v>170.79684263602633</v>
      </c>
      <c r="AW26" s="2"/>
    </row>
    <row r="27" spans="1:49" ht="15">
      <c r="A27" s="2"/>
      <c r="B27" s="2"/>
      <c r="C27" s="2"/>
      <c r="D27" s="2"/>
      <c r="E27" s="56" t="s">
        <v>876</v>
      </c>
      <c r="F27" s="7"/>
      <c r="G27" s="2" t="s">
        <v>105</v>
      </c>
      <c r="H27" s="7"/>
      <c r="I27" s="7"/>
      <c r="J27" s="2"/>
      <c r="K27" s="432">
        <f t="shared" ref="K27:L27" si="2">SUM(K24:K26)</f>
        <v>24.265624180091308</v>
      </c>
      <c r="L27" s="432">
        <f t="shared" si="2"/>
        <v>75.575379125780543</v>
      </c>
      <c r="M27" s="432">
        <f t="shared" ref="M27" si="3">SUM(M24:M26)</f>
        <v>78.539119483654289</v>
      </c>
      <c r="N27" s="432">
        <f t="shared" ref="N27" si="4">SUM(N24:N26)</f>
        <v>89.097444508579528</v>
      </c>
      <c r="O27" s="432">
        <f t="shared" ref="O27" si="5">SUM(O24:O26)</f>
        <v>105.21278270451801</v>
      </c>
      <c r="P27" s="432">
        <f t="shared" ref="P27" si="6">SUM(P24:P26)</f>
        <v>77.61295062181874</v>
      </c>
      <c r="Q27" s="432">
        <f t="shared" ref="Q27" si="7">SUM(Q24:Q26)</f>
        <v>83.169963792832021</v>
      </c>
      <c r="R27" s="432">
        <f t="shared" ref="R27" si="8">SUM(R24:R26)</f>
        <v>76.316314215248994</v>
      </c>
      <c r="S27" s="432">
        <f t="shared" ref="S27" si="9">SUM(S24:S26)</f>
        <v>81.374484759045359</v>
      </c>
      <c r="T27" s="432">
        <f t="shared" ref="T27" si="10">SUM(T24:T26)</f>
        <v>86.472798316801928</v>
      </c>
      <c r="U27" s="432">
        <f t="shared" ref="U27" si="11">SUM(U24:U26)</f>
        <v>88.773713396244773</v>
      </c>
      <c r="V27" s="432">
        <f t="shared" ref="V27" si="12">SUM(V24:V26)</f>
        <v>99.987059669302653</v>
      </c>
      <c r="W27" s="432">
        <f t="shared" ref="W27" si="13">SUM(W24:W26)</f>
        <v>92.334630861645195</v>
      </c>
      <c r="X27" s="432">
        <f t="shared" ref="X27" si="14">SUM(X24:X26)</f>
        <v>97.405183056914325</v>
      </c>
      <c r="Y27" s="432">
        <f t="shared" ref="Y27" si="15">SUM(Y24:Y26)</f>
        <v>91.254455029953064</v>
      </c>
      <c r="Z27" s="432">
        <f t="shared" ref="Z27" si="16">SUM(Z24:Z26)</f>
        <v>107.8513973764981</v>
      </c>
      <c r="AA27" s="432">
        <f t="shared" ref="AA27" si="17">SUM(AA24:AA26)</f>
        <v>112.7814106362575</v>
      </c>
      <c r="AB27" s="432">
        <f t="shared" ref="AB27" si="18">SUM(AB24:AB26)</f>
        <v>129.46104758722427</v>
      </c>
      <c r="AC27" s="432">
        <f t="shared" ref="AC27" si="19">SUM(AC24:AC26)</f>
        <v>128.05734461084816</v>
      </c>
      <c r="AD27" s="432">
        <f t="shared" ref="AD27" si="20">SUM(AD24:AD26)</f>
        <v>124.36188074160526</v>
      </c>
      <c r="AE27" s="432">
        <f t="shared" ref="AE27" si="21">SUM(AE24:AE26)</f>
        <v>110.51366635320358</v>
      </c>
      <c r="AF27" s="432">
        <f t="shared" ref="AF27" si="22">SUM(AF24:AF26)</f>
        <v>110.87417588734979</v>
      </c>
      <c r="AG27" s="432">
        <f t="shared" ref="AG27" si="23">SUM(AG24:AG26)</f>
        <v>159.43632367418397</v>
      </c>
      <c r="AH27" s="432">
        <f t="shared" ref="AH27" si="24">SUM(AH24:AH26)</f>
        <v>178.78617238698774</v>
      </c>
      <c r="AI27" s="432">
        <f t="shared" ref="AI27" si="25">SUM(AI24:AI26)</f>
        <v>189.91789599238535</v>
      </c>
      <c r="AJ27" s="432">
        <f>SUM(AJ24:AJ26)</f>
        <v>152.1933132965795</v>
      </c>
      <c r="AK27" s="432">
        <f t="shared" ref="AK27" si="26">SUM(AK24:AK26)</f>
        <v>149.29665090420096</v>
      </c>
      <c r="AL27" s="432">
        <f t="shared" ref="AL27" si="27">SUM(AL24:AL26)</f>
        <v>137.40108385479559</v>
      </c>
      <c r="AM27" s="432">
        <f t="shared" ref="AM27" si="28">SUM(AM24:AM26)</f>
        <v>137.82070013287711</v>
      </c>
      <c r="AN27" s="432">
        <f t="shared" ref="AN27" si="29">SUM(AN24:AN26)</f>
        <v>144.79272984739924</v>
      </c>
      <c r="AO27" s="432">
        <f t="shared" ref="AO27" si="30">SUM(AO24:AO26)</f>
        <v>137.73435049766616</v>
      </c>
      <c r="AP27" s="432">
        <f t="shared" ref="AP27" si="31">SUM(AP24:AP26)</f>
        <v>127.41662175284937</v>
      </c>
      <c r="AQ27" s="534">
        <f t="shared" ref="AQ27" si="32">SUM(AQ24:AQ26)</f>
        <v>115.22666816849804</v>
      </c>
      <c r="AR27" s="432">
        <f t="shared" ref="AR27" si="33">SUM(AR24:AR26)</f>
        <v>151.17609100857942</v>
      </c>
      <c r="AS27" s="432">
        <f t="shared" ref="AS27" si="34">SUM(AS24:AS26)</f>
        <v>183.71082912625371</v>
      </c>
      <c r="AT27" s="432">
        <f t="shared" ref="AT27:AV27" si="35">SUM(AT24:AT26)</f>
        <v>186.12205620109611</v>
      </c>
      <c r="AU27" s="432">
        <f t="shared" si="35"/>
        <v>185.85907114125808</v>
      </c>
      <c r="AV27" s="432">
        <f t="shared" si="35"/>
        <v>170.79684263602633</v>
      </c>
      <c r="AW27" s="2"/>
    </row>
    <row r="28" spans="1:49" ht="15">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5">
      <c r="A29" s="2"/>
      <c r="B29" s="2"/>
      <c r="C29" s="2"/>
      <c r="D29" s="2"/>
      <c r="E29" s="56" t="s">
        <v>877</v>
      </c>
      <c r="F29" s="7"/>
      <c r="G29" s="2" t="s">
        <v>105</v>
      </c>
      <c r="H29" s="7"/>
      <c r="I29" s="7"/>
      <c r="J29" s="2"/>
      <c r="K29" s="2">
        <f t="shared" ref="K29:AV29" si="36">K59</f>
        <v>0</v>
      </c>
      <c r="L29" s="2">
        <f t="shared" si="36"/>
        <v>0.72869742282556493</v>
      </c>
      <c r="M29" s="2">
        <f t="shared" si="36"/>
        <v>2.9982283275036599</v>
      </c>
      <c r="N29" s="2">
        <f t="shared" si="36"/>
        <v>5.3567604441299146</v>
      </c>
      <c r="O29" s="2">
        <f t="shared" si="36"/>
        <v>8.0323593783214928</v>
      </c>
      <c r="P29" s="2">
        <f t="shared" si="36"/>
        <v>11.191902402481194</v>
      </c>
      <c r="Q29" s="2">
        <f t="shared" si="36"/>
        <v>13.522621640373648</v>
      </c>
      <c r="R29" s="2">
        <f t="shared" si="36"/>
        <v>16.020218150668903</v>
      </c>
      <c r="S29" s="2">
        <f t="shared" si="36"/>
        <v>18.311999358334038</v>
      </c>
      <c r="T29" s="2">
        <f t="shared" si="36"/>
        <v>20.755677579326392</v>
      </c>
      <c r="U29" s="2">
        <f t="shared" si="36"/>
        <v>23.352458309560685</v>
      </c>
      <c r="V29" s="2">
        <f t="shared" si="36"/>
        <v>26.018335588727194</v>
      </c>
      <c r="W29" s="2">
        <f t="shared" si="36"/>
        <v>29.020949993210756</v>
      </c>
      <c r="X29" s="2">
        <f t="shared" si="36"/>
        <v>31.793761730797698</v>
      </c>
      <c r="Y29" s="2">
        <f t="shared" si="36"/>
        <v>34.718842303077409</v>
      </c>
      <c r="Z29" s="2">
        <f t="shared" si="36"/>
        <v>73.090406546022223</v>
      </c>
      <c r="AA29" s="2">
        <f t="shared" si="36"/>
        <v>78.48297641484713</v>
      </c>
      <c r="AB29" s="2">
        <f t="shared" si="36"/>
        <v>84.122046946660006</v>
      </c>
      <c r="AC29" s="2">
        <f t="shared" si="36"/>
        <v>90.595099326021213</v>
      </c>
      <c r="AD29" s="2">
        <f t="shared" si="36"/>
        <v>96.997966556563625</v>
      </c>
      <c r="AE29" s="2">
        <f t="shared" si="36"/>
        <v>103.21606059364389</v>
      </c>
      <c r="AF29" s="2">
        <f t="shared" si="36"/>
        <v>107.52846270229952</v>
      </c>
      <c r="AG29" s="2">
        <f t="shared" si="36"/>
        <v>109.29340254037794</v>
      </c>
      <c r="AH29" s="2">
        <f t="shared" si="36"/>
        <v>113.33826274990446</v>
      </c>
      <c r="AI29" s="2">
        <f>AI59</f>
        <v>117.82269914382485</v>
      </c>
      <c r="AJ29" s="2">
        <f t="shared" si="36"/>
        <v>122.05795480821823</v>
      </c>
      <c r="AK29" s="2">
        <f t="shared" si="36"/>
        <v>118.17730727712728</v>
      </c>
      <c r="AL29" s="2">
        <f t="shared" si="36"/>
        <v>114.01880908748568</v>
      </c>
      <c r="AM29" s="2">
        <f t="shared" si="36"/>
        <v>110.20299337672323</v>
      </c>
      <c r="AN29" s="2">
        <f t="shared" si="36"/>
        <v>106.13426913877096</v>
      </c>
      <c r="AO29" s="2">
        <f t="shared" si="36"/>
        <v>91.089817863030206</v>
      </c>
      <c r="AP29" s="2">
        <f t="shared" si="36"/>
        <v>86.651132193217947</v>
      </c>
      <c r="AQ29" s="57">
        <f>AQ59</f>
        <v>81.651779209752817</v>
      </c>
      <c r="AR29" s="2">
        <f>AR59</f>
        <v>77.035047666670536</v>
      </c>
      <c r="AS29" s="2">
        <f t="shared" si="36"/>
        <v>72.164788513824831</v>
      </c>
      <c r="AT29" s="2">
        <f t="shared" si="36"/>
        <v>67.602065762327172</v>
      </c>
      <c r="AU29" s="2">
        <f t="shared" si="36"/>
        <v>62.209495893502279</v>
      </c>
      <c r="AV29" s="2">
        <f t="shared" si="36"/>
        <v>56.570425361689416</v>
      </c>
      <c r="AW29" s="2"/>
    </row>
    <row r="30" spans="1:49" ht="15">
      <c r="A30" s="2"/>
      <c r="B30" s="2"/>
      <c r="C30" s="2"/>
      <c r="D30" s="2"/>
      <c r="E30" s="56" t="s">
        <v>878</v>
      </c>
      <c r="F30" s="7"/>
      <c r="G30" s="2" t="s">
        <v>105</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6.5813324668791138</v>
      </c>
      <c r="AL30" s="2">
        <f t="shared" si="38"/>
        <v>12.268823929896293</v>
      </c>
      <c r="AM30" s="2">
        <f t="shared" si="38"/>
        <v>16.946307635591459</v>
      </c>
      <c r="AN30" s="2">
        <f t="shared" si="38"/>
        <v>21.18694456275691</v>
      </c>
      <c r="AO30" s="2">
        <f t="shared" si="38"/>
        <v>25.251301891806712</v>
      </c>
      <c r="AP30" s="2">
        <f t="shared" si="38"/>
        <v>28.805736743359386</v>
      </c>
      <c r="AQ30" s="57">
        <f t="shared" si="38"/>
        <v>31.848521740442358</v>
      </c>
      <c r="AR30" s="2">
        <f t="shared" si="38"/>
        <v>34.409114366408978</v>
      </c>
      <c r="AS30" s="2">
        <f t="shared" si="38"/>
        <v>34.409114366408978</v>
      </c>
      <c r="AT30" s="2">
        <f t="shared" si="38"/>
        <v>34.409114366408978</v>
      </c>
      <c r="AU30" s="2">
        <f t="shared" si="38"/>
        <v>34.409114366408978</v>
      </c>
      <c r="AV30" s="2">
        <f t="shared" si="38"/>
        <v>34.409114366408978</v>
      </c>
      <c r="AW30" s="2"/>
    </row>
    <row r="31" spans="1:49" ht="15">
      <c r="A31" s="2"/>
      <c r="B31" s="2"/>
      <c r="C31" s="2"/>
      <c r="D31" s="2"/>
      <c r="E31" s="56" t="s">
        <v>879</v>
      </c>
      <c r="F31" s="7"/>
      <c r="G31" s="2" t="s">
        <v>105</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3.3594686890795429</v>
      </c>
      <c r="AT31" s="2">
        <f t="shared" si="40"/>
        <v>7.4419315585518486</v>
      </c>
      <c r="AU31" s="2">
        <f t="shared" si="40"/>
        <v>11.577977251909541</v>
      </c>
      <c r="AV31" s="2">
        <f t="shared" si="40"/>
        <v>15.708178832826388</v>
      </c>
      <c r="AW31" s="2"/>
    </row>
    <row r="32" spans="1:49" ht="15">
      <c r="A32" s="2"/>
      <c r="B32" s="2"/>
      <c r="C32" s="2"/>
      <c r="D32" s="2"/>
      <c r="E32" s="56" t="s">
        <v>880</v>
      </c>
      <c r="F32" s="7"/>
      <c r="G32" s="2" t="s">
        <v>105</v>
      </c>
      <c r="H32" s="7"/>
      <c r="I32" s="7"/>
      <c r="J32" s="2"/>
      <c r="K32" s="464">
        <f t="shared" ref="K32:AV32" si="41">SUM(K29:K31)</f>
        <v>0</v>
      </c>
      <c r="L32" s="464">
        <f t="shared" si="41"/>
        <v>0.72869742282556493</v>
      </c>
      <c r="M32" s="464">
        <f t="shared" si="41"/>
        <v>2.9982283275036599</v>
      </c>
      <c r="N32" s="464">
        <f t="shared" si="41"/>
        <v>5.3567604441299146</v>
      </c>
      <c r="O32" s="464">
        <f t="shared" si="41"/>
        <v>8.0323593783214928</v>
      </c>
      <c r="P32" s="464">
        <f t="shared" si="41"/>
        <v>11.191902402481194</v>
      </c>
      <c r="Q32" s="464">
        <f t="shared" si="41"/>
        <v>13.522621640373648</v>
      </c>
      <c r="R32" s="464">
        <f t="shared" si="41"/>
        <v>16.020218150668903</v>
      </c>
      <c r="S32" s="464">
        <f t="shared" si="41"/>
        <v>18.311999358334038</v>
      </c>
      <c r="T32" s="464">
        <f t="shared" si="41"/>
        <v>20.755677579326392</v>
      </c>
      <c r="U32" s="464">
        <f t="shared" si="41"/>
        <v>23.352458309560685</v>
      </c>
      <c r="V32" s="464">
        <f t="shared" si="41"/>
        <v>26.018335588727194</v>
      </c>
      <c r="W32" s="464">
        <f t="shared" si="41"/>
        <v>29.020949993210756</v>
      </c>
      <c r="X32" s="464">
        <f t="shared" si="41"/>
        <v>31.793761730797698</v>
      </c>
      <c r="Y32" s="464">
        <f t="shared" si="41"/>
        <v>34.718842303077409</v>
      </c>
      <c r="Z32" s="464">
        <f t="shared" si="41"/>
        <v>73.090406546022223</v>
      </c>
      <c r="AA32" s="464">
        <f t="shared" si="41"/>
        <v>78.48297641484713</v>
      </c>
      <c r="AB32" s="464">
        <f t="shared" si="41"/>
        <v>84.122046946660006</v>
      </c>
      <c r="AC32" s="464">
        <f t="shared" si="41"/>
        <v>90.595099326021213</v>
      </c>
      <c r="AD32" s="464">
        <f t="shared" si="41"/>
        <v>96.997966556563625</v>
      </c>
      <c r="AE32" s="464">
        <f t="shared" si="41"/>
        <v>103.21606059364389</v>
      </c>
      <c r="AF32" s="464">
        <f t="shared" si="41"/>
        <v>107.52846270229952</v>
      </c>
      <c r="AG32" s="464">
        <f t="shared" si="41"/>
        <v>109.29340254037794</v>
      </c>
      <c r="AH32" s="464">
        <f t="shared" si="41"/>
        <v>113.33826274990446</v>
      </c>
      <c r="AI32" s="464">
        <f t="shared" si="41"/>
        <v>117.82269914382485</v>
      </c>
      <c r="AJ32" s="464">
        <f t="shared" si="41"/>
        <v>122.05795480821823</v>
      </c>
      <c r="AK32" s="464">
        <f t="shared" si="41"/>
        <v>124.7586397440064</v>
      </c>
      <c r="AL32" s="464">
        <f t="shared" si="41"/>
        <v>126.28763301738198</v>
      </c>
      <c r="AM32" s="464">
        <f t="shared" si="41"/>
        <v>127.14930101231468</v>
      </c>
      <c r="AN32" s="464">
        <f t="shared" si="41"/>
        <v>127.32121370152787</v>
      </c>
      <c r="AO32" s="464">
        <f t="shared" si="41"/>
        <v>116.34111975483691</v>
      </c>
      <c r="AP32" s="464">
        <f t="shared" si="41"/>
        <v>115.45686893657734</v>
      </c>
      <c r="AQ32" s="382">
        <f t="shared" si="41"/>
        <v>113.50030095019517</v>
      </c>
      <c r="AR32" s="464">
        <f t="shared" si="41"/>
        <v>111.44416203307952</v>
      </c>
      <c r="AS32" s="464">
        <f t="shared" si="41"/>
        <v>109.93337156931337</v>
      </c>
      <c r="AT32" s="464">
        <f t="shared" si="41"/>
        <v>109.453111687288</v>
      </c>
      <c r="AU32" s="464">
        <f t="shared" si="41"/>
        <v>108.19658751182081</v>
      </c>
      <c r="AV32" s="464">
        <f t="shared" si="41"/>
        <v>106.68771856092478</v>
      </c>
      <c r="AW32" s="2"/>
    </row>
    <row r="33" spans="1:49" ht="15">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0" t="s">
        <v>881</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5">
      <c r="A35" s="2"/>
      <c r="B35" s="2"/>
      <c r="C35" s="4" t="s">
        <v>882</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5">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5">
      <c r="A37" s="2"/>
      <c r="B37" s="2"/>
      <c r="C37" s="2"/>
      <c r="D37" s="2"/>
      <c r="E37" s="34" t="s">
        <v>545</v>
      </c>
      <c r="F37" s="34"/>
      <c r="G37" s="2" t="s">
        <v>550</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5">
      <c r="A38" s="2"/>
      <c r="B38" s="2"/>
      <c r="C38" s="2"/>
      <c r="D38" s="2"/>
      <c r="E38" s="34" t="s">
        <v>883</v>
      </c>
      <c r="F38" s="34"/>
      <c r="G38" s="2" t="s">
        <v>550</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5">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5">
      <c r="A40" s="2"/>
      <c r="B40" s="2"/>
      <c r="C40" s="2"/>
      <c r="D40" s="2"/>
      <c r="E40" s="41" t="s">
        <v>884</v>
      </c>
      <c r="F40" s="34"/>
      <c r="G40" s="2" t="s">
        <v>105</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5">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5">
      <c r="A42" s="2"/>
      <c r="B42" s="2"/>
      <c r="C42" s="2"/>
      <c r="D42" s="2"/>
      <c r="E42" s="7" t="s">
        <v>885</v>
      </c>
      <c r="F42" s="7"/>
      <c r="G42" s="2" t="s">
        <v>105</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2599.433218968974</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5">
      <c r="A43" s="2"/>
      <c r="B43" s="2"/>
      <c r="C43" s="2"/>
      <c r="D43" s="2"/>
      <c r="E43" s="7" t="s">
        <v>886</v>
      </c>
      <c r="F43" s="2"/>
      <c r="G43" s="2" t="s">
        <v>105</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1216.3101961495033</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5">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5">
      <c r="A45" s="2"/>
      <c r="B45" s="2"/>
      <c r="C45" s="2"/>
      <c r="D45" s="2"/>
      <c r="E45" s="7" t="s">
        <v>887</v>
      </c>
      <c r="F45" s="2"/>
      <c r="G45" s="2" t="s">
        <v>105</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2599.433218968974</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5">
      <c r="A46" s="2"/>
      <c r="B46" s="2"/>
      <c r="C46" s="2"/>
      <c r="D46" s="2"/>
      <c r="E46" s="7" t="s">
        <v>888</v>
      </c>
      <c r="F46" s="2"/>
      <c r="G46" s="2" t="s">
        <v>105</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1216.3101961495033</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5">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0"/>
    </row>
    <row r="49" spans="1:49" ht="15">
      <c r="A49" s="2"/>
      <c r="B49" s="22" t="s">
        <v>889</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7"/>
      <c r="AR49" s="22"/>
      <c r="AS49" s="22"/>
      <c r="AT49" s="22"/>
      <c r="AU49" s="22"/>
      <c r="AV49" s="22"/>
      <c r="AW49" s="2"/>
    </row>
    <row r="50" spans="1:49" ht="15">
      <c r="B50" s="4" t="s">
        <v>890</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5">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5">
      <c r="B52" s="34"/>
      <c r="C52" s="20" t="s">
        <v>891</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5"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5" outlineLevel="1">
      <c r="B54" s="34"/>
      <c r="C54" s="34"/>
      <c r="D54" s="34"/>
      <c r="E54" s="34" t="s">
        <v>892</v>
      </c>
      <c r="F54" s="34"/>
      <c r="G54" s="2" t="s">
        <v>281</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4">
        <f>InputSummary!AQ226</f>
        <v>45</v>
      </c>
      <c r="AR54" s="81">
        <f>AQ54</f>
        <v>45</v>
      </c>
      <c r="AS54" s="81">
        <f t="shared" ref="AS54:AV54" si="56">AR54</f>
        <v>45</v>
      </c>
      <c r="AT54" s="81">
        <f t="shared" si="56"/>
        <v>45</v>
      </c>
      <c r="AU54" s="81">
        <f t="shared" si="56"/>
        <v>45</v>
      </c>
      <c r="AV54" s="81">
        <f t="shared" si="56"/>
        <v>45</v>
      </c>
      <c r="AW54" s="34"/>
    </row>
    <row r="55" spans="1:49" ht="15" outlineLevel="1">
      <c r="B55" s="34"/>
      <c r="C55" s="34"/>
      <c r="D55" s="34"/>
      <c r="E55" s="34" t="s">
        <v>893</v>
      </c>
      <c r="F55" s="34"/>
      <c r="G55" s="7" t="s">
        <v>209</v>
      </c>
      <c r="H55" s="7"/>
      <c r="I55" s="46"/>
      <c r="J55" s="34"/>
      <c r="K55" s="142">
        <f>1/K54</f>
        <v>3.0030030030030033E-2</v>
      </c>
      <c r="L55" s="142">
        <f t="shared" ref="L55:AV55" si="57">1/L54</f>
        <v>3.0030030030030033E-2</v>
      </c>
      <c r="M55" s="142">
        <f t="shared" si="57"/>
        <v>3.0030030030030033E-2</v>
      </c>
      <c r="N55" s="142">
        <f t="shared" si="57"/>
        <v>3.0030030030030033E-2</v>
      </c>
      <c r="O55" s="142">
        <f t="shared" si="57"/>
        <v>3.0030030030030033E-2</v>
      </c>
      <c r="P55" s="142">
        <f t="shared" si="57"/>
        <v>3.0030030030030033E-2</v>
      </c>
      <c r="Q55" s="142">
        <f t="shared" si="57"/>
        <v>3.0030030030030033E-2</v>
      </c>
      <c r="R55" s="142">
        <f t="shared" si="57"/>
        <v>3.0030030030030033E-2</v>
      </c>
      <c r="S55" s="142">
        <f t="shared" si="57"/>
        <v>3.0030030030030033E-2</v>
      </c>
      <c r="T55" s="142">
        <f t="shared" si="57"/>
        <v>3.0030030030030033E-2</v>
      </c>
      <c r="U55" s="142">
        <f t="shared" si="57"/>
        <v>3.0030030030030033E-2</v>
      </c>
      <c r="V55" s="142">
        <f t="shared" si="57"/>
        <v>3.0030030030030033E-2</v>
      </c>
      <c r="W55" s="142">
        <f t="shared" si="57"/>
        <v>3.0030030030030033E-2</v>
      </c>
      <c r="X55" s="142">
        <f t="shared" si="57"/>
        <v>3.0030030030030033E-2</v>
      </c>
      <c r="Y55" s="142">
        <f t="shared" si="57"/>
        <v>3.0030030030030033E-2</v>
      </c>
      <c r="Z55" s="142">
        <f t="shared" si="57"/>
        <v>3.0030030030030033E-2</v>
      </c>
      <c r="AA55" s="142">
        <f t="shared" si="57"/>
        <v>3.0030030030030033E-2</v>
      </c>
      <c r="AB55" s="142">
        <f t="shared" si="57"/>
        <v>3.0030030030030033E-2</v>
      </c>
      <c r="AC55" s="142">
        <f t="shared" si="57"/>
        <v>3.0030030030030033E-2</v>
      </c>
      <c r="AD55" s="142">
        <f t="shared" si="57"/>
        <v>3.0030030030030033E-2</v>
      </c>
      <c r="AE55" s="142">
        <f t="shared" si="57"/>
        <v>3.0030030030030033E-2</v>
      </c>
      <c r="AF55" s="142">
        <f t="shared" si="57"/>
        <v>3.0030030030030033E-2</v>
      </c>
      <c r="AG55" s="142">
        <f t="shared" si="57"/>
        <v>3.0030030030030033E-2</v>
      </c>
      <c r="AH55" s="142">
        <f t="shared" si="57"/>
        <v>3.0030030030030033E-2</v>
      </c>
      <c r="AI55" s="142">
        <f t="shared" si="57"/>
        <v>3.0030030030030033E-2</v>
      </c>
      <c r="AJ55" s="212">
        <f t="shared" si="57"/>
        <v>4.3243243243243246E-2</v>
      </c>
      <c r="AK55" s="212">
        <f t="shared" si="57"/>
        <v>3.8095238095238099E-2</v>
      </c>
      <c r="AL55" s="212">
        <f t="shared" si="57"/>
        <v>3.4042553191489362E-2</v>
      </c>
      <c r="AM55" s="212">
        <f t="shared" si="57"/>
        <v>3.0769230769230771E-2</v>
      </c>
      <c r="AN55" s="212">
        <f t="shared" si="57"/>
        <v>2.8070175438596492E-2</v>
      </c>
      <c r="AO55" s="212">
        <f t="shared" si="57"/>
        <v>2.5806451612903226E-2</v>
      </c>
      <c r="AP55" s="212">
        <f t="shared" si="57"/>
        <v>2.3880597014925373E-2</v>
      </c>
      <c r="AQ55" s="227">
        <f t="shared" si="57"/>
        <v>2.2222222222222223E-2</v>
      </c>
      <c r="AR55" s="212">
        <f t="shared" si="57"/>
        <v>2.2222222222222223E-2</v>
      </c>
      <c r="AS55" s="212">
        <f t="shared" si="57"/>
        <v>2.2222222222222223E-2</v>
      </c>
      <c r="AT55" s="212">
        <f t="shared" si="57"/>
        <v>2.2222222222222223E-2</v>
      </c>
      <c r="AU55" s="212">
        <f t="shared" si="57"/>
        <v>2.2222222222222223E-2</v>
      </c>
      <c r="AV55" s="212">
        <f t="shared" si="57"/>
        <v>2.2222222222222223E-2</v>
      </c>
      <c r="AW55" s="142"/>
    </row>
    <row r="56" spans="1:49" ht="15" outlineLevel="1">
      <c r="B56" s="34"/>
      <c r="C56" s="34"/>
      <c r="D56" s="34"/>
      <c r="E56" s="34" t="s">
        <v>894</v>
      </c>
      <c r="F56" s="34"/>
      <c r="G56" s="2" t="s">
        <v>281</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4">
        <f>InputSummary!AQ227</f>
        <v>45</v>
      </c>
      <c r="AR56" s="81">
        <f>AQ56</f>
        <v>45</v>
      </c>
      <c r="AS56" s="81">
        <f t="shared" ref="AS56:AV56" si="58">AR56</f>
        <v>45</v>
      </c>
      <c r="AT56" s="81">
        <f t="shared" si="58"/>
        <v>45</v>
      </c>
      <c r="AU56" s="81">
        <f t="shared" si="58"/>
        <v>45</v>
      </c>
      <c r="AV56" s="81">
        <f t="shared" si="58"/>
        <v>45</v>
      </c>
      <c r="AW56" s="34"/>
    </row>
    <row r="57" spans="1:49" ht="15" outlineLevel="1">
      <c r="B57" s="34"/>
      <c r="C57" s="34"/>
      <c r="D57" s="34"/>
      <c r="E57" s="34" t="s">
        <v>893</v>
      </c>
      <c r="F57" s="34"/>
      <c r="G57" s="7" t="s">
        <v>209</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2">
        <f t="shared" si="59"/>
        <v>4.3243243243243246E-2</v>
      </c>
      <c r="AK57" s="212">
        <f t="shared" si="59"/>
        <v>3.8095238095238099E-2</v>
      </c>
      <c r="AL57" s="212">
        <f t="shared" si="59"/>
        <v>3.4042553191489362E-2</v>
      </c>
      <c r="AM57" s="212">
        <f t="shared" si="59"/>
        <v>3.0769230769230771E-2</v>
      </c>
      <c r="AN57" s="212">
        <f t="shared" si="59"/>
        <v>2.8070175438596492E-2</v>
      </c>
      <c r="AO57" s="212">
        <f t="shared" si="59"/>
        <v>2.5806451612903226E-2</v>
      </c>
      <c r="AP57" s="212">
        <f t="shared" si="59"/>
        <v>2.3880597014925373E-2</v>
      </c>
      <c r="AQ57" s="227">
        <f t="shared" si="59"/>
        <v>2.2222222222222223E-2</v>
      </c>
      <c r="AR57" s="126">
        <f t="shared" si="59"/>
        <v>2.2222222222222223E-2</v>
      </c>
      <c r="AS57" s="212">
        <f t="shared" si="59"/>
        <v>2.2222222222222223E-2</v>
      </c>
      <c r="AT57" s="212">
        <f t="shared" si="59"/>
        <v>2.2222222222222223E-2</v>
      </c>
      <c r="AU57" s="212">
        <f t="shared" si="59"/>
        <v>2.2222222222222223E-2</v>
      </c>
      <c r="AV57" s="212">
        <f t="shared" si="59"/>
        <v>2.2222222222222223E-2</v>
      </c>
      <c r="AW57" s="143"/>
    </row>
    <row r="58" spans="1:49" ht="15"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5">
      <c r="B59" s="34"/>
      <c r="C59" s="34"/>
      <c r="D59" s="34"/>
      <c r="E59" s="34" t="s">
        <v>895</v>
      </c>
      <c r="F59" s="34"/>
      <c r="G59" s="2" t="s">
        <v>105</v>
      </c>
      <c r="H59" s="7"/>
      <c r="I59" s="46"/>
      <c r="J59" s="34"/>
      <c r="K59" s="34">
        <f>K64 * SUM(K66:K103) + K108 * SUM(K110:K147) + SUM(K156:K193)</f>
        <v>0</v>
      </c>
      <c r="L59" s="34">
        <f t="shared" ref="L59:AV59" si="60">L64 * SUM(L66:L103) + L108 * SUM(L110:L147) + SUM(L156:L193)</f>
        <v>0.72869742282556493</v>
      </c>
      <c r="M59" s="34">
        <f t="shared" si="60"/>
        <v>2.9982283275036599</v>
      </c>
      <c r="N59" s="34">
        <f t="shared" si="60"/>
        <v>5.3567604441299146</v>
      </c>
      <c r="O59" s="34">
        <f t="shared" si="60"/>
        <v>8.0323593783214928</v>
      </c>
      <c r="P59" s="34">
        <f>P64 * SUM(P66:P103) + P108 * SUM(P110:P147) + SUM(P156:P193)</f>
        <v>11.191902402481194</v>
      </c>
      <c r="Q59" s="34">
        <f t="shared" si="60"/>
        <v>13.522621640373648</v>
      </c>
      <c r="R59" s="34">
        <f t="shared" si="60"/>
        <v>16.020218150668903</v>
      </c>
      <c r="S59" s="34">
        <f t="shared" si="60"/>
        <v>18.311999358334038</v>
      </c>
      <c r="T59" s="34">
        <f t="shared" si="60"/>
        <v>20.755677579326392</v>
      </c>
      <c r="U59" s="34">
        <f t="shared" si="60"/>
        <v>23.352458309560685</v>
      </c>
      <c r="V59" s="34">
        <f t="shared" si="60"/>
        <v>26.018335588727194</v>
      </c>
      <c r="W59" s="34">
        <f t="shared" si="60"/>
        <v>29.020949993210756</v>
      </c>
      <c r="X59" s="34">
        <f t="shared" si="60"/>
        <v>31.793761730797698</v>
      </c>
      <c r="Y59" s="34">
        <f t="shared" si="60"/>
        <v>34.718842303077409</v>
      </c>
      <c r="Z59" s="34">
        <f t="shared" si="60"/>
        <v>73.090406546022223</v>
      </c>
      <c r="AA59" s="34">
        <f t="shared" si="60"/>
        <v>78.48297641484713</v>
      </c>
      <c r="AB59" s="34">
        <f t="shared" si="60"/>
        <v>84.122046946660006</v>
      </c>
      <c r="AC59" s="34">
        <f t="shared" si="60"/>
        <v>90.595099326021213</v>
      </c>
      <c r="AD59" s="34">
        <f t="shared" si="60"/>
        <v>96.997966556563625</v>
      </c>
      <c r="AE59" s="34">
        <f t="shared" si="60"/>
        <v>103.21606059364389</v>
      </c>
      <c r="AF59" s="34">
        <f t="shared" si="60"/>
        <v>107.52846270229952</v>
      </c>
      <c r="AG59" s="34">
        <f t="shared" si="60"/>
        <v>109.29340254037794</v>
      </c>
      <c r="AH59" s="34">
        <f t="shared" si="60"/>
        <v>113.33826274990446</v>
      </c>
      <c r="AI59" s="34">
        <f>AI64 * SUM(AI66:AI103) + AI108 * SUM(AI110:AI147) + SUM(AI156:AI193)</f>
        <v>117.82269914382485</v>
      </c>
      <c r="AJ59" s="34">
        <f t="shared" si="60"/>
        <v>122.05795480821823</v>
      </c>
      <c r="AK59" s="34">
        <f t="shared" si="60"/>
        <v>118.17730727712728</v>
      </c>
      <c r="AL59" s="34">
        <f t="shared" si="60"/>
        <v>114.01880908748568</v>
      </c>
      <c r="AM59" s="34">
        <f t="shared" si="60"/>
        <v>110.20299337672323</v>
      </c>
      <c r="AN59" s="34">
        <f t="shared" si="60"/>
        <v>106.13426913877096</v>
      </c>
      <c r="AO59" s="34">
        <f t="shared" si="60"/>
        <v>91.089817863030206</v>
      </c>
      <c r="AP59" s="34">
        <f t="shared" si="60"/>
        <v>86.651132193217947</v>
      </c>
      <c r="AQ59" s="36">
        <f t="shared" si="60"/>
        <v>81.651779209752817</v>
      </c>
      <c r="AR59" s="34">
        <f t="shared" si="60"/>
        <v>77.035047666670536</v>
      </c>
      <c r="AS59" s="34">
        <f t="shared" si="60"/>
        <v>72.164788513824831</v>
      </c>
      <c r="AT59" s="34">
        <f t="shared" si="60"/>
        <v>67.602065762327172</v>
      </c>
      <c r="AU59" s="34">
        <f t="shared" si="60"/>
        <v>62.209495893502279</v>
      </c>
      <c r="AV59" s="34">
        <f t="shared" si="60"/>
        <v>56.570425361689416</v>
      </c>
    </row>
    <row r="60" spans="1:49">
      <c r="AQ60" s="220"/>
    </row>
    <row r="61" spans="1:49" ht="15">
      <c r="A61" s="2"/>
      <c r="B61" s="2"/>
      <c r="C61" s="20" t="s">
        <v>896</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5">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0"/>
    </row>
    <row r="64" spans="1:49" ht="15" outlineLevel="1">
      <c r="E64" s="44" t="s">
        <v>897</v>
      </c>
      <c r="G64" s="2" t="s">
        <v>550</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1</v>
      </c>
      <c r="X64" s="2">
        <f t="shared" si="61"/>
        <v>1</v>
      </c>
      <c r="Y64" s="2">
        <f t="shared" si="61"/>
        <v>1</v>
      </c>
      <c r="Z64" s="2">
        <f t="shared" si="61"/>
        <v>0</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0"/>
    </row>
    <row r="66" spans="5:49" ht="15" outlineLevel="1">
      <c r="E66" s="44">
        <f>INDEX($K$4:$AV$4,,COUNT(E65:E$65)+1)</f>
        <v>33328</v>
      </c>
      <c r="G66" s="2" t="s">
        <v>105</v>
      </c>
      <c r="I66" s="2">
        <f t="shared" ref="I66:I103" si="62">INDEX($K$24:$AV$24,,MATCH(E66,$K$4:$AV$4,0))</f>
        <v>24.265624180091308</v>
      </c>
      <c r="K66" s="2">
        <f>IF(J$4=$E66, $I66*J$55,0) + IF(J$4&gt;$E66,MIN(J66,$I66-SUM($J66:J66)))</f>
        <v>0</v>
      </c>
      <c r="L66" s="2">
        <f>IF(K$4=$E66, $I66*K$55,0) + IF(K$4&gt;$E66,MIN(K66,$I66-SUM($J66:K66)))</f>
        <v>0.72869742282556493</v>
      </c>
      <c r="M66" s="2">
        <f>IF(L$4=$E66, $I66*L$55,0) + IF(L$4&gt;$E66,MIN(L66,$I66-SUM($J66:L66)))</f>
        <v>0.72869742282556493</v>
      </c>
      <c r="N66" s="2">
        <f>IF(M$4=$E66, $I66*M$55,0) + IF(M$4&gt;$E66,MIN(M66,$I66-SUM($J66:M66)))</f>
        <v>0.72869742282556493</v>
      </c>
      <c r="O66" s="2">
        <f>IF(N$4=$E66, $I66*N$55,0) + IF(N$4&gt;$E66,MIN(N66,$I66-SUM($J66:N66)))</f>
        <v>0.72869742282556493</v>
      </c>
      <c r="P66" s="2">
        <f>IF(O$4=$E66, $I66*O$55,0) + IF(O$4&gt;$E66,MIN(O66,$I66-SUM($J66:O66)))</f>
        <v>0.72869742282556493</v>
      </c>
      <c r="Q66" s="2">
        <f>IF(P$4=$E66, $I66*P$55,0) + IF(P$4&gt;$E66,MIN(P66,$I66-SUM($J66:P66)))</f>
        <v>0.72869742282556493</v>
      </c>
      <c r="R66" s="2">
        <f>IF(Q$4=$E66, $I66*Q$55,0) + IF(Q$4&gt;$E66,MIN(Q66,$I66-SUM($J66:Q66)))</f>
        <v>0.72869742282556493</v>
      </c>
      <c r="S66" s="2">
        <f>IF(R$4=$E66, $I66*R$55,0) + IF(R$4&gt;$E66,MIN(R66,$I66-SUM($J66:R66)))</f>
        <v>0.72869742282556493</v>
      </c>
      <c r="T66" s="2">
        <f>IF(S$4=$E66, $I66*S$55,0) + IF(S$4&gt;$E66,MIN(S66,$I66-SUM($J66:S66)))</f>
        <v>0.72869742282556493</v>
      </c>
      <c r="U66" s="2">
        <f>IF(T$4=$E66, $I66*T$55,0) + IF(T$4&gt;$E66,MIN(T66,$I66-SUM($J66:T66)))</f>
        <v>0.72869742282556493</v>
      </c>
      <c r="V66" s="2">
        <f>IF(U$4=$E66, $I66*U$55,0) + IF(U$4&gt;$E66,MIN(U66,$I66-SUM($J66:U66)))</f>
        <v>0.72869742282556493</v>
      </c>
      <c r="W66" s="2">
        <f>IF(V$4=$E66, $I66*V$55,0) + IF(V$4&gt;$E66,MIN(V66,$I66-SUM($J66:V66)))</f>
        <v>0.72869742282556493</v>
      </c>
      <c r="X66" s="2">
        <f>IF(W$4=$E66, $I66*W$55,0) + IF(W$4&gt;$E66,MIN(W66,$I66-SUM($J66:W66)))</f>
        <v>0.72869742282556493</v>
      </c>
      <c r="Y66" s="2">
        <f>IF(X$4=$E66, $I66*X$55,0) + IF(X$4&gt;$E66,MIN(X66,$I66-SUM($J66:X66)))</f>
        <v>0.72869742282556493</v>
      </c>
      <c r="Z66" s="2">
        <f>IF(Y$4=$E66, $I66*Y$55,0) + IF(Y$4&gt;$E66,MIN(Y66,$I66-SUM($J66:Y66)))</f>
        <v>0.72869742282556493</v>
      </c>
      <c r="AA66" s="2">
        <f>IF(Z$4=$E66, $I66*Z$55,0) + IF(Z$4&gt;$E66,MIN(Z66,$I66-SUM($J66:Z66)))</f>
        <v>0.72869742282556493</v>
      </c>
      <c r="AB66" s="2">
        <f>IF(AA$4=$E66, $I66*AA$55,0) + IF(AA$4&gt;$E66,MIN(AA66,$I66-SUM($J66:AA66)))</f>
        <v>0.72869742282556493</v>
      </c>
      <c r="AC66" s="2">
        <f>IF(AB$4=$E66, $I66*AB$55,0) + IF(AB$4&gt;$E66,MIN(AB66,$I66-SUM($J66:AB66)))</f>
        <v>0.72869742282556493</v>
      </c>
      <c r="AD66" s="2">
        <f>IF(AC$4=$E66, $I66*AC$55,0) + IF(AC$4&gt;$E66,MIN(AC66,$I66-SUM($J66:AC66)))</f>
        <v>0.72869742282556493</v>
      </c>
      <c r="AE66" s="2">
        <f>IF(AD$4=$E66, $I66*AD$55,0) + IF(AD$4&gt;$E66,MIN(AD66,$I66-SUM($J66:AD66)))</f>
        <v>0.72869742282556493</v>
      </c>
      <c r="AF66" s="2">
        <f>IF(AE$4=$E66, $I66*AE$55,0) + IF(AE$4&gt;$E66,MIN(AE66,$I66-SUM($J66:AE66)))</f>
        <v>0.72869742282556493</v>
      </c>
      <c r="AG66" s="2">
        <f>IF(AF$4=$E66, $I66*AF$55,0) + IF(AF$4&gt;$E66,MIN(AF66,$I66-SUM($J66:AF66)))</f>
        <v>0.72869742282556493</v>
      </c>
      <c r="AH66" s="2">
        <f>IF(AG$4=$E66, $I66*AG$55,0) + IF(AG$4&gt;$E66,MIN(AG66,$I66-SUM($J66:AG66)))</f>
        <v>0.72869742282556493</v>
      </c>
      <c r="AI66" s="2">
        <f>IF(AH$4=$E66, $I66*AH$55,0) + IF(AH$4&gt;$E66,MIN(AH66,$I66-SUM($J66:AH66)))</f>
        <v>0.72869742282556493</v>
      </c>
      <c r="AJ66" s="2">
        <f>IF(AI$4=$E66, $I66*AI$55,0) + IF(AI$4&gt;$E66,MIN(AI66,$I66-SUM($J66:AI66)))</f>
        <v>0.72869742282556493</v>
      </c>
      <c r="AK66" s="2">
        <f>IF(AJ$4=$E66, $I66*AJ$55,0) + IF(AJ$4&gt;$E66,MIN(AJ66,$I66-SUM($J66:AJ66)))</f>
        <v>0.72869742282556493</v>
      </c>
      <c r="AL66" s="2">
        <f>IF(AK$4=$E66, $I66*AK$55,0) + IF(AK$4&gt;$E66,MIN(AK66,$I66-SUM($J66:AK66)))</f>
        <v>0.72869742282556493</v>
      </c>
      <c r="AM66" s="2">
        <f>IF(AL$4=$E66, $I66*AL$55,0) + IF(AL$4&gt;$E66,MIN(AL66,$I66-SUM($J66:AL66)))</f>
        <v>0.72869742282556493</v>
      </c>
      <c r="AN66" s="2">
        <f>IF(AM$4=$E66, $I66*AM$55,0) + IF(AM$4&gt;$E66,MIN(AM66,$I66-SUM($J66:AM66)))</f>
        <v>0.72869742282556493</v>
      </c>
      <c r="AO66" s="2">
        <f>IF(AN$4=$E66, $I66*AN$55,0) + IF(AN$4&gt;$E66,MIN(AN66,$I66-SUM($J66:AN66)))</f>
        <v>0.72869742282556493</v>
      </c>
      <c r="AP66" s="2">
        <f>IF(AO$4=$E66, $I66*AO$55,0) + IF(AO$4&gt;$E66,MIN(AO66,$I66-SUM($J66:AO66)))</f>
        <v>0.72869742282556493</v>
      </c>
      <c r="AQ66" s="57">
        <f>IF(AP$4=$E66, $I66*AP$55,0) + IF(AP$4&gt;$E66,MIN(AP66,$I66-SUM($J66:AP66)))</f>
        <v>0.72869742282556493</v>
      </c>
      <c r="AR66" s="2">
        <f>IF(AQ$4=$E66, $I66*AQ$55,0) + IF(AQ$4&gt;$E66,MIN(AQ66,$I66-SUM($J66:AQ66)))</f>
        <v>0.72869742282556493</v>
      </c>
      <c r="AS66" s="2">
        <f>IF(AR$4=$E66, $I66*AR$55,0) + IF(AR$4&gt;$E66,MIN(AR66,$I66-SUM($J66:AR66)))</f>
        <v>0.21860922684766138</v>
      </c>
      <c r="AT66" s="2">
        <f>IF(AS$4=$E66, $I66*AS$55,0) + IF(AS$4&gt;$E66,MIN(AS66,$I66-SUM($J66:AS66)))</f>
        <v>0</v>
      </c>
      <c r="AU66" s="2">
        <f>IF(AT$4=$E66, $I66*AT$55,0) + IF(AT$4&gt;$E66,MIN(AT66,$I66-SUM($J66:AT66)))</f>
        <v>0</v>
      </c>
      <c r="AV66" s="2">
        <f>IF(AU$4=$E66, $I66*AU$55,0) + IF(AU$4&gt;$E66,MIN(AU66,$I66-SUM($J66:AU66)))</f>
        <v>0</v>
      </c>
      <c r="AW66" s="2"/>
    </row>
    <row r="67" spans="5:49" ht="15" outlineLevel="1">
      <c r="E67" s="44">
        <f>INDEX($K$4:$AV$4,,COUNT(E$65:E66)+1)</f>
        <v>33694</v>
      </c>
      <c r="G67" s="2" t="s">
        <v>105</v>
      </c>
      <c r="I67" s="2">
        <f t="shared" si="62"/>
        <v>75.575379125780543</v>
      </c>
      <c r="K67" s="2">
        <f>IF(J$4=$E67, $I67*J$55,0) + IF(J$4&gt;$E67,MIN(J67,$I67-SUM($J67:J67)))</f>
        <v>0</v>
      </c>
      <c r="L67" s="2">
        <f>IF(K$4=$E67, $I67*K$55,0) + IF(K$4&gt;$E67,MIN(K67,$I67-SUM($J67:K67)))</f>
        <v>0</v>
      </c>
      <c r="M67" s="2">
        <f>IF(L$4=$E67, $I67*L$55,0) + IF(L$4&gt;$E67,MIN(L67,$I67-SUM($J67:L67)))</f>
        <v>2.2695309046780947</v>
      </c>
      <c r="N67" s="2">
        <f>IF(M$4=$E67, $I67*M$55,0) + IF(M$4&gt;$E67,MIN(M67,$I67-SUM($J67:M67)))</f>
        <v>2.2695309046780947</v>
      </c>
      <c r="O67" s="2">
        <f>IF(N$4=$E67, $I67*N$55,0) + IF(N$4&gt;$E67,MIN(N67,$I67-SUM($J67:N67)))</f>
        <v>2.2695309046780947</v>
      </c>
      <c r="P67" s="2">
        <f>IF(O$4=$E67, $I67*O$55,0) + IF(O$4&gt;$E67,MIN(O67,$I67-SUM($J67:O67)))</f>
        <v>2.2695309046780947</v>
      </c>
      <c r="Q67" s="2">
        <f>IF(P$4=$E67, $I67*P$55,0) + IF(P$4&gt;$E67,MIN(P67,$I67-SUM($J67:P67)))</f>
        <v>2.2695309046780947</v>
      </c>
      <c r="R67" s="2">
        <f>IF(Q$4=$E67, $I67*Q$55,0) + IF(Q$4&gt;$E67,MIN(Q67,$I67-SUM($J67:Q67)))</f>
        <v>2.2695309046780947</v>
      </c>
      <c r="S67" s="2">
        <f>IF(R$4=$E67, $I67*R$55,0) + IF(R$4&gt;$E67,MIN(R67,$I67-SUM($J67:R67)))</f>
        <v>2.2695309046780947</v>
      </c>
      <c r="T67" s="2">
        <f>IF(S$4=$E67, $I67*S$55,0) + IF(S$4&gt;$E67,MIN(S67,$I67-SUM($J67:S67)))</f>
        <v>2.2695309046780947</v>
      </c>
      <c r="U67" s="2">
        <f>IF(T$4=$E67, $I67*T$55,0) + IF(T$4&gt;$E67,MIN(T67,$I67-SUM($J67:T67)))</f>
        <v>2.2695309046780947</v>
      </c>
      <c r="V67" s="2">
        <f>IF(U$4=$E67, $I67*U$55,0) + IF(U$4&gt;$E67,MIN(U67,$I67-SUM($J67:U67)))</f>
        <v>2.2695309046780947</v>
      </c>
      <c r="W67" s="2">
        <f>IF(V$4=$E67, $I67*V$55,0) + IF(V$4&gt;$E67,MIN(V67,$I67-SUM($J67:V67)))</f>
        <v>2.2695309046780947</v>
      </c>
      <c r="X67" s="2">
        <f>IF(W$4=$E67, $I67*W$55,0) + IF(W$4&gt;$E67,MIN(W67,$I67-SUM($J67:W67)))</f>
        <v>2.2695309046780947</v>
      </c>
      <c r="Y67" s="2">
        <f>IF(X$4=$E67, $I67*X$55,0) + IF(X$4&gt;$E67,MIN(X67,$I67-SUM($J67:X67)))</f>
        <v>2.2695309046780947</v>
      </c>
      <c r="Z67" s="2">
        <f>IF(Y$4=$E67, $I67*Y$55,0) + IF(Y$4&gt;$E67,MIN(Y67,$I67-SUM($J67:Y67)))</f>
        <v>2.2695309046780947</v>
      </c>
      <c r="AA67" s="2">
        <f>IF(Z$4=$E67, $I67*Z$55,0) + IF(Z$4&gt;$E67,MIN(Z67,$I67-SUM($J67:Z67)))</f>
        <v>2.2695309046780947</v>
      </c>
      <c r="AB67" s="2">
        <f>IF(AA$4=$E67, $I67*AA$55,0) + IF(AA$4&gt;$E67,MIN(AA67,$I67-SUM($J67:AA67)))</f>
        <v>2.2695309046780947</v>
      </c>
      <c r="AC67" s="2">
        <f>IF(AB$4=$E67, $I67*AB$55,0) + IF(AB$4&gt;$E67,MIN(AB67,$I67-SUM($J67:AB67)))</f>
        <v>2.2695309046780947</v>
      </c>
      <c r="AD67" s="2">
        <f>IF(AC$4=$E67, $I67*AC$55,0) + IF(AC$4&gt;$E67,MIN(AC67,$I67-SUM($J67:AC67)))</f>
        <v>2.2695309046780947</v>
      </c>
      <c r="AE67" s="2">
        <f>IF(AD$4=$E67, $I67*AD$55,0) + IF(AD$4&gt;$E67,MIN(AD67,$I67-SUM($J67:AD67)))</f>
        <v>2.2695309046780947</v>
      </c>
      <c r="AF67" s="2">
        <f>IF(AE$4=$E67, $I67*AE$55,0) + IF(AE$4&gt;$E67,MIN(AE67,$I67-SUM($J67:AE67)))</f>
        <v>2.2695309046780947</v>
      </c>
      <c r="AG67" s="2">
        <f>IF(AF$4=$E67, $I67*AF$55,0) + IF(AF$4&gt;$E67,MIN(AF67,$I67-SUM($J67:AF67)))</f>
        <v>2.2695309046780947</v>
      </c>
      <c r="AH67" s="2">
        <f>IF(AG$4=$E67, $I67*AG$55,0) + IF(AG$4&gt;$E67,MIN(AG67,$I67-SUM($J67:AG67)))</f>
        <v>2.2695309046780947</v>
      </c>
      <c r="AI67" s="2">
        <f>IF(AH$4=$E67, $I67*AH$55,0) + IF(AH$4&gt;$E67,MIN(AH67,$I67-SUM($J67:AH67)))</f>
        <v>2.2695309046780947</v>
      </c>
      <c r="AJ67" s="2">
        <f>IF(AI$4=$E67, $I67*AI$55,0) + IF(AI$4&gt;$E67,MIN(AI67,$I67-SUM($J67:AI67)))</f>
        <v>2.2695309046780947</v>
      </c>
      <c r="AK67" s="2">
        <f>IF(AJ$4=$E67, $I67*AJ$55,0) + IF(AJ$4&gt;$E67,MIN(AJ67,$I67-SUM($J67:AJ67)))</f>
        <v>2.2695309046780947</v>
      </c>
      <c r="AL67" s="2">
        <f>IF(AK$4=$E67, $I67*AK$55,0) + IF(AK$4&gt;$E67,MIN(AK67,$I67-SUM($J67:AK67)))</f>
        <v>2.2695309046780947</v>
      </c>
      <c r="AM67" s="2">
        <f>IF(AL$4=$E67, $I67*AL$55,0) + IF(AL$4&gt;$E67,MIN(AL67,$I67-SUM($J67:AL67)))</f>
        <v>2.2695309046780947</v>
      </c>
      <c r="AN67" s="2">
        <f>IF(AM$4=$E67, $I67*AM$55,0) + IF(AM$4&gt;$E67,MIN(AM67,$I67-SUM($J67:AM67)))</f>
        <v>2.2695309046780947</v>
      </c>
      <c r="AO67" s="2">
        <f>IF(AN$4=$E67, $I67*AN$55,0) + IF(AN$4&gt;$E67,MIN(AN67,$I67-SUM($J67:AN67)))</f>
        <v>2.2695309046780947</v>
      </c>
      <c r="AP67" s="2">
        <f>IF(AO$4=$E67, $I67*AO$55,0) + IF(AO$4&gt;$E67,MIN(AO67,$I67-SUM($J67:AO67)))</f>
        <v>2.2695309046780947</v>
      </c>
      <c r="AQ67" s="57">
        <f>IF(AP$4=$E67, $I67*AP$55,0) + IF(AP$4&gt;$E67,MIN(AP67,$I67-SUM($J67:AP67)))</f>
        <v>2.2695309046780947</v>
      </c>
      <c r="AR67" s="2">
        <f>IF(AQ$4=$E67, $I67*AQ$55,0) + IF(AQ$4&gt;$E67,MIN(AQ67,$I67-SUM($J67:AQ67)))</f>
        <v>2.2695309046780947</v>
      </c>
      <c r="AS67" s="2">
        <f>IF(AR$4=$E67, $I67*AR$55,0) + IF(AR$4&gt;$E67,MIN(AR67,$I67-SUM($J67:AR67)))</f>
        <v>2.2695309046780947</v>
      </c>
      <c r="AT67" s="2">
        <f>IF(AS$4=$E67, $I67*AS$55,0) + IF(AS$4&gt;$E67,MIN(AS67,$I67-SUM($J67:AS67)))</f>
        <v>0.68085927140344893</v>
      </c>
      <c r="AU67" s="2">
        <f>IF(AT$4=$E67, $I67*AT$55,0) + IF(AT$4&gt;$E67,MIN(AT67,$I67-SUM($J67:AT67)))</f>
        <v>0</v>
      </c>
      <c r="AV67" s="2">
        <f>IF(AU$4=$E67, $I67*AU$55,0) + IF(AU$4&gt;$E67,MIN(AU67,$I67-SUM($J67:AU67)))</f>
        <v>0</v>
      </c>
      <c r="AW67" s="2"/>
    </row>
    <row r="68" spans="5:49" ht="15" outlineLevel="1">
      <c r="E68" s="44">
        <f>INDEX($K$4:$AV$4,,COUNT(E$65:E67)+1)</f>
        <v>34059</v>
      </c>
      <c r="G68" s="2" t="s">
        <v>105</v>
      </c>
      <c r="I68" s="2">
        <f t="shared" si="62"/>
        <v>78.539119483654289</v>
      </c>
      <c r="K68" s="2">
        <f>IF(J$4=$E68, $I68*J$55,0) + IF(J$4&gt;$E68,MIN(J68,$I68-SUM($J68:J68)))</f>
        <v>0</v>
      </c>
      <c r="L68" s="2">
        <f>IF(K$4=$E68, $I68*K$55,0) + IF(K$4&gt;$E68,MIN(K68,$I68-SUM($J68:K68)))</f>
        <v>0</v>
      </c>
      <c r="M68" s="2">
        <f>IF(L$4=$E68, $I68*L$55,0) + IF(L$4&gt;$E68,MIN(L68,$I68-SUM($J68:L68)))</f>
        <v>0</v>
      </c>
      <c r="N68" s="2">
        <f>IF(M$4=$E68, $I68*M$55,0) + IF(M$4&gt;$E68,MIN(M68,$I68-SUM($J68:M68)))</f>
        <v>2.3585321166262552</v>
      </c>
      <c r="O68" s="2">
        <f>IF(N$4=$E68, $I68*N$55,0) + IF(N$4&gt;$E68,MIN(N68,$I68-SUM($J68:N68)))</f>
        <v>2.3585321166262552</v>
      </c>
      <c r="P68" s="2">
        <f>IF(O$4=$E68, $I68*O$55,0) + IF(O$4&gt;$E68,MIN(O68,$I68-SUM($J68:O68)))</f>
        <v>2.3585321166262552</v>
      </c>
      <c r="Q68" s="2">
        <f>IF(P$4=$E68, $I68*P$55,0) + IF(P$4&gt;$E68,MIN(P68,$I68-SUM($J68:P68)))</f>
        <v>2.3585321166262552</v>
      </c>
      <c r="R68" s="2">
        <f>IF(Q$4=$E68, $I68*Q$55,0) + IF(Q$4&gt;$E68,MIN(Q68,$I68-SUM($J68:Q68)))</f>
        <v>2.3585321166262552</v>
      </c>
      <c r="S68" s="2">
        <f>IF(R$4=$E68, $I68*R$55,0) + IF(R$4&gt;$E68,MIN(R68,$I68-SUM($J68:R68)))</f>
        <v>2.3585321166262552</v>
      </c>
      <c r="T68" s="2">
        <f>IF(S$4=$E68, $I68*S$55,0) + IF(S$4&gt;$E68,MIN(S68,$I68-SUM($J68:S68)))</f>
        <v>2.3585321166262552</v>
      </c>
      <c r="U68" s="2">
        <f>IF(T$4=$E68, $I68*T$55,0) + IF(T$4&gt;$E68,MIN(T68,$I68-SUM($J68:T68)))</f>
        <v>2.3585321166262552</v>
      </c>
      <c r="V68" s="2">
        <f>IF(U$4=$E68, $I68*U$55,0) + IF(U$4&gt;$E68,MIN(U68,$I68-SUM($J68:U68)))</f>
        <v>2.3585321166262552</v>
      </c>
      <c r="W68" s="2">
        <f>IF(V$4=$E68, $I68*V$55,0) + IF(V$4&gt;$E68,MIN(V68,$I68-SUM($J68:V68)))</f>
        <v>2.3585321166262552</v>
      </c>
      <c r="X68" s="2">
        <f>IF(W$4=$E68, $I68*W$55,0) + IF(W$4&gt;$E68,MIN(W68,$I68-SUM($J68:W68)))</f>
        <v>2.3585321166262552</v>
      </c>
      <c r="Y68" s="2">
        <f>IF(X$4=$E68, $I68*X$55,0) + IF(X$4&gt;$E68,MIN(X68,$I68-SUM($J68:X68)))</f>
        <v>2.3585321166262552</v>
      </c>
      <c r="Z68" s="2">
        <f>IF(Y$4=$E68, $I68*Y$55,0) + IF(Y$4&gt;$E68,MIN(Y68,$I68-SUM($J68:Y68)))</f>
        <v>2.3585321166262552</v>
      </c>
      <c r="AA68" s="2">
        <f>IF(Z$4=$E68, $I68*Z$55,0) + IF(Z$4&gt;$E68,MIN(Z68,$I68-SUM($J68:Z68)))</f>
        <v>2.3585321166262552</v>
      </c>
      <c r="AB68" s="2">
        <f>IF(AA$4=$E68, $I68*AA$55,0) + IF(AA$4&gt;$E68,MIN(AA68,$I68-SUM($J68:AA68)))</f>
        <v>2.3585321166262552</v>
      </c>
      <c r="AC68" s="2">
        <f>IF(AB$4=$E68, $I68*AB$55,0) + IF(AB$4&gt;$E68,MIN(AB68,$I68-SUM($J68:AB68)))</f>
        <v>2.3585321166262552</v>
      </c>
      <c r="AD68" s="2">
        <f>IF(AC$4=$E68, $I68*AC$55,0) + IF(AC$4&gt;$E68,MIN(AC68,$I68-SUM($J68:AC68)))</f>
        <v>2.3585321166262552</v>
      </c>
      <c r="AE68" s="2">
        <f>IF(AD$4=$E68, $I68*AD$55,0) + IF(AD$4&gt;$E68,MIN(AD68,$I68-SUM($J68:AD68)))</f>
        <v>2.3585321166262552</v>
      </c>
      <c r="AF68" s="2">
        <f>IF(AE$4=$E68, $I68*AE$55,0) + IF(AE$4&gt;$E68,MIN(AE68,$I68-SUM($J68:AE68)))</f>
        <v>2.3585321166262552</v>
      </c>
      <c r="AG68" s="2">
        <f>IF(AF$4=$E68, $I68*AF$55,0) + IF(AF$4&gt;$E68,MIN(AF68,$I68-SUM($J68:AF68)))</f>
        <v>2.3585321166262552</v>
      </c>
      <c r="AH68" s="2">
        <f>IF(AG$4=$E68, $I68*AG$55,0) + IF(AG$4&gt;$E68,MIN(AG68,$I68-SUM($J68:AG68)))</f>
        <v>2.3585321166262552</v>
      </c>
      <c r="AI68" s="2">
        <f>IF(AH$4=$E68, $I68*AH$55,0) + IF(AH$4&gt;$E68,MIN(AH68,$I68-SUM($J68:AH68)))</f>
        <v>2.3585321166262552</v>
      </c>
      <c r="AJ68" s="2">
        <f>IF(AI$4=$E68, $I68*AI$55,0) + IF(AI$4&gt;$E68,MIN(AI68,$I68-SUM($J68:AI68)))</f>
        <v>2.3585321166262552</v>
      </c>
      <c r="AK68" s="2">
        <f>IF(AJ$4=$E68, $I68*AJ$55,0) + IF(AJ$4&gt;$E68,MIN(AJ68,$I68-SUM($J68:AJ68)))</f>
        <v>2.3585321166262552</v>
      </c>
      <c r="AL68" s="2">
        <f>IF(AK$4=$E68, $I68*AK$55,0) + IF(AK$4&gt;$E68,MIN(AK68,$I68-SUM($J68:AK68)))</f>
        <v>2.3585321166262552</v>
      </c>
      <c r="AM68" s="2">
        <f>IF(AL$4=$E68, $I68*AL$55,0) + IF(AL$4&gt;$E68,MIN(AL68,$I68-SUM($J68:AL68)))</f>
        <v>2.3585321166262552</v>
      </c>
      <c r="AN68" s="2">
        <f>IF(AM$4=$E68, $I68*AM$55,0) + IF(AM$4&gt;$E68,MIN(AM68,$I68-SUM($J68:AM68)))</f>
        <v>2.3585321166262552</v>
      </c>
      <c r="AO68" s="2">
        <f>IF(AN$4=$E68, $I68*AN$55,0) + IF(AN$4&gt;$E68,MIN(AN68,$I68-SUM($J68:AN68)))</f>
        <v>2.3585321166262552</v>
      </c>
      <c r="AP68" s="2">
        <f>IF(AO$4=$E68, $I68*AO$55,0) + IF(AO$4&gt;$E68,MIN(AO68,$I68-SUM($J68:AO68)))</f>
        <v>2.3585321166262552</v>
      </c>
      <c r="AQ68" s="57">
        <f>IF(AP$4=$E68, $I68*AP$55,0) + IF(AP$4&gt;$E68,MIN(AP68,$I68-SUM($J68:AP68)))</f>
        <v>2.3585321166262552</v>
      </c>
      <c r="AR68" s="2">
        <f>IF(AQ$4=$E68, $I68*AQ$55,0) + IF(AQ$4&gt;$E68,MIN(AQ68,$I68-SUM($J68:AQ68)))</f>
        <v>2.3585321166262552</v>
      </c>
      <c r="AS68" s="2">
        <f>IF(AR$4=$E68, $I68*AR$55,0) + IF(AR$4&gt;$E68,MIN(AR68,$I68-SUM($J68:AR68)))</f>
        <v>2.3585321166262552</v>
      </c>
      <c r="AT68" s="2">
        <f>IF(AS$4=$E68, $I68*AS$55,0) + IF(AS$4&gt;$E68,MIN(AS68,$I68-SUM($J68:AS68)))</f>
        <v>2.3585321166262552</v>
      </c>
      <c r="AU68" s="2">
        <f>IF(AT$4=$E68, $I68*AT$55,0) + IF(AT$4&gt;$E68,MIN(AT68,$I68-SUM($J68:AT68)))</f>
        <v>0.70755963498787366</v>
      </c>
      <c r="AV68" s="2">
        <f>IF(AU$4=$E68, $I68*AU$55,0) + IF(AU$4&gt;$E68,MIN(AU68,$I68-SUM($J68:AU68)))</f>
        <v>0</v>
      </c>
      <c r="AW68" s="2"/>
    </row>
    <row r="69" spans="5:49" ht="15" outlineLevel="1">
      <c r="E69" s="44">
        <f>INDEX($K$4:$AV$4,,COUNT(E$65:E68)+1)</f>
        <v>34424</v>
      </c>
      <c r="G69" s="2" t="s">
        <v>105</v>
      </c>
      <c r="I69" s="2">
        <f t="shared" si="62"/>
        <v>89.097444508579528</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2.6755989341915778</v>
      </c>
      <c r="P69" s="2">
        <f>IF(O$4=$E69, $I69*O$55,0) + IF(O$4&gt;$E69,MIN(O69,$I69-SUM($J69:O69)))</f>
        <v>2.6755989341915778</v>
      </c>
      <c r="Q69" s="2">
        <f>IF(P$4=$E69, $I69*P$55,0) + IF(P$4&gt;$E69,MIN(P69,$I69-SUM($J69:P69)))</f>
        <v>2.6755989341915778</v>
      </c>
      <c r="R69" s="2">
        <f>IF(Q$4=$E69, $I69*Q$55,0) + IF(Q$4&gt;$E69,MIN(Q69,$I69-SUM($J69:Q69)))</f>
        <v>2.6755989341915778</v>
      </c>
      <c r="S69" s="2">
        <f>IF(R$4=$E69, $I69*R$55,0) + IF(R$4&gt;$E69,MIN(R69,$I69-SUM($J69:R69)))</f>
        <v>2.6755989341915778</v>
      </c>
      <c r="T69" s="2">
        <f>IF(S$4=$E69, $I69*S$55,0) + IF(S$4&gt;$E69,MIN(S69,$I69-SUM($J69:S69)))</f>
        <v>2.6755989341915778</v>
      </c>
      <c r="U69" s="2">
        <f>IF(T$4=$E69, $I69*T$55,0) + IF(T$4&gt;$E69,MIN(T69,$I69-SUM($J69:T69)))</f>
        <v>2.6755989341915778</v>
      </c>
      <c r="V69" s="2">
        <f>IF(U$4=$E69, $I69*U$55,0) + IF(U$4&gt;$E69,MIN(U69,$I69-SUM($J69:U69)))</f>
        <v>2.6755989341915778</v>
      </c>
      <c r="W69" s="2">
        <f>IF(V$4=$E69, $I69*V$55,0) + IF(V$4&gt;$E69,MIN(V69,$I69-SUM($J69:V69)))</f>
        <v>2.6755989341915778</v>
      </c>
      <c r="X69" s="2">
        <f>IF(W$4=$E69, $I69*W$55,0) + IF(W$4&gt;$E69,MIN(W69,$I69-SUM($J69:W69)))</f>
        <v>2.6755989341915778</v>
      </c>
      <c r="Y69" s="2">
        <f>IF(X$4=$E69, $I69*X$55,0) + IF(X$4&gt;$E69,MIN(X69,$I69-SUM($J69:X69)))</f>
        <v>2.6755989341915778</v>
      </c>
      <c r="Z69" s="2">
        <f>IF(Y$4=$E69, $I69*Y$55,0) + IF(Y$4&gt;$E69,MIN(Y69,$I69-SUM($J69:Y69)))</f>
        <v>2.6755989341915778</v>
      </c>
      <c r="AA69" s="2">
        <f>IF(Z$4=$E69, $I69*Z$55,0) + IF(Z$4&gt;$E69,MIN(Z69,$I69-SUM($J69:Z69)))</f>
        <v>2.6755989341915778</v>
      </c>
      <c r="AB69" s="2">
        <f>IF(AA$4=$E69, $I69*AA$55,0) + IF(AA$4&gt;$E69,MIN(AA69,$I69-SUM($J69:AA69)))</f>
        <v>2.6755989341915778</v>
      </c>
      <c r="AC69" s="2">
        <f>IF(AB$4=$E69, $I69*AB$55,0) + IF(AB$4&gt;$E69,MIN(AB69,$I69-SUM($J69:AB69)))</f>
        <v>2.6755989341915778</v>
      </c>
      <c r="AD69" s="2">
        <f>IF(AC$4=$E69, $I69*AC$55,0) + IF(AC$4&gt;$E69,MIN(AC69,$I69-SUM($J69:AC69)))</f>
        <v>2.6755989341915778</v>
      </c>
      <c r="AE69" s="2">
        <f>IF(AD$4=$E69, $I69*AD$55,0) + IF(AD$4&gt;$E69,MIN(AD69,$I69-SUM($J69:AD69)))</f>
        <v>2.6755989341915778</v>
      </c>
      <c r="AF69" s="2">
        <f>IF(AE$4=$E69, $I69*AE$55,0) + IF(AE$4&gt;$E69,MIN(AE69,$I69-SUM($J69:AE69)))</f>
        <v>2.6755989341915778</v>
      </c>
      <c r="AG69" s="2">
        <f>IF(AF$4=$E69, $I69*AF$55,0) + IF(AF$4&gt;$E69,MIN(AF69,$I69-SUM($J69:AF69)))</f>
        <v>2.6755989341915778</v>
      </c>
      <c r="AH69" s="2">
        <f>IF(AG$4=$E69, $I69*AG$55,0) + IF(AG$4&gt;$E69,MIN(AG69,$I69-SUM($J69:AG69)))</f>
        <v>2.6755989341915778</v>
      </c>
      <c r="AI69" s="2">
        <f>IF(AH$4=$E69, $I69*AH$55,0) + IF(AH$4&gt;$E69,MIN(AH69,$I69-SUM($J69:AH69)))</f>
        <v>2.6755989341915778</v>
      </c>
      <c r="AJ69" s="2">
        <f>IF(AI$4=$E69, $I69*AI$55,0) + IF(AI$4&gt;$E69,MIN(AI69,$I69-SUM($J69:AI69)))</f>
        <v>2.6755989341915778</v>
      </c>
      <c r="AK69" s="2">
        <f>IF(AJ$4=$E69, $I69*AJ$55,0) + IF(AJ$4&gt;$E69,MIN(AJ69,$I69-SUM($J69:AJ69)))</f>
        <v>2.6755989341915778</v>
      </c>
      <c r="AL69" s="2">
        <f>IF(AK$4=$E69, $I69*AK$55,0) + IF(AK$4&gt;$E69,MIN(AK69,$I69-SUM($J69:AK69)))</f>
        <v>2.6755989341915778</v>
      </c>
      <c r="AM69" s="2">
        <f>IF(AL$4=$E69, $I69*AL$55,0) + IF(AL$4&gt;$E69,MIN(AL69,$I69-SUM($J69:AL69)))</f>
        <v>2.6755989341915778</v>
      </c>
      <c r="AN69" s="2">
        <f>IF(AM$4=$E69, $I69*AM$55,0) + IF(AM$4&gt;$E69,MIN(AM69,$I69-SUM($J69:AM69)))</f>
        <v>2.6755989341915778</v>
      </c>
      <c r="AO69" s="2">
        <f>IF(AN$4=$E69, $I69*AN$55,0) + IF(AN$4&gt;$E69,MIN(AN69,$I69-SUM($J69:AN69)))</f>
        <v>2.6755989341915778</v>
      </c>
      <c r="AP69" s="2">
        <f>IF(AO$4=$E69, $I69*AO$55,0) + IF(AO$4&gt;$E69,MIN(AO69,$I69-SUM($J69:AO69)))</f>
        <v>2.6755989341915778</v>
      </c>
      <c r="AQ69" s="57">
        <f>IF(AP$4=$E69, $I69*AP$55,0) + IF(AP$4&gt;$E69,MIN(AP69,$I69-SUM($J69:AP69)))</f>
        <v>2.6755989341915778</v>
      </c>
      <c r="AR69" s="2">
        <f>IF(AQ$4=$E69, $I69*AQ$55,0) + IF(AQ$4&gt;$E69,MIN(AQ69,$I69-SUM($J69:AQ69)))</f>
        <v>2.6755989341915778</v>
      </c>
      <c r="AS69" s="2">
        <f>IF(AR$4=$E69, $I69*AR$55,0) + IF(AR$4&gt;$E69,MIN(AR69,$I69-SUM($J69:AR69)))</f>
        <v>2.6755989341915778</v>
      </c>
      <c r="AT69" s="2">
        <f>IF(AS$4=$E69, $I69*AS$55,0) + IF(AS$4&gt;$E69,MIN(AS69,$I69-SUM($J69:AS69)))</f>
        <v>2.6755989341915778</v>
      </c>
      <c r="AU69" s="2">
        <f>IF(AT$4=$E69, $I69*AT$55,0) + IF(AT$4&gt;$E69,MIN(AT69,$I69-SUM($J69:AT69)))</f>
        <v>2.6755989341915778</v>
      </c>
      <c r="AV69" s="2">
        <f>IF(AU$4=$E69, $I69*AU$55,0) + IF(AU$4&gt;$E69,MIN(AU69,$I69-SUM($J69:AU69)))</f>
        <v>0.80267968025742675</v>
      </c>
      <c r="AW69" s="2"/>
    </row>
    <row r="70" spans="5:49" ht="15" outlineLevel="1">
      <c r="E70" s="44">
        <f>INDEX($K$4:$AV$4,,COUNT(E$65:E69)+1)</f>
        <v>34789</v>
      </c>
      <c r="G70" s="2" t="s">
        <v>105</v>
      </c>
      <c r="I70" s="2">
        <f t="shared" si="62"/>
        <v>105.21278270451801</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3.1595430241597002</v>
      </c>
      <c r="Q70" s="2">
        <f>IF(P$4=$E70, $I70*P$55,0) + IF(P$4&gt;$E70,MIN(P70,$I70-SUM($J70:P70)))</f>
        <v>3.1595430241597002</v>
      </c>
      <c r="R70" s="2">
        <f>IF(Q$4=$E70, $I70*Q$55,0) + IF(Q$4&gt;$E70,MIN(Q70,$I70-SUM($J70:Q70)))</f>
        <v>3.1595430241597002</v>
      </c>
      <c r="S70" s="2">
        <f>IF(R$4=$E70, $I70*R$55,0) + IF(R$4&gt;$E70,MIN(R70,$I70-SUM($J70:R70)))</f>
        <v>3.1595430241597002</v>
      </c>
      <c r="T70" s="2">
        <f>IF(S$4=$E70, $I70*S$55,0) + IF(S$4&gt;$E70,MIN(S70,$I70-SUM($J70:S70)))</f>
        <v>3.1595430241597002</v>
      </c>
      <c r="U70" s="2">
        <f>IF(T$4=$E70, $I70*T$55,0) + IF(T$4&gt;$E70,MIN(T70,$I70-SUM($J70:T70)))</f>
        <v>3.1595430241597002</v>
      </c>
      <c r="V70" s="2">
        <f>IF(U$4=$E70, $I70*U$55,0) + IF(U$4&gt;$E70,MIN(U70,$I70-SUM($J70:U70)))</f>
        <v>3.1595430241597002</v>
      </c>
      <c r="W70" s="2">
        <f>IF(V$4=$E70, $I70*V$55,0) + IF(V$4&gt;$E70,MIN(V70,$I70-SUM($J70:V70)))</f>
        <v>3.1595430241597002</v>
      </c>
      <c r="X70" s="2">
        <f>IF(W$4=$E70, $I70*W$55,0) + IF(W$4&gt;$E70,MIN(W70,$I70-SUM($J70:W70)))</f>
        <v>3.1595430241597002</v>
      </c>
      <c r="Y70" s="2">
        <f>IF(X$4=$E70, $I70*X$55,0) + IF(X$4&gt;$E70,MIN(X70,$I70-SUM($J70:X70)))</f>
        <v>3.1595430241597002</v>
      </c>
      <c r="Z70" s="2">
        <f>IF(Y$4=$E70, $I70*Y$55,0) + IF(Y$4&gt;$E70,MIN(Y70,$I70-SUM($J70:Y70)))</f>
        <v>3.1595430241597002</v>
      </c>
      <c r="AA70" s="2">
        <f>IF(Z$4=$E70, $I70*Z$55,0) + IF(Z$4&gt;$E70,MIN(Z70,$I70-SUM($J70:Z70)))</f>
        <v>3.1595430241597002</v>
      </c>
      <c r="AB70" s="2">
        <f>IF(AA$4=$E70, $I70*AA$55,0) + IF(AA$4&gt;$E70,MIN(AA70,$I70-SUM($J70:AA70)))</f>
        <v>3.1595430241597002</v>
      </c>
      <c r="AC70" s="2">
        <f>IF(AB$4=$E70, $I70*AB$55,0) + IF(AB$4&gt;$E70,MIN(AB70,$I70-SUM($J70:AB70)))</f>
        <v>3.1595430241597002</v>
      </c>
      <c r="AD70" s="2">
        <f>IF(AC$4=$E70, $I70*AC$55,0) + IF(AC$4&gt;$E70,MIN(AC70,$I70-SUM($J70:AC70)))</f>
        <v>3.1595430241597002</v>
      </c>
      <c r="AE70" s="2">
        <f>IF(AD$4=$E70, $I70*AD$55,0) + IF(AD$4&gt;$E70,MIN(AD70,$I70-SUM($J70:AD70)))</f>
        <v>3.1595430241597002</v>
      </c>
      <c r="AF70" s="2">
        <f>IF(AE$4=$E70, $I70*AE$55,0) + IF(AE$4&gt;$E70,MIN(AE70,$I70-SUM($J70:AE70)))</f>
        <v>3.1595430241597002</v>
      </c>
      <c r="AG70" s="2">
        <f>IF(AF$4=$E70, $I70*AF$55,0) + IF(AF$4&gt;$E70,MIN(AF70,$I70-SUM($J70:AF70)))</f>
        <v>3.1595430241597002</v>
      </c>
      <c r="AH70" s="2">
        <f>IF(AG$4=$E70, $I70*AG$55,0) + IF(AG$4&gt;$E70,MIN(AG70,$I70-SUM($J70:AG70)))</f>
        <v>3.1595430241597002</v>
      </c>
      <c r="AI70" s="2">
        <f>IF(AH$4=$E70, $I70*AH$55,0) + IF(AH$4&gt;$E70,MIN(AH70,$I70-SUM($J70:AH70)))</f>
        <v>3.1595430241597002</v>
      </c>
      <c r="AJ70" s="2">
        <f>IF(AI$4=$E70, $I70*AI$55,0) + IF(AI$4&gt;$E70,MIN(AI70,$I70-SUM($J70:AI70)))</f>
        <v>3.1595430241597002</v>
      </c>
      <c r="AK70" s="2">
        <f>IF(AJ$4=$E70, $I70*AJ$55,0) + IF(AJ$4&gt;$E70,MIN(AJ70,$I70-SUM($J70:AJ70)))</f>
        <v>3.1595430241597002</v>
      </c>
      <c r="AL70" s="2">
        <f>IF(AK$4=$E70, $I70*AK$55,0) + IF(AK$4&gt;$E70,MIN(AK70,$I70-SUM($J70:AK70)))</f>
        <v>3.1595430241597002</v>
      </c>
      <c r="AM70" s="2">
        <f>IF(AL$4=$E70, $I70*AL$55,0) + IF(AL$4&gt;$E70,MIN(AL70,$I70-SUM($J70:AL70)))</f>
        <v>3.1595430241597002</v>
      </c>
      <c r="AN70" s="2">
        <f>IF(AM$4=$E70, $I70*AM$55,0) + IF(AM$4&gt;$E70,MIN(AM70,$I70-SUM($J70:AM70)))</f>
        <v>3.1595430241597002</v>
      </c>
      <c r="AO70" s="2">
        <f>IF(AN$4=$E70, $I70*AN$55,0) + IF(AN$4&gt;$E70,MIN(AN70,$I70-SUM($J70:AN70)))</f>
        <v>3.1595430241597002</v>
      </c>
      <c r="AP70" s="2">
        <f>IF(AO$4=$E70, $I70*AO$55,0) + IF(AO$4&gt;$E70,MIN(AO70,$I70-SUM($J70:AO70)))</f>
        <v>3.1595430241597002</v>
      </c>
      <c r="AQ70" s="57">
        <f>IF(AP$4=$E70, $I70*AP$55,0) + IF(AP$4&gt;$E70,MIN(AP70,$I70-SUM($J70:AP70)))</f>
        <v>3.1595430241597002</v>
      </c>
      <c r="AR70" s="2">
        <f>IF(AQ$4=$E70, $I70*AQ$55,0) + IF(AQ$4&gt;$E70,MIN(AQ70,$I70-SUM($J70:AQ70)))</f>
        <v>3.1595430241597002</v>
      </c>
      <c r="AS70" s="2">
        <f>IF(AR$4=$E70, $I70*AR$55,0) + IF(AR$4&gt;$E70,MIN(AR70,$I70-SUM($J70:AR70)))</f>
        <v>3.1595430241597002</v>
      </c>
      <c r="AT70" s="2">
        <f>IF(AS$4=$E70, $I70*AS$55,0) + IF(AS$4&gt;$E70,MIN(AS70,$I70-SUM($J70:AS70)))</f>
        <v>3.1595430241597002</v>
      </c>
      <c r="AU70" s="2">
        <f>IF(AT$4=$E70, $I70*AT$55,0) + IF(AT$4&gt;$E70,MIN(AT70,$I70-SUM($J70:AT70)))</f>
        <v>3.1595430241597002</v>
      </c>
      <c r="AV70" s="2">
        <f>IF(AU$4=$E70, $I70*AU$55,0) + IF(AU$4&gt;$E70,MIN(AU70,$I70-SUM($J70:AU70)))</f>
        <v>3.1595430241597002</v>
      </c>
      <c r="AW70" s="2"/>
    </row>
    <row r="71" spans="5:49" ht="15" outlineLevel="1">
      <c r="E71" s="44">
        <f>INDEX($K$4:$AV$4,,COUNT(E$65:E70)+1)</f>
        <v>35155</v>
      </c>
      <c r="G71" s="2" t="s">
        <v>105</v>
      </c>
      <c r="I71" s="2">
        <f t="shared" si="62"/>
        <v>77.61295062181874</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2.3307192378924548</v>
      </c>
      <c r="R71" s="2">
        <f>IF(Q$4=$E71, $I71*Q$55,0) + IF(Q$4&gt;$E71,MIN(Q71,$I71-SUM($J71:Q71)))</f>
        <v>2.3307192378924548</v>
      </c>
      <c r="S71" s="2">
        <f>IF(R$4=$E71, $I71*R$55,0) + IF(R$4&gt;$E71,MIN(R71,$I71-SUM($J71:R71)))</f>
        <v>2.3307192378924548</v>
      </c>
      <c r="T71" s="2">
        <f>IF(S$4=$E71, $I71*S$55,0) + IF(S$4&gt;$E71,MIN(S71,$I71-SUM($J71:S71)))</f>
        <v>2.3307192378924548</v>
      </c>
      <c r="U71" s="2">
        <f>IF(T$4=$E71, $I71*T$55,0) + IF(T$4&gt;$E71,MIN(T71,$I71-SUM($J71:T71)))</f>
        <v>2.3307192378924548</v>
      </c>
      <c r="V71" s="2">
        <f>IF(U$4=$E71, $I71*U$55,0) + IF(U$4&gt;$E71,MIN(U71,$I71-SUM($J71:U71)))</f>
        <v>2.3307192378924548</v>
      </c>
      <c r="W71" s="2">
        <f>IF(V$4=$E71, $I71*V$55,0) + IF(V$4&gt;$E71,MIN(V71,$I71-SUM($J71:V71)))</f>
        <v>2.3307192378924548</v>
      </c>
      <c r="X71" s="2">
        <f>IF(W$4=$E71, $I71*W$55,0) + IF(W$4&gt;$E71,MIN(W71,$I71-SUM($J71:W71)))</f>
        <v>2.3307192378924548</v>
      </c>
      <c r="Y71" s="2">
        <f>IF(X$4=$E71, $I71*X$55,0) + IF(X$4&gt;$E71,MIN(X71,$I71-SUM($J71:X71)))</f>
        <v>2.3307192378924548</v>
      </c>
      <c r="Z71" s="2">
        <f>IF(Y$4=$E71, $I71*Y$55,0) + IF(Y$4&gt;$E71,MIN(Y71,$I71-SUM($J71:Y71)))</f>
        <v>2.3307192378924548</v>
      </c>
      <c r="AA71" s="2">
        <f>IF(Z$4=$E71, $I71*Z$55,0) + IF(Z$4&gt;$E71,MIN(Z71,$I71-SUM($J71:Z71)))</f>
        <v>2.3307192378924548</v>
      </c>
      <c r="AB71" s="2">
        <f>IF(AA$4=$E71, $I71*AA$55,0) + IF(AA$4&gt;$E71,MIN(AA71,$I71-SUM($J71:AA71)))</f>
        <v>2.3307192378924548</v>
      </c>
      <c r="AC71" s="2">
        <f>IF(AB$4=$E71, $I71*AB$55,0) + IF(AB$4&gt;$E71,MIN(AB71,$I71-SUM($J71:AB71)))</f>
        <v>2.3307192378924548</v>
      </c>
      <c r="AD71" s="2">
        <f>IF(AC$4=$E71, $I71*AC$55,0) + IF(AC$4&gt;$E71,MIN(AC71,$I71-SUM($J71:AC71)))</f>
        <v>2.3307192378924548</v>
      </c>
      <c r="AE71" s="2">
        <f>IF(AD$4=$E71, $I71*AD$55,0) + IF(AD$4&gt;$E71,MIN(AD71,$I71-SUM($J71:AD71)))</f>
        <v>2.3307192378924548</v>
      </c>
      <c r="AF71" s="2">
        <f>IF(AE$4=$E71, $I71*AE$55,0) + IF(AE$4&gt;$E71,MIN(AE71,$I71-SUM($J71:AE71)))</f>
        <v>2.3307192378924548</v>
      </c>
      <c r="AG71" s="2">
        <f>IF(AF$4=$E71, $I71*AF$55,0) + IF(AF$4&gt;$E71,MIN(AF71,$I71-SUM($J71:AF71)))</f>
        <v>2.3307192378924548</v>
      </c>
      <c r="AH71" s="2">
        <f>IF(AG$4=$E71, $I71*AG$55,0) + IF(AG$4&gt;$E71,MIN(AG71,$I71-SUM($J71:AG71)))</f>
        <v>2.3307192378924548</v>
      </c>
      <c r="AI71" s="2">
        <f>IF(AH$4=$E71, $I71*AH$55,0) + IF(AH$4&gt;$E71,MIN(AH71,$I71-SUM($J71:AH71)))</f>
        <v>2.3307192378924548</v>
      </c>
      <c r="AJ71" s="2">
        <f>IF(AI$4=$E71, $I71*AI$55,0) + IF(AI$4&gt;$E71,MIN(AI71,$I71-SUM($J71:AI71)))</f>
        <v>2.3307192378924548</v>
      </c>
      <c r="AK71" s="2">
        <f>IF(AJ$4=$E71, $I71*AJ$55,0) + IF(AJ$4&gt;$E71,MIN(AJ71,$I71-SUM($J71:AJ71)))</f>
        <v>2.3307192378924548</v>
      </c>
      <c r="AL71" s="2">
        <f>IF(AK$4=$E71, $I71*AK$55,0) + IF(AK$4&gt;$E71,MIN(AK71,$I71-SUM($J71:AK71)))</f>
        <v>2.3307192378924548</v>
      </c>
      <c r="AM71" s="2">
        <f>IF(AL$4=$E71, $I71*AL$55,0) + IF(AL$4&gt;$E71,MIN(AL71,$I71-SUM($J71:AL71)))</f>
        <v>2.3307192378924548</v>
      </c>
      <c r="AN71" s="2">
        <f>IF(AM$4=$E71, $I71*AM$55,0) + IF(AM$4&gt;$E71,MIN(AM71,$I71-SUM($J71:AM71)))</f>
        <v>2.3307192378924548</v>
      </c>
      <c r="AO71" s="2">
        <f>IF(AN$4=$E71, $I71*AN$55,0) + IF(AN$4&gt;$E71,MIN(AN71,$I71-SUM($J71:AN71)))</f>
        <v>2.3307192378924548</v>
      </c>
      <c r="AP71" s="2">
        <f>IF(AO$4=$E71, $I71*AO$55,0) + IF(AO$4&gt;$E71,MIN(AO71,$I71-SUM($J71:AO71)))</f>
        <v>2.3307192378924548</v>
      </c>
      <c r="AQ71" s="57">
        <f>IF(AP$4=$E71, $I71*AP$55,0) + IF(AP$4&gt;$E71,MIN(AP71,$I71-SUM($J71:AP71)))</f>
        <v>2.3307192378924548</v>
      </c>
      <c r="AR71" s="2">
        <f>IF(AQ$4=$E71, $I71*AQ$55,0) + IF(AQ$4&gt;$E71,MIN(AQ71,$I71-SUM($J71:AQ71)))</f>
        <v>2.3307192378924548</v>
      </c>
      <c r="AS71" s="2">
        <f>IF(AR$4=$E71, $I71*AR$55,0) + IF(AR$4&gt;$E71,MIN(AR71,$I71-SUM($J71:AR71)))</f>
        <v>2.3307192378924548</v>
      </c>
      <c r="AT71" s="2">
        <f>IF(AS$4=$E71, $I71*AS$55,0) + IF(AS$4&gt;$E71,MIN(AS71,$I71-SUM($J71:AS71)))</f>
        <v>2.3307192378924548</v>
      </c>
      <c r="AU71" s="2">
        <f>IF(AT$4=$E71, $I71*AT$55,0) + IF(AT$4&gt;$E71,MIN(AT71,$I71-SUM($J71:AT71)))</f>
        <v>2.3307192378924548</v>
      </c>
      <c r="AV71" s="2">
        <f>IF(AU$4=$E71, $I71*AU$55,0) + IF(AU$4&gt;$E71,MIN(AU71,$I71-SUM($J71:AU71)))</f>
        <v>2.3307192378924548</v>
      </c>
      <c r="AW71" s="2"/>
    </row>
    <row r="72" spans="5:49" ht="15" outlineLevel="1">
      <c r="E72" s="44">
        <f>INDEX($K$4:$AV$4,,COUNT(E$65:E71)+1)</f>
        <v>35520</v>
      </c>
      <c r="G72" s="2" t="s">
        <v>105</v>
      </c>
      <c r="I72" s="2">
        <f t="shared" si="62"/>
        <v>83.169963792832021</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2.497596510295256</v>
      </c>
      <c r="S72" s="2">
        <f>IF(R$4=$E72, $I72*R$55,0) + IF(R$4&gt;$E72,MIN(R72,$I72-SUM($J72:R72)))</f>
        <v>2.497596510295256</v>
      </c>
      <c r="T72" s="2">
        <f>IF(S$4=$E72, $I72*S$55,0) + IF(S$4&gt;$E72,MIN(S72,$I72-SUM($J72:S72)))</f>
        <v>2.497596510295256</v>
      </c>
      <c r="U72" s="2">
        <f>IF(T$4=$E72, $I72*T$55,0) + IF(T$4&gt;$E72,MIN(T72,$I72-SUM($J72:T72)))</f>
        <v>2.497596510295256</v>
      </c>
      <c r="V72" s="2">
        <f>IF(U$4=$E72, $I72*U$55,0) + IF(U$4&gt;$E72,MIN(U72,$I72-SUM($J72:U72)))</f>
        <v>2.497596510295256</v>
      </c>
      <c r="W72" s="2">
        <f>IF(V$4=$E72, $I72*V$55,0) + IF(V$4&gt;$E72,MIN(V72,$I72-SUM($J72:V72)))</f>
        <v>2.497596510295256</v>
      </c>
      <c r="X72" s="2">
        <f>IF(W$4=$E72, $I72*W$55,0) + IF(W$4&gt;$E72,MIN(W72,$I72-SUM($J72:W72)))</f>
        <v>2.497596510295256</v>
      </c>
      <c r="Y72" s="2">
        <f>IF(X$4=$E72, $I72*X$55,0) + IF(X$4&gt;$E72,MIN(X72,$I72-SUM($J72:X72)))</f>
        <v>2.497596510295256</v>
      </c>
      <c r="Z72" s="2">
        <f>IF(Y$4=$E72, $I72*Y$55,0) + IF(Y$4&gt;$E72,MIN(Y72,$I72-SUM($J72:Y72)))</f>
        <v>2.497596510295256</v>
      </c>
      <c r="AA72" s="2">
        <f>IF(Z$4=$E72, $I72*Z$55,0) + IF(Z$4&gt;$E72,MIN(Z72,$I72-SUM($J72:Z72)))</f>
        <v>2.497596510295256</v>
      </c>
      <c r="AB72" s="2">
        <f>IF(AA$4=$E72, $I72*AA$55,0) + IF(AA$4&gt;$E72,MIN(AA72,$I72-SUM($J72:AA72)))</f>
        <v>2.497596510295256</v>
      </c>
      <c r="AC72" s="2">
        <f>IF(AB$4=$E72, $I72*AB$55,0) + IF(AB$4&gt;$E72,MIN(AB72,$I72-SUM($J72:AB72)))</f>
        <v>2.497596510295256</v>
      </c>
      <c r="AD72" s="2">
        <f>IF(AC$4=$E72, $I72*AC$55,0) + IF(AC$4&gt;$E72,MIN(AC72,$I72-SUM($J72:AC72)))</f>
        <v>2.497596510295256</v>
      </c>
      <c r="AE72" s="2">
        <f>IF(AD$4=$E72, $I72*AD$55,0) + IF(AD$4&gt;$E72,MIN(AD72,$I72-SUM($J72:AD72)))</f>
        <v>2.497596510295256</v>
      </c>
      <c r="AF72" s="2">
        <f>IF(AE$4=$E72, $I72*AE$55,0) + IF(AE$4&gt;$E72,MIN(AE72,$I72-SUM($J72:AE72)))</f>
        <v>2.497596510295256</v>
      </c>
      <c r="AG72" s="2">
        <f>IF(AF$4=$E72, $I72*AF$55,0) + IF(AF$4&gt;$E72,MIN(AF72,$I72-SUM($J72:AF72)))</f>
        <v>2.497596510295256</v>
      </c>
      <c r="AH72" s="2">
        <f>IF(AG$4=$E72, $I72*AG$55,0) + IF(AG$4&gt;$E72,MIN(AG72,$I72-SUM($J72:AG72)))</f>
        <v>2.497596510295256</v>
      </c>
      <c r="AI72" s="2">
        <f>IF(AH$4=$E72, $I72*AH$55,0) + IF(AH$4&gt;$E72,MIN(AH72,$I72-SUM($J72:AH72)))</f>
        <v>2.497596510295256</v>
      </c>
      <c r="AJ72" s="2">
        <f>IF(AI$4=$E72, $I72*AI$55,0) + IF(AI$4&gt;$E72,MIN(AI72,$I72-SUM($J72:AI72)))</f>
        <v>2.497596510295256</v>
      </c>
      <c r="AK72" s="2">
        <f>IF(AJ$4=$E72, $I72*AJ$55,0) + IF(AJ$4&gt;$E72,MIN(AJ72,$I72-SUM($J72:AJ72)))</f>
        <v>2.497596510295256</v>
      </c>
      <c r="AL72" s="2">
        <f>IF(AK$4=$E72, $I72*AK$55,0) + IF(AK$4&gt;$E72,MIN(AK72,$I72-SUM($J72:AK72)))</f>
        <v>2.497596510295256</v>
      </c>
      <c r="AM72" s="2">
        <f>IF(AL$4=$E72, $I72*AL$55,0) + IF(AL$4&gt;$E72,MIN(AL72,$I72-SUM($J72:AL72)))</f>
        <v>2.497596510295256</v>
      </c>
      <c r="AN72" s="2">
        <f>IF(AM$4=$E72, $I72*AM$55,0) + IF(AM$4&gt;$E72,MIN(AM72,$I72-SUM($J72:AM72)))</f>
        <v>2.497596510295256</v>
      </c>
      <c r="AO72" s="2">
        <f>IF(AN$4=$E72, $I72*AN$55,0) + IF(AN$4&gt;$E72,MIN(AN72,$I72-SUM($J72:AN72)))</f>
        <v>2.497596510295256</v>
      </c>
      <c r="AP72" s="2">
        <f>IF(AO$4=$E72, $I72*AO$55,0) + IF(AO$4&gt;$E72,MIN(AO72,$I72-SUM($J72:AO72)))</f>
        <v>2.497596510295256</v>
      </c>
      <c r="AQ72" s="57">
        <f>IF(AP$4=$E72, $I72*AP$55,0) + IF(AP$4&gt;$E72,MIN(AP72,$I72-SUM($J72:AP72)))</f>
        <v>2.497596510295256</v>
      </c>
      <c r="AR72" s="2">
        <f>IF(AQ$4=$E72, $I72*AQ$55,0) + IF(AQ$4&gt;$E72,MIN(AQ72,$I72-SUM($J72:AQ72)))</f>
        <v>2.497596510295256</v>
      </c>
      <c r="AS72" s="2">
        <f>IF(AR$4=$E72, $I72*AR$55,0) + IF(AR$4&gt;$E72,MIN(AR72,$I72-SUM($J72:AR72)))</f>
        <v>2.497596510295256</v>
      </c>
      <c r="AT72" s="2">
        <f>IF(AS$4=$E72, $I72*AS$55,0) + IF(AS$4&gt;$E72,MIN(AS72,$I72-SUM($J72:AS72)))</f>
        <v>2.497596510295256</v>
      </c>
      <c r="AU72" s="2">
        <f>IF(AT$4=$E72, $I72*AT$55,0) + IF(AT$4&gt;$E72,MIN(AT72,$I72-SUM($J72:AT72)))</f>
        <v>2.497596510295256</v>
      </c>
      <c r="AV72" s="2">
        <f>IF(AU$4=$E72, $I72*AU$55,0) + IF(AU$4&gt;$E72,MIN(AU72,$I72-SUM($J72:AU72)))</f>
        <v>2.497596510295256</v>
      </c>
      <c r="AW72" s="2"/>
    </row>
    <row r="73" spans="5:49" ht="15" outlineLevel="1">
      <c r="E73" s="44">
        <f>INDEX($K$4:$AV$4,,COUNT(E$65:E72)+1)</f>
        <v>35885</v>
      </c>
      <c r="G73" s="2" t="s">
        <v>105</v>
      </c>
      <c r="I73" s="2">
        <f t="shared" si="62"/>
        <v>76.316314215248994</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2.2917812076651352</v>
      </c>
      <c r="T73" s="2">
        <f>IF(S$4=$E73, $I73*S$55,0) + IF(S$4&gt;$E73,MIN(S73,$I73-SUM($J73:S73)))</f>
        <v>2.2917812076651352</v>
      </c>
      <c r="U73" s="2">
        <f>IF(T$4=$E73, $I73*T$55,0) + IF(T$4&gt;$E73,MIN(T73,$I73-SUM($J73:T73)))</f>
        <v>2.2917812076651352</v>
      </c>
      <c r="V73" s="2">
        <f>IF(U$4=$E73, $I73*U$55,0) + IF(U$4&gt;$E73,MIN(U73,$I73-SUM($J73:U73)))</f>
        <v>2.2917812076651352</v>
      </c>
      <c r="W73" s="2">
        <f>IF(V$4=$E73, $I73*V$55,0) + IF(V$4&gt;$E73,MIN(V73,$I73-SUM($J73:V73)))</f>
        <v>2.2917812076651352</v>
      </c>
      <c r="X73" s="2">
        <f>IF(W$4=$E73, $I73*W$55,0) + IF(W$4&gt;$E73,MIN(W73,$I73-SUM($J73:W73)))</f>
        <v>2.2917812076651352</v>
      </c>
      <c r="Y73" s="2">
        <f>IF(X$4=$E73, $I73*X$55,0) + IF(X$4&gt;$E73,MIN(X73,$I73-SUM($J73:X73)))</f>
        <v>2.2917812076651352</v>
      </c>
      <c r="Z73" s="2">
        <f>IF(Y$4=$E73, $I73*Y$55,0) + IF(Y$4&gt;$E73,MIN(Y73,$I73-SUM($J73:Y73)))</f>
        <v>2.2917812076651352</v>
      </c>
      <c r="AA73" s="2">
        <f>IF(Z$4=$E73, $I73*Z$55,0) + IF(Z$4&gt;$E73,MIN(Z73,$I73-SUM($J73:Z73)))</f>
        <v>2.2917812076651352</v>
      </c>
      <c r="AB73" s="2">
        <f>IF(AA$4=$E73, $I73*AA$55,0) + IF(AA$4&gt;$E73,MIN(AA73,$I73-SUM($J73:AA73)))</f>
        <v>2.2917812076651352</v>
      </c>
      <c r="AC73" s="2">
        <f>IF(AB$4=$E73, $I73*AB$55,0) + IF(AB$4&gt;$E73,MIN(AB73,$I73-SUM($J73:AB73)))</f>
        <v>2.2917812076651352</v>
      </c>
      <c r="AD73" s="2">
        <f>IF(AC$4=$E73, $I73*AC$55,0) + IF(AC$4&gt;$E73,MIN(AC73,$I73-SUM($J73:AC73)))</f>
        <v>2.2917812076651352</v>
      </c>
      <c r="AE73" s="2">
        <f>IF(AD$4=$E73, $I73*AD$55,0) + IF(AD$4&gt;$E73,MIN(AD73,$I73-SUM($J73:AD73)))</f>
        <v>2.2917812076651352</v>
      </c>
      <c r="AF73" s="2">
        <f>IF(AE$4=$E73, $I73*AE$55,0) + IF(AE$4&gt;$E73,MIN(AE73,$I73-SUM($J73:AE73)))</f>
        <v>2.2917812076651352</v>
      </c>
      <c r="AG73" s="2">
        <f>IF(AF$4=$E73, $I73*AF$55,0) + IF(AF$4&gt;$E73,MIN(AF73,$I73-SUM($J73:AF73)))</f>
        <v>2.2917812076651352</v>
      </c>
      <c r="AH73" s="2">
        <f>IF(AG$4=$E73, $I73*AG$55,0) + IF(AG$4&gt;$E73,MIN(AG73,$I73-SUM($J73:AG73)))</f>
        <v>2.2917812076651352</v>
      </c>
      <c r="AI73" s="2">
        <f>IF(AH$4=$E73, $I73*AH$55,0) + IF(AH$4&gt;$E73,MIN(AH73,$I73-SUM($J73:AH73)))</f>
        <v>2.2917812076651352</v>
      </c>
      <c r="AJ73" s="2">
        <f>IF(AI$4=$E73, $I73*AI$55,0) + IF(AI$4&gt;$E73,MIN(AI73,$I73-SUM($J73:AI73)))</f>
        <v>2.2917812076651352</v>
      </c>
      <c r="AK73" s="2">
        <f>IF(AJ$4=$E73, $I73*AJ$55,0) + IF(AJ$4&gt;$E73,MIN(AJ73,$I73-SUM($J73:AJ73)))</f>
        <v>2.2917812076651352</v>
      </c>
      <c r="AL73" s="2">
        <f>IF(AK$4=$E73, $I73*AK$55,0) + IF(AK$4&gt;$E73,MIN(AK73,$I73-SUM($J73:AK73)))</f>
        <v>2.2917812076651352</v>
      </c>
      <c r="AM73" s="2">
        <f>IF(AL$4=$E73, $I73*AL$55,0) + IF(AL$4&gt;$E73,MIN(AL73,$I73-SUM($J73:AL73)))</f>
        <v>2.2917812076651352</v>
      </c>
      <c r="AN73" s="2">
        <f>IF(AM$4=$E73, $I73*AM$55,0) + IF(AM$4&gt;$E73,MIN(AM73,$I73-SUM($J73:AM73)))</f>
        <v>2.2917812076651352</v>
      </c>
      <c r="AO73" s="2">
        <f>IF(AN$4=$E73, $I73*AN$55,0) + IF(AN$4&gt;$E73,MIN(AN73,$I73-SUM($J73:AN73)))</f>
        <v>2.2917812076651352</v>
      </c>
      <c r="AP73" s="2">
        <f>IF(AO$4=$E73, $I73*AO$55,0) + IF(AO$4&gt;$E73,MIN(AO73,$I73-SUM($J73:AO73)))</f>
        <v>2.2917812076651352</v>
      </c>
      <c r="AQ73" s="57">
        <f>IF(AP$4=$E73, $I73*AP$55,0) + IF(AP$4&gt;$E73,MIN(AP73,$I73-SUM($J73:AP73)))</f>
        <v>2.2917812076651352</v>
      </c>
      <c r="AR73" s="2">
        <f>IF(AQ$4=$E73, $I73*AQ$55,0) + IF(AQ$4&gt;$E73,MIN(AQ73,$I73-SUM($J73:AQ73)))</f>
        <v>2.2917812076651352</v>
      </c>
      <c r="AS73" s="2">
        <f>IF(AR$4=$E73, $I73*AR$55,0) + IF(AR$4&gt;$E73,MIN(AR73,$I73-SUM($J73:AR73)))</f>
        <v>2.2917812076651352</v>
      </c>
      <c r="AT73" s="2">
        <f>IF(AS$4=$E73, $I73*AS$55,0) + IF(AS$4&gt;$E73,MIN(AS73,$I73-SUM($J73:AS73)))</f>
        <v>2.2917812076651352</v>
      </c>
      <c r="AU73" s="2">
        <f>IF(AT$4=$E73, $I73*AT$55,0) + IF(AT$4&gt;$E73,MIN(AT73,$I73-SUM($J73:AT73)))</f>
        <v>2.2917812076651352</v>
      </c>
      <c r="AV73" s="2">
        <f>IF(AU$4=$E73, $I73*AU$55,0) + IF(AU$4&gt;$E73,MIN(AU73,$I73-SUM($J73:AU73)))</f>
        <v>2.2917812076651352</v>
      </c>
      <c r="AW73" s="2"/>
    </row>
    <row r="74" spans="5:49" ht="15" outlineLevel="1">
      <c r="E74" s="44">
        <f>INDEX($K$4:$AV$4,,COUNT(E$65:E73)+1)</f>
        <v>36250</v>
      </c>
      <c r="G74" s="2" t="s">
        <v>105</v>
      </c>
      <c r="I74" s="2">
        <f t="shared" si="62"/>
        <v>81.374484759045359</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2.4436782209923535</v>
      </c>
      <c r="U74" s="2">
        <f>IF(T$4=$E74, $I74*T$55,0) + IF(T$4&gt;$E74,MIN(T74,$I74-SUM($J74:T74)))</f>
        <v>2.4436782209923535</v>
      </c>
      <c r="V74" s="2">
        <f>IF(U$4=$E74, $I74*U$55,0) + IF(U$4&gt;$E74,MIN(U74,$I74-SUM($J74:U74)))</f>
        <v>2.4436782209923535</v>
      </c>
      <c r="W74" s="2">
        <f>IF(V$4=$E74, $I74*V$55,0) + IF(V$4&gt;$E74,MIN(V74,$I74-SUM($J74:V74)))</f>
        <v>2.4436782209923535</v>
      </c>
      <c r="X74" s="2">
        <f>IF(W$4=$E74, $I74*W$55,0) + IF(W$4&gt;$E74,MIN(W74,$I74-SUM($J74:W74)))</f>
        <v>2.4436782209923535</v>
      </c>
      <c r="Y74" s="2">
        <f>IF(X$4=$E74, $I74*X$55,0) + IF(X$4&gt;$E74,MIN(X74,$I74-SUM($J74:X74)))</f>
        <v>2.4436782209923535</v>
      </c>
      <c r="Z74" s="2">
        <f>IF(Y$4=$E74, $I74*Y$55,0) + IF(Y$4&gt;$E74,MIN(Y74,$I74-SUM($J74:Y74)))</f>
        <v>2.4436782209923535</v>
      </c>
      <c r="AA74" s="2">
        <f>IF(Z$4=$E74, $I74*Z$55,0) + IF(Z$4&gt;$E74,MIN(Z74,$I74-SUM($J74:Z74)))</f>
        <v>2.4436782209923535</v>
      </c>
      <c r="AB74" s="2">
        <f>IF(AA$4=$E74, $I74*AA$55,0) + IF(AA$4&gt;$E74,MIN(AA74,$I74-SUM($J74:AA74)))</f>
        <v>2.4436782209923535</v>
      </c>
      <c r="AC74" s="2">
        <f>IF(AB$4=$E74, $I74*AB$55,0) + IF(AB$4&gt;$E74,MIN(AB74,$I74-SUM($J74:AB74)))</f>
        <v>2.4436782209923535</v>
      </c>
      <c r="AD74" s="2">
        <f>IF(AC$4=$E74, $I74*AC$55,0) + IF(AC$4&gt;$E74,MIN(AC74,$I74-SUM($J74:AC74)))</f>
        <v>2.4436782209923535</v>
      </c>
      <c r="AE74" s="2">
        <f>IF(AD$4=$E74, $I74*AD$55,0) + IF(AD$4&gt;$E74,MIN(AD74,$I74-SUM($J74:AD74)))</f>
        <v>2.4436782209923535</v>
      </c>
      <c r="AF74" s="2">
        <f>IF(AE$4=$E74, $I74*AE$55,0) + IF(AE$4&gt;$E74,MIN(AE74,$I74-SUM($J74:AE74)))</f>
        <v>2.4436782209923535</v>
      </c>
      <c r="AG74" s="2">
        <f>IF(AF$4=$E74, $I74*AF$55,0) + IF(AF$4&gt;$E74,MIN(AF74,$I74-SUM($J74:AF74)))</f>
        <v>2.4436782209923535</v>
      </c>
      <c r="AH74" s="2">
        <f>IF(AG$4=$E74, $I74*AG$55,0) + IF(AG$4&gt;$E74,MIN(AG74,$I74-SUM($J74:AG74)))</f>
        <v>2.4436782209923535</v>
      </c>
      <c r="AI74" s="2">
        <f>IF(AH$4=$E74, $I74*AH$55,0) + IF(AH$4&gt;$E74,MIN(AH74,$I74-SUM($J74:AH74)))</f>
        <v>2.4436782209923535</v>
      </c>
      <c r="AJ74" s="2">
        <f>IF(AI$4=$E74, $I74*AI$55,0) + IF(AI$4&gt;$E74,MIN(AI74,$I74-SUM($J74:AI74)))</f>
        <v>2.4436782209923535</v>
      </c>
      <c r="AK74" s="2">
        <f>IF(AJ$4=$E74, $I74*AJ$55,0) + IF(AJ$4&gt;$E74,MIN(AJ74,$I74-SUM($J74:AJ74)))</f>
        <v>2.4436782209923535</v>
      </c>
      <c r="AL74" s="2">
        <f>IF(AK$4=$E74, $I74*AK$55,0) + IF(AK$4&gt;$E74,MIN(AK74,$I74-SUM($J74:AK74)))</f>
        <v>2.4436782209923535</v>
      </c>
      <c r="AM74" s="2">
        <f>IF(AL$4=$E74, $I74*AL$55,0) + IF(AL$4&gt;$E74,MIN(AL74,$I74-SUM($J74:AL74)))</f>
        <v>2.4436782209923535</v>
      </c>
      <c r="AN74" s="2">
        <f>IF(AM$4=$E74, $I74*AM$55,0) + IF(AM$4&gt;$E74,MIN(AM74,$I74-SUM($J74:AM74)))</f>
        <v>2.4436782209923535</v>
      </c>
      <c r="AO74" s="2">
        <f>IF(AN$4=$E74, $I74*AN$55,0) + IF(AN$4&gt;$E74,MIN(AN74,$I74-SUM($J74:AN74)))</f>
        <v>2.4436782209923535</v>
      </c>
      <c r="AP74" s="2">
        <f>IF(AO$4=$E74, $I74*AO$55,0) + IF(AO$4&gt;$E74,MIN(AO74,$I74-SUM($J74:AO74)))</f>
        <v>2.4436782209923535</v>
      </c>
      <c r="AQ74" s="57">
        <f>IF(AP$4=$E74, $I74*AP$55,0) + IF(AP$4&gt;$E74,MIN(AP74,$I74-SUM($J74:AP74)))</f>
        <v>2.4436782209923535</v>
      </c>
      <c r="AR74" s="2">
        <f>IF(AQ$4=$E74, $I74*AQ$55,0) + IF(AQ$4&gt;$E74,MIN(AQ74,$I74-SUM($J74:AQ74)))</f>
        <v>2.4436782209923535</v>
      </c>
      <c r="AS74" s="2">
        <f>IF(AR$4=$E74, $I74*AR$55,0) + IF(AR$4&gt;$E74,MIN(AR74,$I74-SUM($J74:AR74)))</f>
        <v>2.4436782209923535</v>
      </c>
      <c r="AT74" s="2">
        <f>IF(AS$4=$E74, $I74*AS$55,0) + IF(AS$4&gt;$E74,MIN(AS74,$I74-SUM($J74:AS74)))</f>
        <v>2.4436782209923535</v>
      </c>
      <c r="AU74" s="2">
        <f>IF(AT$4=$E74, $I74*AT$55,0) + IF(AT$4&gt;$E74,MIN(AT74,$I74-SUM($J74:AT74)))</f>
        <v>2.4436782209923535</v>
      </c>
      <c r="AV74" s="2">
        <f>IF(AU$4=$E74, $I74*AU$55,0) + IF(AU$4&gt;$E74,MIN(AU74,$I74-SUM($J74:AU74)))</f>
        <v>2.4436782209923535</v>
      </c>
      <c r="AW74" s="2"/>
    </row>
    <row r="75" spans="5:49" ht="15" outlineLevel="1">
      <c r="E75" s="44">
        <f>INDEX($K$4:$AV$4,,COUNT(E$65:E74)+1)</f>
        <v>36616</v>
      </c>
      <c r="G75" s="2" t="s">
        <v>105</v>
      </c>
      <c r="I75" s="2">
        <f t="shared" si="62"/>
        <v>86.472798316801928</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2.5967807302342925</v>
      </c>
      <c r="V75" s="2">
        <f>IF(U$4=$E75, $I75*U$55,0) + IF(U$4&gt;$E75,MIN(U75,$I75-SUM($J75:U75)))</f>
        <v>2.5967807302342925</v>
      </c>
      <c r="W75" s="2">
        <f>IF(V$4=$E75, $I75*V$55,0) + IF(V$4&gt;$E75,MIN(V75,$I75-SUM($J75:V75)))</f>
        <v>2.5967807302342925</v>
      </c>
      <c r="X75" s="2">
        <f>IF(W$4=$E75, $I75*W$55,0) + IF(W$4&gt;$E75,MIN(W75,$I75-SUM($J75:W75)))</f>
        <v>2.5967807302342925</v>
      </c>
      <c r="Y75" s="2">
        <f>IF(X$4=$E75, $I75*X$55,0) + IF(X$4&gt;$E75,MIN(X75,$I75-SUM($J75:X75)))</f>
        <v>2.5967807302342925</v>
      </c>
      <c r="Z75" s="2">
        <f>IF(Y$4=$E75, $I75*Y$55,0) + IF(Y$4&gt;$E75,MIN(Y75,$I75-SUM($J75:Y75)))</f>
        <v>2.5967807302342925</v>
      </c>
      <c r="AA75" s="2">
        <f>IF(Z$4=$E75, $I75*Z$55,0) + IF(Z$4&gt;$E75,MIN(Z75,$I75-SUM($J75:Z75)))</f>
        <v>2.5967807302342925</v>
      </c>
      <c r="AB75" s="2">
        <f>IF(AA$4=$E75, $I75*AA$55,0) + IF(AA$4&gt;$E75,MIN(AA75,$I75-SUM($J75:AA75)))</f>
        <v>2.5967807302342925</v>
      </c>
      <c r="AC75" s="2">
        <f>IF(AB$4=$E75, $I75*AB$55,0) + IF(AB$4&gt;$E75,MIN(AB75,$I75-SUM($J75:AB75)))</f>
        <v>2.5967807302342925</v>
      </c>
      <c r="AD75" s="2">
        <f>IF(AC$4=$E75, $I75*AC$55,0) + IF(AC$4&gt;$E75,MIN(AC75,$I75-SUM($J75:AC75)))</f>
        <v>2.5967807302342925</v>
      </c>
      <c r="AE75" s="2">
        <f>IF(AD$4=$E75, $I75*AD$55,0) + IF(AD$4&gt;$E75,MIN(AD75,$I75-SUM($J75:AD75)))</f>
        <v>2.5967807302342925</v>
      </c>
      <c r="AF75" s="2">
        <f>IF(AE$4=$E75, $I75*AE$55,0) + IF(AE$4&gt;$E75,MIN(AE75,$I75-SUM($J75:AE75)))</f>
        <v>2.5967807302342925</v>
      </c>
      <c r="AG75" s="2">
        <f>IF(AF$4=$E75, $I75*AF$55,0) + IF(AF$4&gt;$E75,MIN(AF75,$I75-SUM($J75:AF75)))</f>
        <v>2.5967807302342925</v>
      </c>
      <c r="AH75" s="2">
        <f>IF(AG$4=$E75, $I75*AG$55,0) + IF(AG$4&gt;$E75,MIN(AG75,$I75-SUM($J75:AG75)))</f>
        <v>2.5967807302342925</v>
      </c>
      <c r="AI75" s="2">
        <f>IF(AH$4=$E75, $I75*AH$55,0) + IF(AH$4&gt;$E75,MIN(AH75,$I75-SUM($J75:AH75)))</f>
        <v>2.5967807302342925</v>
      </c>
      <c r="AJ75" s="2">
        <f>IF(AI$4=$E75, $I75*AI$55,0) + IF(AI$4&gt;$E75,MIN(AI75,$I75-SUM($J75:AI75)))</f>
        <v>2.5967807302342925</v>
      </c>
      <c r="AK75" s="2">
        <f>IF(AJ$4=$E75, $I75*AJ$55,0) + IF(AJ$4&gt;$E75,MIN(AJ75,$I75-SUM($J75:AJ75)))</f>
        <v>2.5967807302342925</v>
      </c>
      <c r="AL75" s="2">
        <f>IF(AK$4=$E75, $I75*AK$55,0) + IF(AK$4&gt;$E75,MIN(AK75,$I75-SUM($J75:AK75)))</f>
        <v>2.5967807302342925</v>
      </c>
      <c r="AM75" s="2">
        <f>IF(AL$4=$E75, $I75*AL$55,0) + IF(AL$4&gt;$E75,MIN(AL75,$I75-SUM($J75:AL75)))</f>
        <v>2.5967807302342925</v>
      </c>
      <c r="AN75" s="2">
        <f>IF(AM$4=$E75, $I75*AM$55,0) + IF(AM$4&gt;$E75,MIN(AM75,$I75-SUM($J75:AM75)))</f>
        <v>2.5967807302342925</v>
      </c>
      <c r="AO75" s="2">
        <f>IF(AN$4=$E75, $I75*AN$55,0) + IF(AN$4&gt;$E75,MIN(AN75,$I75-SUM($J75:AN75)))</f>
        <v>2.5967807302342925</v>
      </c>
      <c r="AP75" s="2">
        <f>IF(AO$4=$E75, $I75*AO$55,0) + IF(AO$4&gt;$E75,MIN(AO75,$I75-SUM($J75:AO75)))</f>
        <v>2.5967807302342925</v>
      </c>
      <c r="AQ75" s="57">
        <f>IF(AP$4=$E75, $I75*AP$55,0) + IF(AP$4&gt;$E75,MIN(AP75,$I75-SUM($J75:AP75)))</f>
        <v>2.5967807302342925</v>
      </c>
      <c r="AR75" s="2">
        <f>IF(AQ$4=$E75, $I75*AQ$55,0) + IF(AQ$4&gt;$E75,MIN(AQ75,$I75-SUM($J75:AQ75)))</f>
        <v>2.5967807302342925</v>
      </c>
      <c r="AS75" s="2">
        <f>IF(AR$4=$E75, $I75*AR$55,0) + IF(AR$4&gt;$E75,MIN(AR75,$I75-SUM($J75:AR75)))</f>
        <v>2.5967807302342925</v>
      </c>
      <c r="AT75" s="2">
        <f>IF(AS$4=$E75, $I75*AS$55,0) + IF(AS$4&gt;$E75,MIN(AS75,$I75-SUM($J75:AS75)))</f>
        <v>2.5967807302342925</v>
      </c>
      <c r="AU75" s="2">
        <f>IF(AT$4=$E75, $I75*AT$55,0) + IF(AT$4&gt;$E75,MIN(AT75,$I75-SUM($J75:AT75)))</f>
        <v>2.5967807302342925</v>
      </c>
      <c r="AV75" s="2">
        <f>IF(AU$4=$E75, $I75*AU$55,0) + IF(AU$4&gt;$E75,MIN(AU75,$I75-SUM($J75:AU75)))</f>
        <v>2.5967807302342925</v>
      </c>
      <c r="AW75" s="2"/>
    </row>
    <row r="76" spans="5:49" ht="15" outlineLevel="1">
      <c r="E76" s="44">
        <f>INDEX($K$4:$AV$4,,COUNT(E$65:E75)+1)</f>
        <v>36981</v>
      </c>
      <c r="G76" s="2" t="s">
        <v>105</v>
      </c>
      <c r="I76" s="2">
        <f t="shared" si="62"/>
        <v>88.773713396244773</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2.66587727916651</v>
      </c>
      <c r="W76" s="2">
        <f>IF(V$4=$E76, $I76*V$55,0) + IF(V$4&gt;$E76,MIN(V76,$I76-SUM($J76:V76)))</f>
        <v>2.66587727916651</v>
      </c>
      <c r="X76" s="2">
        <f>IF(W$4=$E76, $I76*W$55,0) + IF(W$4&gt;$E76,MIN(W76,$I76-SUM($J76:W76)))</f>
        <v>2.66587727916651</v>
      </c>
      <c r="Y76" s="2">
        <f>IF(X$4=$E76, $I76*X$55,0) + IF(X$4&gt;$E76,MIN(X76,$I76-SUM($J76:X76)))</f>
        <v>2.66587727916651</v>
      </c>
      <c r="Z76" s="2">
        <f>IF(Y$4=$E76, $I76*Y$55,0) + IF(Y$4&gt;$E76,MIN(Y76,$I76-SUM($J76:Y76)))</f>
        <v>2.66587727916651</v>
      </c>
      <c r="AA76" s="2">
        <f>IF(Z$4=$E76, $I76*Z$55,0) + IF(Z$4&gt;$E76,MIN(Z76,$I76-SUM($J76:Z76)))</f>
        <v>2.66587727916651</v>
      </c>
      <c r="AB76" s="2">
        <f>IF(AA$4=$E76, $I76*AA$55,0) + IF(AA$4&gt;$E76,MIN(AA76,$I76-SUM($J76:AA76)))</f>
        <v>2.66587727916651</v>
      </c>
      <c r="AC76" s="2">
        <f>IF(AB$4=$E76, $I76*AB$55,0) + IF(AB$4&gt;$E76,MIN(AB76,$I76-SUM($J76:AB76)))</f>
        <v>2.66587727916651</v>
      </c>
      <c r="AD76" s="2">
        <f>IF(AC$4=$E76, $I76*AC$55,0) + IF(AC$4&gt;$E76,MIN(AC76,$I76-SUM($J76:AC76)))</f>
        <v>2.66587727916651</v>
      </c>
      <c r="AE76" s="2">
        <f>IF(AD$4=$E76, $I76*AD$55,0) + IF(AD$4&gt;$E76,MIN(AD76,$I76-SUM($J76:AD76)))</f>
        <v>2.66587727916651</v>
      </c>
      <c r="AF76" s="2">
        <f>IF(AE$4=$E76, $I76*AE$55,0) + IF(AE$4&gt;$E76,MIN(AE76,$I76-SUM($J76:AE76)))</f>
        <v>2.66587727916651</v>
      </c>
      <c r="AG76" s="2">
        <f>IF(AF$4=$E76, $I76*AF$55,0) + IF(AF$4&gt;$E76,MIN(AF76,$I76-SUM($J76:AF76)))</f>
        <v>2.66587727916651</v>
      </c>
      <c r="AH76" s="2">
        <f>IF(AG$4=$E76, $I76*AG$55,0) + IF(AG$4&gt;$E76,MIN(AG76,$I76-SUM($J76:AG76)))</f>
        <v>2.66587727916651</v>
      </c>
      <c r="AI76" s="2">
        <f>IF(AH$4=$E76, $I76*AH$55,0) + IF(AH$4&gt;$E76,MIN(AH76,$I76-SUM($J76:AH76)))</f>
        <v>2.66587727916651</v>
      </c>
      <c r="AJ76" s="2">
        <f>IF(AI$4=$E76, $I76*AI$55,0) + IF(AI$4&gt;$E76,MIN(AI76,$I76-SUM($J76:AI76)))</f>
        <v>2.66587727916651</v>
      </c>
      <c r="AK76" s="2">
        <f>IF(AJ$4=$E76, $I76*AJ$55,0) + IF(AJ$4&gt;$E76,MIN(AJ76,$I76-SUM($J76:AJ76)))</f>
        <v>2.66587727916651</v>
      </c>
      <c r="AL76" s="2">
        <f>IF(AK$4=$E76, $I76*AK$55,0) + IF(AK$4&gt;$E76,MIN(AK76,$I76-SUM($J76:AK76)))</f>
        <v>2.66587727916651</v>
      </c>
      <c r="AM76" s="2">
        <f>IF(AL$4=$E76, $I76*AL$55,0) + IF(AL$4&gt;$E76,MIN(AL76,$I76-SUM($J76:AL76)))</f>
        <v>2.66587727916651</v>
      </c>
      <c r="AN76" s="2">
        <f>IF(AM$4=$E76, $I76*AM$55,0) + IF(AM$4&gt;$E76,MIN(AM76,$I76-SUM($J76:AM76)))</f>
        <v>2.66587727916651</v>
      </c>
      <c r="AO76" s="2">
        <f>IF(AN$4=$E76, $I76*AN$55,0) + IF(AN$4&gt;$E76,MIN(AN76,$I76-SUM($J76:AN76)))</f>
        <v>2.66587727916651</v>
      </c>
      <c r="AP76" s="2">
        <f>IF(AO$4=$E76, $I76*AO$55,0) + IF(AO$4&gt;$E76,MIN(AO76,$I76-SUM($J76:AO76)))</f>
        <v>2.66587727916651</v>
      </c>
      <c r="AQ76" s="57">
        <f>IF(AP$4=$E76, $I76*AP$55,0) + IF(AP$4&gt;$E76,MIN(AP76,$I76-SUM($J76:AP76)))</f>
        <v>2.66587727916651</v>
      </c>
      <c r="AR76" s="2">
        <f>IF(AQ$4=$E76, $I76*AQ$55,0) + IF(AQ$4&gt;$E76,MIN(AQ76,$I76-SUM($J76:AQ76)))</f>
        <v>2.66587727916651</v>
      </c>
      <c r="AS76" s="2">
        <f>IF(AR$4=$E76, $I76*AR$55,0) + IF(AR$4&gt;$E76,MIN(AR76,$I76-SUM($J76:AR76)))</f>
        <v>2.66587727916651</v>
      </c>
      <c r="AT76" s="2">
        <f>IF(AS$4=$E76, $I76*AS$55,0) + IF(AS$4&gt;$E76,MIN(AS76,$I76-SUM($J76:AS76)))</f>
        <v>2.66587727916651</v>
      </c>
      <c r="AU76" s="2">
        <f>IF(AT$4=$E76, $I76*AT$55,0) + IF(AT$4&gt;$E76,MIN(AT76,$I76-SUM($J76:AT76)))</f>
        <v>2.66587727916651</v>
      </c>
      <c r="AV76" s="2">
        <f>IF(AU$4=$E76, $I76*AU$55,0) + IF(AU$4&gt;$E76,MIN(AU76,$I76-SUM($J76:AU76)))</f>
        <v>2.66587727916651</v>
      </c>
      <c r="AW76" s="2"/>
    </row>
    <row r="77" spans="5:49" ht="15" outlineLevel="1">
      <c r="E77" s="44">
        <f>INDEX($K$4:$AV$4,,COUNT(E$65:E76)+1)</f>
        <v>37346</v>
      </c>
      <c r="G77" s="2" t="s">
        <v>105</v>
      </c>
      <c r="I77" s="2">
        <f t="shared" si="62"/>
        <v>99.987059669302653</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3.0026144044835634</v>
      </c>
      <c r="X77" s="2">
        <f>IF(W$4=$E77, $I77*W$55,0) + IF(W$4&gt;$E77,MIN(W77,$I77-SUM($J77:W77)))</f>
        <v>3.0026144044835634</v>
      </c>
      <c r="Y77" s="2">
        <f>IF(X$4=$E77, $I77*X$55,0) + IF(X$4&gt;$E77,MIN(X77,$I77-SUM($J77:X77)))</f>
        <v>3.0026144044835634</v>
      </c>
      <c r="Z77" s="2">
        <f>IF(Y$4=$E77, $I77*Y$55,0) + IF(Y$4&gt;$E77,MIN(Y77,$I77-SUM($J77:Y77)))</f>
        <v>3.0026144044835634</v>
      </c>
      <c r="AA77" s="2">
        <f>IF(Z$4=$E77, $I77*Z$55,0) + IF(Z$4&gt;$E77,MIN(Z77,$I77-SUM($J77:Z77)))</f>
        <v>3.0026144044835634</v>
      </c>
      <c r="AB77" s="2">
        <f>IF(AA$4=$E77, $I77*AA$55,0) + IF(AA$4&gt;$E77,MIN(AA77,$I77-SUM($J77:AA77)))</f>
        <v>3.0026144044835634</v>
      </c>
      <c r="AC77" s="2">
        <f>IF(AB$4=$E77, $I77*AB$55,0) + IF(AB$4&gt;$E77,MIN(AB77,$I77-SUM($J77:AB77)))</f>
        <v>3.0026144044835634</v>
      </c>
      <c r="AD77" s="2">
        <f>IF(AC$4=$E77, $I77*AC$55,0) + IF(AC$4&gt;$E77,MIN(AC77,$I77-SUM($J77:AC77)))</f>
        <v>3.0026144044835634</v>
      </c>
      <c r="AE77" s="2">
        <f>IF(AD$4=$E77, $I77*AD$55,0) + IF(AD$4&gt;$E77,MIN(AD77,$I77-SUM($J77:AD77)))</f>
        <v>3.0026144044835634</v>
      </c>
      <c r="AF77" s="2">
        <f>IF(AE$4=$E77, $I77*AE$55,0) + IF(AE$4&gt;$E77,MIN(AE77,$I77-SUM($J77:AE77)))</f>
        <v>3.0026144044835634</v>
      </c>
      <c r="AG77" s="2">
        <f>IF(AF$4=$E77, $I77*AF$55,0) + IF(AF$4&gt;$E77,MIN(AF77,$I77-SUM($J77:AF77)))</f>
        <v>3.0026144044835634</v>
      </c>
      <c r="AH77" s="2">
        <f>IF(AG$4=$E77, $I77*AG$55,0) + IF(AG$4&gt;$E77,MIN(AG77,$I77-SUM($J77:AG77)))</f>
        <v>3.0026144044835634</v>
      </c>
      <c r="AI77" s="2">
        <f>IF(AH$4=$E77, $I77*AH$55,0) + IF(AH$4&gt;$E77,MIN(AH77,$I77-SUM($J77:AH77)))</f>
        <v>3.0026144044835634</v>
      </c>
      <c r="AJ77" s="2">
        <f>IF(AI$4=$E77, $I77*AI$55,0) + IF(AI$4&gt;$E77,MIN(AI77,$I77-SUM($J77:AI77)))</f>
        <v>3.0026144044835634</v>
      </c>
      <c r="AK77" s="2">
        <f>IF(AJ$4=$E77, $I77*AJ$55,0) + IF(AJ$4&gt;$E77,MIN(AJ77,$I77-SUM($J77:AJ77)))</f>
        <v>3.0026144044835634</v>
      </c>
      <c r="AL77" s="2">
        <f>IF(AK$4=$E77, $I77*AK$55,0) + IF(AK$4&gt;$E77,MIN(AK77,$I77-SUM($J77:AK77)))</f>
        <v>3.0026144044835634</v>
      </c>
      <c r="AM77" s="2">
        <f>IF(AL$4=$E77, $I77*AL$55,0) + IF(AL$4&gt;$E77,MIN(AL77,$I77-SUM($J77:AL77)))</f>
        <v>3.0026144044835634</v>
      </c>
      <c r="AN77" s="2">
        <f>IF(AM$4=$E77, $I77*AM$55,0) + IF(AM$4&gt;$E77,MIN(AM77,$I77-SUM($J77:AM77)))</f>
        <v>3.0026144044835634</v>
      </c>
      <c r="AO77" s="2">
        <f>IF(AN$4=$E77, $I77*AN$55,0) + IF(AN$4&gt;$E77,MIN(AN77,$I77-SUM($J77:AN77)))</f>
        <v>3.0026144044835634</v>
      </c>
      <c r="AP77" s="2">
        <f>IF(AO$4=$E77, $I77*AO$55,0) + IF(AO$4&gt;$E77,MIN(AO77,$I77-SUM($J77:AO77)))</f>
        <v>3.0026144044835634</v>
      </c>
      <c r="AQ77" s="57">
        <f>IF(AP$4=$E77, $I77*AP$55,0) + IF(AP$4&gt;$E77,MIN(AP77,$I77-SUM($J77:AP77)))</f>
        <v>3.0026144044835634</v>
      </c>
      <c r="AR77" s="2">
        <f>IF(AQ$4=$E77, $I77*AQ$55,0) + IF(AQ$4&gt;$E77,MIN(AQ77,$I77-SUM($J77:AQ77)))</f>
        <v>3.0026144044835634</v>
      </c>
      <c r="AS77" s="2">
        <f>IF(AR$4=$E77, $I77*AR$55,0) + IF(AR$4&gt;$E77,MIN(AR77,$I77-SUM($J77:AR77)))</f>
        <v>3.0026144044835634</v>
      </c>
      <c r="AT77" s="2">
        <f>IF(AS$4=$E77, $I77*AS$55,0) + IF(AS$4&gt;$E77,MIN(AS77,$I77-SUM($J77:AS77)))</f>
        <v>3.0026144044835634</v>
      </c>
      <c r="AU77" s="2">
        <f>IF(AT$4=$E77, $I77*AT$55,0) + IF(AT$4&gt;$E77,MIN(AT77,$I77-SUM($J77:AT77)))</f>
        <v>3.0026144044835634</v>
      </c>
      <c r="AV77" s="2">
        <f>IF(AU$4=$E77, $I77*AU$55,0) + IF(AU$4&gt;$E77,MIN(AU77,$I77-SUM($J77:AU77)))</f>
        <v>3.0026144044835634</v>
      </c>
      <c r="AW77" s="2"/>
    </row>
    <row r="78" spans="5:49" ht="15" outlineLevel="1">
      <c r="E78" s="44">
        <f>INDEX($K$4:$AV$4,,COUNT(E$65:E77)+1)</f>
        <v>37711</v>
      </c>
      <c r="G78" s="2" t="s">
        <v>105</v>
      </c>
      <c r="I78" s="2">
        <f t="shared" si="62"/>
        <v>92.334630861645195</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2.772811737586943</v>
      </c>
      <c r="Y78" s="2">
        <f>IF(X$4=$E78, $I78*X$55,0) + IF(X$4&gt;$E78,MIN(X78,$I78-SUM($J78:X78)))</f>
        <v>2.772811737586943</v>
      </c>
      <c r="Z78" s="2">
        <f>IF(Y$4=$E78, $I78*Y$55,0) + IF(Y$4&gt;$E78,MIN(Y78,$I78-SUM($J78:Y78)))</f>
        <v>2.772811737586943</v>
      </c>
      <c r="AA78" s="2">
        <f>IF(Z$4=$E78, $I78*Z$55,0) + IF(Z$4&gt;$E78,MIN(Z78,$I78-SUM($J78:Z78)))</f>
        <v>2.772811737586943</v>
      </c>
      <c r="AB78" s="2">
        <f>IF(AA$4=$E78, $I78*AA$55,0) + IF(AA$4&gt;$E78,MIN(AA78,$I78-SUM($J78:AA78)))</f>
        <v>2.772811737586943</v>
      </c>
      <c r="AC78" s="2">
        <f>IF(AB$4=$E78, $I78*AB$55,0) + IF(AB$4&gt;$E78,MIN(AB78,$I78-SUM($J78:AB78)))</f>
        <v>2.772811737586943</v>
      </c>
      <c r="AD78" s="2">
        <f>IF(AC$4=$E78, $I78*AC$55,0) + IF(AC$4&gt;$E78,MIN(AC78,$I78-SUM($J78:AC78)))</f>
        <v>2.772811737586943</v>
      </c>
      <c r="AE78" s="2">
        <f>IF(AD$4=$E78, $I78*AD$55,0) + IF(AD$4&gt;$E78,MIN(AD78,$I78-SUM($J78:AD78)))</f>
        <v>2.772811737586943</v>
      </c>
      <c r="AF78" s="2">
        <f>IF(AE$4=$E78, $I78*AE$55,0) + IF(AE$4&gt;$E78,MIN(AE78,$I78-SUM($J78:AE78)))</f>
        <v>2.772811737586943</v>
      </c>
      <c r="AG78" s="2">
        <f>IF(AF$4=$E78, $I78*AF$55,0) + IF(AF$4&gt;$E78,MIN(AF78,$I78-SUM($J78:AF78)))</f>
        <v>2.772811737586943</v>
      </c>
      <c r="AH78" s="2">
        <f>IF(AG$4=$E78, $I78*AG$55,0) + IF(AG$4&gt;$E78,MIN(AG78,$I78-SUM($J78:AG78)))</f>
        <v>2.772811737586943</v>
      </c>
      <c r="AI78" s="2">
        <f>IF(AH$4=$E78, $I78*AH$55,0) + IF(AH$4&gt;$E78,MIN(AH78,$I78-SUM($J78:AH78)))</f>
        <v>2.772811737586943</v>
      </c>
      <c r="AJ78" s="2">
        <f>IF(AI$4=$E78, $I78*AI$55,0) + IF(AI$4&gt;$E78,MIN(AI78,$I78-SUM($J78:AI78)))</f>
        <v>2.772811737586943</v>
      </c>
      <c r="AK78" s="2">
        <f>IF(AJ$4=$E78, $I78*AJ$55,0) + IF(AJ$4&gt;$E78,MIN(AJ78,$I78-SUM($J78:AJ78)))</f>
        <v>2.772811737586943</v>
      </c>
      <c r="AL78" s="2">
        <f>IF(AK$4=$E78, $I78*AK$55,0) + IF(AK$4&gt;$E78,MIN(AK78,$I78-SUM($J78:AK78)))</f>
        <v>2.772811737586943</v>
      </c>
      <c r="AM78" s="2">
        <f>IF(AL$4=$E78, $I78*AL$55,0) + IF(AL$4&gt;$E78,MIN(AL78,$I78-SUM($J78:AL78)))</f>
        <v>2.772811737586943</v>
      </c>
      <c r="AN78" s="2">
        <f>IF(AM$4=$E78, $I78*AM$55,0) + IF(AM$4&gt;$E78,MIN(AM78,$I78-SUM($J78:AM78)))</f>
        <v>2.772811737586943</v>
      </c>
      <c r="AO78" s="2">
        <f>IF(AN$4=$E78, $I78*AN$55,0) + IF(AN$4&gt;$E78,MIN(AN78,$I78-SUM($J78:AN78)))</f>
        <v>2.772811737586943</v>
      </c>
      <c r="AP78" s="2">
        <f>IF(AO$4=$E78, $I78*AO$55,0) + IF(AO$4&gt;$E78,MIN(AO78,$I78-SUM($J78:AO78)))</f>
        <v>2.772811737586943</v>
      </c>
      <c r="AQ78" s="57">
        <f>IF(AP$4=$E78, $I78*AP$55,0) + IF(AP$4&gt;$E78,MIN(AP78,$I78-SUM($J78:AP78)))</f>
        <v>2.772811737586943</v>
      </c>
      <c r="AR78" s="2">
        <f>IF(AQ$4=$E78, $I78*AQ$55,0) + IF(AQ$4&gt;$E78,MIN(AQ78,$I78-SUM($J78:AQ78)))</f>
        <v>2.772811737586943</v>
      </c>
      <c r="AS78" s="2">
        <f>IF(AR$4=$E78, $I78*AR$55,0) + IF(AR$4&gt;$E78,MIN(AR78,$I78-SUM($J78:AR78)))</f>
        <v>2.772811737586943</v>
      </c>
      <c r="AT78" s="2">
        <f>IF(AS$4=$E78, $I78*AS$55,0) + IF(AS$4&gt;$E78,MIN(AS78,$I78-SUM($J78:AS78)))</f>
        <v>2.772811737586943</v>
      </c>
      <c r="AU78" s="2">
        <f>IF(AT$4=$E78, $I78*AT$55,0) + IF(AT$4&gt;$E78,MIN(AT78,$I78-SUM($J78:AT78)))</f>
        <v>2.772811737586943</v>
      </c>
      <c r="AV78" s="2">
        <f>IF(AU$4=$E78, $I78*AU$55,0) + IF(AU$4&gt;$E78,MIN(AU78,$I78-SUM($J78:AU78)))</f>
        <v>2.772811737586943</v>
      </c>
      <c r="AW78" s="2"/>
    </row>
    <row r="79" spans="5:49" ht="15" outlineLevel="1">
      <c r="E79" s="44">
        <f>INDEX($K$4:$AV$4,,COUNT(E$65:E78)+1)</f>
        <v>38077</v>
      </c>
      <c r="G79" s="2" t="s">
        <v>105</v>
      </c>
      <c r="I79" s="2">
        <f t="shared" si="62"/>
        <v>97.405183056914325</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2.9250805722797097</v>
      </c>
      <c r="Z79" s="2">
        <f>IF(Y$4=$E79, $I79*Y$55,0) + IF(Y$4&gt;$E79,MIN(Y79,$I79-SUM($J79:Y79)))</f>
        <v>2.9250805722797097</v>
      </c>
      <c r="AA79" s="2">
        <f>IF(Z$4=$E79, $I79*Z$55,0) + IF(Z$4&gt;$E79,MIN(Z79,$I79-SUM($J79:Z79)))</f>
        <v>2.9250805722797097</v>
      </c>
      <c r="AB79" s="2">
        <f>IF(AA$4=$E79, $I79*AA$55,0) + IF(AA$4&gt;$E79,MIN(AA79,$I79-SUM($J79:AA79)))</f>
        <v>2.9250805722797097</v>
      </c>
      <c r="AC79" s="2">
        <f>IF(AB$4=$E79, $I79*AB$55,0) + IF(AB$4&gt;$E79,MIN(AB79,$I79-SUM($J79:AB79)))</f>
        <v>2.9250805722797097</v>
      </c>
      <c r="AD79" s="2">
        <f>IF(AC$4=$E79, $I79*AC$55,0) + IF(AC$4&gt;$E79,MIN(AC79,$I79-SUM($J79:AC79)))</f>
        <v>2.9250805722797097</v>
      </c>
      <c r="AE79" s="2">
        <f>IF(AD$4=$E79, $I79*AD$55,0) + IF(AD$4&gt;$E79,MIN(AD79,$I79-SUM($J79:AD79)))</f>
        <v>2.9250805722797097</v>
      </c>
      <c r="AF79" s="2">
        <f>IF(AE$4=$E79, $I79*AE$55,0) + IF(AE$4&gt;$E79,MIN(AE79,$I79-SUM($J79:AE79)))</f>
        <v>2.9250805722797097</v>
      </c>
      <c r="AG79" s="2">
        <f>IF(AF$4=$E79, $I79*AF$55,0) + IF(AF$4&gt;$E79,MIN(AF79,$I79-SUM($J79:AF79)))</f>
        <v>2.9250805722797097</v>
      </c>
      <c r="AH79" s="2">
        <f>IF(AG$4=$E79, $I79*AG$55,0) + IF(AG$4&gt;$E79,MIN(AG79,$I79-SUM($J79:AG79)))</f>
        <v>2.9250805722797097</v>
      </c>
      <c r="AI79" s="2">
        <f>IF(AH$4=$E79, $I79*AH$55,0) + IF(AH$4&gt;$E79,MIN(AH79,$I79-SUM($J79:AH79)))</f>
        <v>2.9250805722797097</v>
      </c>
      <c r="AJ79" s="2">
        <f>IF(AI$4=$E79, $I79*AI$55,0) + IF(AI$4&gt;$E79,MIN(AI79,$I79-SUM($J79:AI79)))</f>
        <v>2.9250805722797097</v>
      </c>
      <c r="AK79" s="2">
        <f>IF(AJ$4=$E79, $I79*AJ$55,0) + IF(AJ$4&gt;$E79,MIN(AJ79,$I79-SUM($J79:AJ79)))</f>
        <v>2.9250805722797097</v>
      </c>
      <c r="AL79" s="2">
        <f>IF(AK$4=$E79, $I79*AK$55,0) + IF(AK$4&gt;$E79,MIN(AK79,$I79-SUM($J79:AK79)))</f>
        <v>2.9250805722797097</v>
      </c>
      <c r="AM79" s="2">
        <f>IF(AL$4=$E79, $I79*AL$55,0) + IF(AL$4&gt;$E79,MIN(AL79,$I79-SUM($J79:AL79)))</f>
        <v>2.9250805722797097</v>
      </c>
      <c r="AN79" s="2">
        <f>IF(AM$4=$E79, $I79*AM$55,0) + IF(AM$4&gt;$E79,MIN(AM79,$I79-SUM($J79:AM79)))</f>
        <v>2.9250805722797097</v>
      </c>
      <c r="AO79" s="2">
        <f>IF(AN$4=$E79, $I79*AN$55,0) + IF(AN$4&gt;$E79,MIN(AN79,$I79-SUM($J79:AN79)))</f>
        <v>2.9250805722797097</v>
      </c>
      <c r="AP79" s="2">
        <f>IF(AO$4=$E79, $I79*AO$55,0) + IF(AO$4&gt;$E79,MIN(AO79,$I79-SUM($J79:AO79)))</f>
        <v>2.9250805722797097</v>
      </c>
      <c r="AQ79" s="57">
        <f>IF(AP$4=$E79, $I79*AP$55,0) + IF(AP$4&gt;$E79,MIN(AP79,$I79-SUM($J79:AP79)))</f>
        <v>2.9250805722797097</v>
      </c>
      <c r="AR79" s="2">
        <f>IF(AQ$4=$E79, $I79*AQ$55,0) + IF(AQ$4&gt;$E79,MIN(AQ79,$I79-SUM($J79:AQ79)))</f>
        <v>2.9250805722797097</v>
      </c>
      <c r="AS79" s="2">
        <f>IF(AR$4=$E79, $I79*AR$55,0) + IF(AR$4&gt;$E79,MIN(AR79,$I79-SUM($J79:AR79)))</f>
        <v>2.9250805722797097</v>
      </c>
      <c r="AT79" s="2">
        <f>IF(AS$4=$E79, $I79*AS$55,0) + IF(AS$4&gt;$E79,MIN(AS79,$I79-SUM($J79:AS79)))</f>
        <v>2.9250805722797097</v>
      </c>
      <c r="AU79" s="2">
        <f>IF(AT$4=$E79, $I79*AT$55,0) + IF(AT$4&gt;$E79,MIN(AT79,$I79-SUM($J79:AT79)))</f>
        <v>2.9250805722797097</v>
      </c>
      <c r="AV79" s="2">
        <f>IF(AU$4=$E79, $I79*AU$55,0) + IF(AU$4&gt;$E79,MIN(AU79,$I79-SUM($J79:AU79)))</f>
        <v>2.9250805722797097</v>
      </c>
      <c r="AW79" s="2"/>
    </row>
    <row r="80" spans="5:49" ht="15" outlineLevel="1">
      <c r="E80" s="44">
        <f>INDEX($K$4:$AV$4,,COUNT(E$65:E79)+1)</f>
        <v>38442</v>
      </c>
      <c r="G80" s="2" t="s">
        <v>105</v>
      </c>
      <c r="I80" s="2">
        <f t="shared" si="62"/>
        <v>91.254455029953064</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2.7403740249235158</v>
      </c>
      <c r="AA80" s="2">
        <f>IF(Z$4=$E80, $I80*Z$55,0) + IF(Z$4&gt;$E80,MIN(Z80,$I80-SUM($J80:Z80)))</f>
        <v>2.7403740249235158</v>
      </c>
      <c r="AB80" s="2">
        <f>IF(AA$4=$E80, $I80*AA$55,0) + IF(AA$4&gt;$E80,MIN(AA80,$I80-SUM($J80:AA80)))</f>
        <v>2.7403740249235158</v>
      </c>
      <c r="AC80" s="2">
        <f>IF(AB$4=$E80, $I80*AB$55,0) + IF(AB$4&gt;$E80,MIN(AB80,$I80-SUM($J80:AB80)))</f>
        <v>2.7403740249235158</v>
      </c>
      <c r="AD80" s="2">
        <f>IF(AC$4=$E80, $I80*AC$55,0) + IF(AC$4&gt;$E80,MIN(AC80,$I80-SUM($J80:AC80)))</f>
        <v>2.7403740249235158</v>
      </c>
      <c r="AE80" s="2">
        <f>IF(AD$4=$E80, $I80*AD$55,0) + IF(AD$4&gt;$E80,MIN(AD80,$I80-SUM($J80:AD80)))</f>
        <v>2.7403740249235158</v>
      </c>
      <c r="AF80" s="2">
        <f>IF(AE$4=$E80, $I80*AE$55,0) + IF(AE$4&gt;$E80,MIN(AE80,$I80-SUM($J80:AE80)))</f>
        <v>2.7403740249235158</v>
      </c>
      <c r="AG80" s="2">
        <f>IF(AF$4=$E80, $I80*AF$55,0) + IF(AF$4&gt;$E80,MIN(AF80,$I80-SUM($J80:AF80)))</f>
        <v>2.7403740249235158</v>
      </c>
      <c r="AH80" s="2">
        <f>IF(AG$4=$E80, $I80*AG$55,0) + IF(AG$4&gt;$E80,MIN(AG80,$I80-SUM($J80:AG80)))</f>
        <v>2.7403740249235158</v>
      </c>
      <c r="AI80" s="2">
        <f>IF(AH$4=$E80, $I80*AH$55,0) + IF(AH$4&gt;$E80,MIN(AH80,$I80-SUM($J80:AH80)))</f>
        <v>2.7403740249235158</v>
      </c>
      <c r="AJ80" s="2">
        <f>IF(AI$4=$E80, $I80*AI$55,0) + IF(AI$4&gt;$E80,MIN(AI80,$I80-SUM($J80:AI80)))</f>
        <v>2.7403740249235158</v>
      </c>
      <c r="AK80" s="2">
        <f>IF(AJ$4=$E80, $I80*AJ$55,0) + IF(AJ$4&gt;$E80,MIN(AJ80,$I80-SUM($J80:AJ80)))</f>
        <v>2.7403740249235158</v>
      </c>
      <c r="AL80" s="2">
        <f>IF(AK$4=$E80, $I80*AK$55,0) + IF(AK$4&gt;$E80,MIN(AK80,$I80-SUM($J80:AK80)))</f>
        <v>2.7403740249235158</v>
      </c>
      <c r="AM80" s="2">
        <f>IF(AL$4=$E80, $I80*AL$55,0) + IF(AL$4&gt;$E80,MIN(AL80,$I80-SUM($J80:AL80)))</f>
        <v>2.7403740249235158</v>
      </c>
      <c r="AN80" s="2">
        <f>IF(AM$4=$E80, $I80*AM$55,0) + IF(AM$4&gt;$E80,MIN(AM80,$I80-SUM($J80:AM80)))</f>
        <v>2.7403740249235158</v>
      </c>
      <c r="AO80" s="2">
        <f>IF(AN$4=$E80, $I80*AN$55,0) + IF(AN$4&gt;$E80,MIN(AN80,$I80-SUM($J80:AN80)))</f>
        <v>2.7403740249235158</v>
      </c>
      <c r="AP80" s="2">
        <f>IF(AO$4=$E80, $I80*AO$55,0) + IF(AO$4&gt;$E80,MIN(AO80,$I80-SUM($J80:AO80)))</f>
        <v>2.7403740249235158</v>
      </c>
      <c r="AQ80" s="57">
        <f>IF(AP$4=$E80, $I80*AP$55,0) + IF(AP$4&gt;$E80,MIN(AP80,$I80-SUM($J80:AP80)))</f>
        <v>2.7403740249235158</v>
      </c>
      <c r="AR80" s="2">
        <f>IF(AQ$4=$E80, $I80*AQ$55,0) + IF(AQ$4&gt;$E80,MIN(AQ80,$I80-SUM($J80:AQ80)))</f>
        <v>2.7403740249235158</v>
      </c>
      <c r="AS80" s="2">
        <f>IF(AR$4=$E80, $I80*AR$55,0) + IF(AR$4&gt;$E80,MIN(AR80,$I80-SUM($J80:AR80)))</f>
        <v>2.7403740249235158</v>
      </c>
      <c r="AT80" s="2">
        <f>IF(AS$4=$E80, $I80*AS$55,0) + IF(AS$4&gt;$E80,MIN(AS80,$I80-SUM($J80:AS80)))</f>
        <v>2.7403740249235158</v>
      </c>
      <c r="AU80" s="2">
        <f>IF(AT$4=$E80, $I80*AT$55,0) + IF(AT$4&gt;$E80,MIN(AT80,$I80-SUM($J80:AT80)))</f>
        <v>2.7403740249235158</v>
      </c>
      <c r="AV80" s="2">
        <f>IF(AU$4=$E80, $I80*AU$55,0) + IF(AU$4&gt;$E80,MIN(AU80,$I80-SUM($J80:AU80)))</f>
        <v>2.7403740249235158</v>
      </c>
      <c r="AW80" s="2"/>
    </row>
    <row r="81" spans="5:49" ht="15" outlineLevel="1">
      <c r="E81" s="44">
        <f>INDEX($K$4:$AV$4,,COUNT(E$65:E80)+1)</f>
        <v>38807</v>
      </c>
      <c r="G81" s="2" t="s">
        <v>105</v>
      </c>
      <c r="I81" s="2">
        <f t="shared" si="62"/>
        <v>107.8513973764981</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3.2387807019969403</v>
      </c>
      <c r="AB81" s="2">
        <f>IF(AA$4=$E81, $I81*AA$55,0) + IF(AA$4&gt;$E81,MIN(AA81,$I81-SUM($J81:AA81)))</f>
        <v>3.2387807019969403</v>
      </c>
      <c r="AC81" s="2">
        <f>IF(AB$4=$E81, $I81*AB$55,0) + IF(AB$4&gt;$E81,MIN(AB81,$I81-SUM($J81:AB81)))</f>
        <v>3.2387807019969403</v>
      </c>
      <c r="AD81" s="2">
        <f>IF(AC$4=$E81, $I81*AC$55,0) + IF(AC$4&gt;$E81,MIN(AC81,$I81-SUM($J81:AC81)))</f>
        <v>3.2387807019969403</v>
      </c>
      <c r="AE81" s="2">
        <f>IF(AD$4=$E81, $I81*AD$55,0) + IF(AD$4&gt;$E81,MIN(AD81,$I81-SUM($J81:AD81)))</f>
        <v>3.2387807019969403</v>
      </c>
      <c r="AF81" s="2">
        <f>IF(AE$4=$E81, $I81*AE$55,0) + IF(AE$4&gt;$E81,MIN(AE81,$I81-SUM($J81:AE81)))</f>
        <v>3.2387807019969403</v>
      </c>
      <c r="AG81" s="2">
        <f>IF(AF$4=$E81, $I81*AF$55,0) + IF(AF$4&gt;$E81,MIN(AF81,$I81-SUM($J81:AF81)))</f>
        <v>3.2387807019969403</v>
      </c>
      <c r="AH81" s="2">
        <f>IF(AG$4=$E81, $I81*AG$55,0) + IF(AG$4&gt;$E81,MIN(AG81,$I81-SUM($J81:AG81)))</f>
        <v>3.2387807019969403</v>
      </c>
      <c r="AI81" s="2">
        <f>IF(AH$4=$E81, $I81*AH$55,0) + IF(AH$4&gt;$E81,MIN(AH81,$I81-SUM($J81:AH81)))</f>
        <v>3.2387807019969403</v>
      </c>
      <c r="AJ81" s="2">
        <f>IF(AI$4=$E81, $I81*AI$55,0) + IF(AI$4&gt;$E81,MIN(AI81,$I81-SUM($J81:AI81)))</f>
        <v>3.2387807019969403</v>
      </c>
      <c r="AK81" s="2">
        <f>IF(AJ$4=$E81, $I81*AJ$55,0) + IF(AJ$4&gt;$E81,MIN(AJ81,$I81-SUM($J81:AJ81)))</f>
        <v>3.2387807019969403</v>
      </c>
      <c r="AL81" s="2">
        <f>IF(AK$4=$E81, $I81*AK$55,0) + IF(AK$4&gt;$E81,MIN(AK81,$I81-SUM($J81:AK81)))</f>
        <v>3.2387807019969403</v>
      </c>
      <c r="AM81" s="2">
        <f>IF(AL$4=$E81, $I81*AL$55,0) + IF(AL$4&gt;$E81,MIN(AL81,$I81-SUM($J81:AL81)))</f>
        <v>3.2387807019969403</v>
      </c>
      <c r="AN81" s="2">
        <f>IF(AM$4=$E81, $I81*AM$55,0) + IF(AM$4&gt;$E81,MIN(AM81,$I81-SUM($J81:AM81)))</f>
        <v>3.2387807019969403</v>
      </c>
      <c r="AO81" s="2">
        <f>IF(AN$4=$E81, $I81*AN$55,0) + IF(AN$4&gt;$E81,MIN(AN81,$I81-SUM($J81:AN81)))</f>
        <v>3.2387807019969403</v>
      </c>
      <c r="AP81" s="2">
        <f>IF(AO$4=$E81, $I81*AO$55,0) + IF(AO$4&gt;$E81,MIN(AO81,$I81-SUM($J81:AO81)))</f>
        <v>3.2387807019969403</v>
      </c>
      <c r="AQ81" s="57">
        <f>IF(AP$4=$E81, $I81*AP$55,0) + IF(AP$4&gt;$E81,MIN(AP81,$I81-SUM($J81:AP81)))</f>
        <v>3.2387807019969403</v>
      </c>
      <c r="AR81" s="2">
        <f>IF(AQ$4=$E81, $I81*AQ$55,0) + IF(AQ$4&gt;$E81,MIN(AQ81,$I81-SUM($J81:AQ81)))</f>
        <v>3.2387807019969403</v>
      </c>
      <c r="AS81" s="2">
        <f>IF(AR$4=$E81, $I81*AR$55,0) + IF(AR$4&gt;$E81,MIN(AR81,$I81-SUM($J81:AR81)))</f>
        <v>3.2387807019969403</v>
      </c>
      <c r="AT81" s="2">
        <f>IF(AS$4=$E81, $I81*AS$55,0) + IF(AS$4&gt;$E81,MIN(AS81,$I81-SUM($J81:AS81)))</f>
        <v>3.2387807019969403</v>
      </c>
      <c r="AU81" s="2">
        <f>IF(AT$4=$E81, $I81*AT$55,0) + IF(AT$4&gt;$E81,MIN(AT81,$I81-SUM($J81:AT81)))</f>
        <v>3.2387807019969403</v>
      </c>
      <c r="AV81" s="2">
        <f>IF(AU$4=$E81, $I81*AU$55,0) + IF(AU$4&gt;$E81,MIN(AU81,$I81-SUM($J81:AU81)))</f>
        <v>3.2387807019969403</v>
      </c>
      <c r="AW81" s="2"/>
    </row>
    <row r="82" spans="5:49" ht="15" outlineLevel="1">
      <c r="E82" s="44">
        <f>INDEX($K$4:$AV$4,,COUNT(E$65:E81)+1)</f>
        <v>39172</v>
      </c>
      <c r="G82" s="2" t="s">
        <v>105</v>
      </c>
      <c r="I82" s="2">
        <f t="shared" si="62"/>
        <v>112.7814106362575</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3.3868291482359614</v>
      </c>
      <c r="AC82" s="2">
        <f>IF(AB$4=$E82, $I82*AB$55,0) + IF(AB$4&gt;$E82,MIN(AB82,$I82-SUM($J82:AB82)))</f>
        <v>3.3868291482359614</v>
      </c>
      <c r="AD82" s="2">
        <f>IF(AC$4=$E82, $I82*AC$55,0) + IF(AC$4&gt;$E82,MIN(AC82,$I82-SUM($J82:AC82)))</f>
        <v>3.3868291482359614</v>
      </c>
      <c r="AE82" s="2">
        <f>IF(AD$4=$E82, $I82*AD$55,0) + IF(AD$4&gt;$E82,MIN(AD82,$I82-SUM($J82:AD82)))</f>
        <v>3.3868291482359614</v>
      </c>
      <c r="AF82" s="2">
        <f>IF(AE$4=$E82, $I82*AE$55,0) + IF(AE$4&gt;$E82,MIN(AE82,$I82-SUM($J82:AE82)))</f>
        <v>3.3868291482359614</v>
      </c>
      <c r="AG82" s="2">
        <f>IF(AF$4=$E82, $I82*AF$55,0) + IF(AF$4&gt;$E82,MIN(AF82,$I82-SUM($J82:AF82)))</f>
        <v>3.3868291482359614</v>
      </c>
      <c r="AH82" s="2">
        <f>IF(AG$4=$E82, $I82*AG$55,0) + IF(AG$4&gt;$E82,MIN(AG82,$I82-SUM($J82:AG82)))</f>
        <v>3.3868291482359614</v>
      </c>
      <c r="AI82" s="2">
        <f>IF(AH$4=$E82, $I82*AH$55,0) + IF(AH$4&gt;$E82,MIN(AH82,$I82-SUM($J82:AH82)))</f>
        <v>3.3868291482359614</v>
      </c>
      <c r="AJ82" s="2">
        <f>IF(AI$4=$E82, $I82*AI$55,0) + IF(AI$4&gt;$E82,MIN(AI82,$I82-SUM($J82:AI82)))</f>
        <v>3.3868291482359614</v>
      </c>
      <c r="AK82" s="2">
        <f>IF(AJ$4=$E82, $I82*AJ$55,0) + IF(AJ$4&gt;$E82,MIN(AJ82,$I82-SUM($J82:AJ82)))</f>
        <v>3.3868291482359614</v>
      </c>
      <c r="AL82" s="2">
        <f>IF(AK$4=$E82, $I82*AK$55,0) + IF(AK$4&gt;$E82,MIN(AK82,$I82-SUM($J82:AK82)))</f>
        <v>3.3868291482359614</v>
      </c>
      <c r="AM82" s="2">
        <f>IF(AL$4=$E82, $I82*AL$55,0) + IF(AL$4&gt;$E82,MIN(AL82,$I82-SUM($J82:AL82)))</f>
        <v>3.3868291482359614</v>
      </c>
      <c r="AN82" s="2">
        <f>IF(AM$4=$E82, $I82*AM$55,0) + IF(AM$4&gt;$E82,MIN(AM82,$I82-SUM($J82:AM82)))</f>
        <v>3.3868291482359614</v>
      </c>
      <c r="AO82" s="2">
        <f>IF(AN$4=$E82, $I82*AN$55,0) + IF(AN$4&gt;$E82,MIN(AN82,$I82-SUM($J82:AN82)))</f>
        <v>3.3868291482359614</v>
      </c>
      <c r="AP82" s="2">
        <f>IF(AO$4=$E82, $I82*AO$55,0) + IF(AO$4&gt;$E82,MIN(AO82,$I82-SUM($J82:AO82)))</f>
        <v>3.3868291482359614</v>
      </c>
      <c r="AQ82" s="57">
        <f>IF(AP$4=$E82, $I82*AP$55,0) + IF(AP$4&gt;$E82,MIN(AP82,$I82-SUM($J82:AP82)))</f>
        <v>3.3868291482359614</v>
      </c>
      <c r="AR82" s="2">
        <f>IF(AQ$4=$E82, $I82*AQ$55,0) + IF(AQ$4&gt;$E82,MIN(AQ82,$I82-SUM($J82:AQ82)))</f>
        <v>3.3868291482359614</v>
      </c>
      <c r="AS82" s="2">
        <f>IF(AR$4=$E82, $I82*AR$55,0) + IF(AR$4&gt;$E82,MIN(AR82,$I82-SUM($J82:AR82)))</f>
        <v>3.3868291482359614</v>
      </c>
      <c r="AT82" s="2">
        <f>IF(AS$4=$E82, $I82*AS$55,0) + IF(AS$4&gt;$E82,MIN(AS82,$I82-SUM($J82:AS82)))</f>
        <v>3.3868291482359614</v>
      </c>
      <c r="AU82" s="2">
        <f>IF(AT$4=$E82, $I82*AT$55,0) + IF(AT$4&gt;$E82,MIN(AT82,$I82-SUM($J82:AT82)))</f>
        <v>3.3868291482359614</v>
      </c>
      <c r="AV82" s="2">
        <f>IF(AU$4=$E82, $I82*AU$55,0) + IF(AU$4&gt;$E82,MIN(AU82,$I82-SUM($J82:AU82)))</f>
        <v>3.3868291482359614</v>
      </c>
      <c r="AW82" s="2"/>
    </row>
    <row r="83" spans="5:49" ht="15" outlineLevel="1">
      <c r="E83" s="44">
        <f>INDEX($K$4:$AV$4,,COUNT(E$65:E82)+1)</f>
        <v>39538</v>
      </c>
      <c r="G83" s="2" t="s">
        <v>105</v>
      </c>
      <c r="I83" s="2">
        <f t="shared" si="62"/>
        <v>129.46104758722427</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3.8877191467634922</v>
      </c>
      <c r="AD83" s="2">
        <f>IF(AC$4=$E83, $I83*AC$55,0) + IF(AC$4&gt;$E83,MIN(AC83,$I83-SUM($J83:AC83)))</f>
        <v>3.8877191467634922</v>
      </c>
      <c r="AE83" s="2">
        <f>IF(AD$4=$E83, $I83*AD$55,0) + IF(AD$4&gt;$E83,MIN(AD83,$I83-SUM($J83:AD83)))</f>
        <v>3.8877191467634922</v>
      </c>
      <c r="AF83" s="2">
        <f>IF(AE$4=$E83, $I83*AE$55,0) + IF(AE$4&gt;$E83,MIN(AE83,$I83-SUM($J83:AE83)))</f>
        <v>3.8877191467634922</v>
      </c>
      <c r="AG83" s="2">
        <f>IF(AF$4=$E83, $I83*AF$55,0) + IF(AF$4&gt;$E83,MIN(AF83,$I83-SUM($J83:AF83)))</f>
        <v>3.8877191467634922</v>
      </c>
      <c r="AH83" s="2">
        <f>IF(AG$4=$E83, $I83*AG$55,0) + IF(AG$4&gt;$E83,MIN(AG83,$I83-SUM($J83:AG83)))</f>
        <v>3.8877191467634922</v>
      </c>
      <c r="AI83" s="2">
        <f>IF(AH$4=$E83, $I83*AH$55,0) + IF(AH$4&gt;$E83,MIN(AH83,$I83-SUM($J83:AH83)))</f>
        <v>3.8877191467634922</v>
      </c>
      <c r="AJ83" s="2">
        <f>IF(AI$4=$E83, $I83*AI$55,0) + IF(AI$4&gt;$E83,MIN(AI83,$I83-SUM($J83:AI83)))</f>
        <v>3.8877191467634922</v>
      </c>
      <c r="AK83" s="2">
        <f>IF(AJ$4=$E83, $I83*AJ$55,0) + IF(AJ$4&gt;$E83,MIN(AJ83,$I83-SUM($J83:AJ83)))</f>
        <v>3.8877191467634922</v>
      </c>
      <c r="AL83" s="2">
        <f>IF(AK$4=$E83, $I83*AK$55,0) + IF(AK$4&gt;$E83,MIN(AK83,$I83-SUM($J83:AK83)))</f>
        <v>3.8877191467634922</v>
      </c>
      <c r="AM83" s="2">
        <f>IF(AL$4=$E83, $I83*AL$55,0) + IF(AL$4&gt;$E83,MIN(AL83,$I83-SUM($J83:AL83)))</f>
        <v>3.8877191467634922</v>
      </c>
      <c r="AN83" s="2">
        <f>IF(AM$4=$E83, $I83*AM$55,0) + IF(AM$4&gt;$E83,MIN(AM83,$I83-SUM($J83:AM83)))</f>
        <v>3.8877191467634922</v>
      </c>
      <c r="AO83" s="2">
        <f>IF(AN$4=$E83, $I83*AN$55,0) + IF(AN$4&gt;$E83,MIN(AN83,$I83-SUM($J83:AN83)))</f>
        <v>3.8877191467634922</v>
      </c>
      <c r="AP83" s="2">
        <f>IF(AO$4=$E83, $I83*AO$55,0) + IF(AO$4&gt;$E83,MIN(AO83,$I83-SUM($J83:AO83)))</f>
        <v>3.8877191467634922</v>
      </c>
      <c r="AQ83" s="57">
        <f>IF(AP$4=$E83, $I83*AP$55,0) + IF(AP$4&gt;$E83,MIN(AP83,$I83-SUM($J83:AP83)))</f>
        <v>3.8877191467634922</v>
      </c>
      <c r="AR83" s="2">
        <f>IF(AQ$4=$E83, $I83*AQ$55,0) + IF(AQ$4&gt;$E83,MIN(AQ83,$I83-SUM($J83:AQ83)))</f>
        <v>3.8877191467634922</v>
      </c>
      <c r="AS83" s="2">
        <f>IF(AR$4=$E83, $I83*AR$55,0) + IF(AR$4&gt;$E83,MIN(AR83,$I83-SUM($J83:AR83)))</f>
        <v>3.8877191467634922</v>
      </c>
      <c r="AT83" s="2">
        <f>IF(AS$4=$E83, $I83*AS$55,0) + IF(AS$4&gt;$E83,MIN(AS83,$I83-SUM($J83:AS83)))</f>
        <v>3.8877191467634922</v>
      </c>
      <c r="AU83" s="2">
        <f>IF(AT$4=$E83, $I83*AT$55,0) + IF(AT$4&gt;$E83,MIN(AT83,$I83-SUM($J83:AT83)))</f>
        <v>3.8877191467634922</v>
      </c>
      <c r="AV83" s="2">
        <f>IF(AU$4=$E83, $I83*AU$55,0) + IF(AU$4&gt;$E83,MIN(AU83,$I83-SUM($J83:AU83)))</f>
        <v>3.8877191467634922</v>
      </c>
      <c r="AW83" s="2"/>
    </row>
    <row r="84" spans="5:49" ht="15" outlineLevel="1">
      <c r="E84" s="44">
        <f>INDEX($K$4:$AV$4,,COUNT(E$65:E83)+1)</f>
        <v>39903</v>
      </c>
      <c r="G84" s="2" t="s">
        <v>105</v>
      </c>
      <c r="I84" s="2">
        <f t="shared" si="62"/>
        <v>128.05734461084816</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3.8455659042296748</v>
      </c>
      <c r="AE84" s="2">
        <f>IF(AD$4=$E84, $I84*AD$55,0) + IF(AD$4&gt;$E84,MIN(AD84,$I84-SUM($J84:AD84)))</f>
        <v>3.8455659042296748</v>
      </c>
      <c r="AF84" s="2">
        <f>IF(AE$4=$E84, $I84*AE$55,0) + IF(AE$4&gt;$E84,MIN(AE84,$I84-SUM($J84:AE84)))</f>
        <v>3.8455659042296748</v>
      </c>
      <c r="AG84" s="2">
        <f>IF(AF$4=$E84, $I84*AF$55,0) + IF(AF$4&gt;$E84,MIN(AF84,$I84-SUM($J84:AF84)))</f>
        <v>3.8455659042296748</v>
      </c>
      <c r="AH84" s="2">
        <f>IF(AG$4=$E84, $I84*AG$55,0) + IF(AG$4&gt;$E84,MIN(AG84,$I84-SUM($J84:AG84)))</f>
        <v>3.8455659042296748</v>
      </c>
      <c r="AI84" s="2">
        <f>IF(AH$4=$E84, $I84*AH$55,0) + IF(AH$4&gt;$E84,MIN(AH84,$I84-SUM($J84:AH84)))</f>
        <v>3.8455659042296748</v>
      </c>
      <c r="AJ84" s="2">
        <f>IF(AI$4=$E84, $I84*AI$55,0) + IF(AI$4&gt;$E84,MIN(AI84,$I84-SUM($J84:AI84)))</f>
        <v>3.8455659042296748</v>
      </c>
      <c r="AK84" s="2">
        <f>IF(AJ$4=$E84, $I84*AJ$55,0) + IF(AJ$4&gt;$E84,MIN(AJ84,$I84-SUM($J84:AJ84)))</f>
        <v>3.8455659042296748</v>
      </c>
      <c r="AL84" s="2">
        <f>IF(AK$4=$E84, $I84*AK$55,0) + IF(AK$4&gt;$E84,MIN(AK84,$I84-SUM($J84:AK84)))</f>
        <v>3.8455659042296748</v>
      </c>
      <c r="AM84" s="2">
        <f>IF(AL$4=$E84, $I84*AL$55,0) + IF(AL$4&gt;$E84,MIN(AL84,$I84-SUM($J84:AL84)))</f>
        <v>3.8455659042296748</v>
      </c>
      <c r="AN84" s="2">
        <f>IF(AM$4=$E84, $I84*AM$55,0) + IF(AM$4&gt;$E84,MIN(AM84,$I84-SUM($J84:AM84)))</f>
        <v>3.8455659042296748</v>
      </c>
      <c r="AO84" s="2">
        <f>IF(AN$4=$E84, $I84*AN$55,0) + IF(AN$4&gt;$E84,MIN(AN84,$I84-SUM($J84:AN84)))</f>
        <v>3.8455659042296748</v>
      </c>
      <c r="AP84" s="2">
        <f>IF(AO$4=$E84, $I84*AO$55,0) + IF(AO$4&gt;$E84,MIN(AO84,$I84-SUM($J84:AO84)))</f>
        <v>3.8455659042296748</v>
      </c>
      <c r="AQ84" s="57">
        <f>IF(AP$4=$E84, $I84*AP$55,0) + IF(AP$4&gt;$E84,MIN(AP84,$I84-SUM($J84:AP84)))</f>
        <v>3.8455659042296748</v>
      </c>
      <c r="AR84" s="2">
        <f>IF(AQ$4=$E84, $I84*AQ$55,0) + IF(AQ$4&gt;$E84,MIN(AQ84,$I84-SUM($J84:AQ84)))</f>
        <v>3.8455659042296748</v>
      </c>
      <c r="AS84" s="2">
        <f>IF(AR$4=$E84, $I84*AR$55,0) + IF(AR$4&gt;$E84,MIN(AR84,$I84-SUM($J84:AR84)))</f>
        <v>3.8455659042296748</v>
      </c>
      <c r="AT84" s="2">
        <f>IF(AS$4=$E84, $I84*AS$55,0) + IF(AS$4&gt;$E84,MIN(AS84,$I84-SUM($J84:AS84)))</f>
        <v>3.8455659042296748</v>
      </c>
      <c r="AU84" s="2">
        <f>IF(AT$4=$E84, $I84*AT$55,0) + IF(AT$4&gt;$E84,MIN(AT84,$I84-SUM($J84:AT84)))</f>
        <v>3.8455659042296748</v>
      </c>
      <c r="AV84" s="2">
        <f>IF(AU$4=$E84, $I84*AU$55,0) + IF(AU$4&gt;$E84,MIN(AU84,$I84-SUM($J84:AU84)))</f>
        <v>3.8455659042296748</v>
      </c>
      <c r="AW84" s="2"/>
    </row>
    <row r="85" spans="5:49" ht="15" outlineLevel="1">
      <c r="E85" s="44">
        <f>INDEX($K$4:$AV$4,,COUNT(E$65:E84)+1)</f>
        <v>40268</v>
      </c>
      <c r="G85" s="2" t="s">
        <v>105</v>
      </c>
      <c r="I85" s="2">
        <f t="shared" si="62"/>
        <v>124.36188074160526</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3.7345910132614195</v>
      </c>
      <c r="AF85" s="2">
        <f>IF(AE$4=$E85, $I85*AE$55,0) + IF(AE$4&gt;$E85,MIN(AE85,$I85-SUM($J85:AE85)))</f>
        <v>3.7345910132614195</v>
      </c>
      <c r="AG85" s="2">
        <f>IF(AF$4=$E85, $I85*AF$55,0) + IF(AF$4&gt;$E85,MIN(AF85,$I85-SUM($J85:AF85)))</f>
        <v>3.7345910132614195</v>
      </c>
      <c r="AH85" s="2">
        <f>IF(AG$4=$E85, $I85*AG$55,0) + IF(AG$4&gt;$E85,MIN(AG85,$I85-SUM($J85:AG85)))</f>
        <v>3.7345910132614195</v>
      </c>
      <c r="AI85" s="2">
        <f>IF(AH$4=$E85, $I85*AH$55,0) + IF(AH$4&gt;$E85,MIN(AH85,$I85-SUM($J85:AH85)))</f>
        <v>3.7345910132614195</v>
      </c>
      <c r="AJ85" s="2">
        <f>IF(AI$4=$E85, $I85*AI$55,0) + IF(AI$4&gt;$E85,MIN(AI85,$I85-SUM($J85:AI85)))</f>
        <v>3.7345910132614195</v>
      </c>
      <c r="AK85" s="2">
        <f>IF(AJ$4=$E85, $I85*AJ$55,0) + IF(AJ$4&gt;$E85,MIN(AJ85,$I85-SUM($J85:AJ85)))</f>
        <v>3.7345910132614195</v>
      </c>
      <c r="AL85" s="2">
        <f>IF(AK$4=$E85, $I85*AK$55,0) + IF(AK$4&gt;$E85,MIN(AK85,$I85-SUM($J85:AK85)))</f>
        <v>3.7345910132614195</v>
      </c>
      <c r="AM85" s="2">
        <f>IF(AL$4=$E85, $I85*AL$55,0) + IF(AL$4&gt;$E85,MIN(AL85,$I85-SUM($J85:AL85)))</f>
        <v>3.7345910132614195</v>
      </c>
      <c r="AN85" s="2">
        <f>IF(AM$4=$E85, $I85*AM$55,0) + IF(AM$4&gt;$E85,MIN(AM85,$I85-SUM($J85:AM85)))</f>
        <v>3.7345910132614195</v>
      </c>
      <c r="AO85" s="2">
        <f>IF(AN$4=$E85, $I85*AN$55,0) + IF(AN$4&gt;$E85,MIN(AN85,$I85-SUM($J85:AN85)))</f>
        <v>3.7345910132614195</v>
      </c>
      <c r="AP85" s="2">
        <f>IF(AO$4=$E85, $I85*AO$55,0) + IF(AO$4&gt;$E85,MIN(AO85,$I85-SUM($J85:AO85)))</f>
        <v>3.7345910132614195</v>
      </c>
      <c r="AQ85" s="57">
        <f>IF(AP$4=$E85, $I85*AP$55,0) + IF(AP$4&gt;$E85,MIN(AP85,$I85-SUM($J85:AP85)))</f>
        <v>3.7345910132614195</v>
      </c>
      <c r="AR85" s="2">
        <f>IF(AQ$4=$E85, $I85*AQ$55,0) + IF(AQ$4&gt;$E85,MIN(AQ85,$I85-SUM($J85:AQ85)))</f>
        <v>3.7345910132614195</v>
      </c>
      <c r="AS85" s="2">
        <f>IF(AR$4=$E85, $I85*AR$55,0) + IF(AR$4&gt;$E85,MIN(AR85,$I85-SUM($J85:AR85)))</f>
        <v>3.7345910132614195</v>
      </c>
      <c r="AT85" s="2">
        <f>IF(AS$4=$E85, $I85*AS$55,0) + IF(AS$4&gt;$E85,MIN(AS85,$I85-SUM($J85:AS85)))</f>
        <v>3.7345910132614195</v>
      </c>
      <c r="AU85" s="2">
        <f>IF(AT$4=$E85, $I85*AT$55,0) + IF(AT$4&gt;$E85,MIN(AT85,$I85-SUM($J85:AT85)))</f>
        <v>3.7345910132614195</v>
      </c>
      <c r="AV85" s="2">
        <f>IF(AU$4=$E85, $I85*AU$55,0) + IF(AU$4&gt;$E85,MIN(AU85,$I85-SUM($J85:AU85)))</f>
        <v>3.7345910132614195</v>
      </c>
      <c r="AW85" s="2"/>
    </row>
    <row r="86" spans="5:49" ht="15" outlineLevel="1">
      <c r="E86" s="44">
        <f>INDEX($K$4:$AV$4,,COUNT(E$65:E85)+1)</f>
        <v>40633</v>
      </c>
      <c r="G86" s="2" t="s">
        <v>105</v>
      </c>
      <c r="I86" s="2">
        <f t="shared" si="62"/>
        <v>110.51366635320358</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3.3187287193154229</v>
      </c>
      <c r="AG86" s="2">
        <f>IF(AF$4=$E86, $I86*AF$55,0) + IF(AF$4&gt;$E86,MIN(AF86,$I86-SUM($J86:AF86)))</f>
        <v>3.3187287193154229</v>
      </c>
      <c r="AH86" s="2">
        <f>IF(AG$4=$E86, $I86*AG$55,0) + IF(AG$4&gt;$E86,MIN(AG86,$I86-SUM($J86:AG86)))</f>
        <v>3.3187287193154229</v>
      </c>
      <c r="AI86" s="2">
        <f>IF(AH$4=$E86, $I86*AH$55,0) + IF(AH$4&gt;$E86,MIN(AH86,$I86-SUM($J86:AH86)))</f>
        <v>3.3187287193154229</v>
      </c>
      <c r="AJ86" s="2">
        <f>IF(AI$4=$E86, $I86*AI$55,0) + IF(AI$4&gt;$E86,MIN(AI86,$I86-SUM($J86:AI86)))</f>
        <v>3.3187287193154229</v>
      </c>
      <c r="AK86" s="2">
        <f>IF(AJ$4=$E86, $I86*AJ$55,0) + IF(AJ$4&gt;$E86,MIN(AJ86,$I86-SUM($J86:AJ86)))</f>
        <v>3.3187287193154229</v>
      </c>
      <c r="AL86" s="2">
        <f>IF(AK$4=$E86, $I86*AK$55,0) + IF(AK$4&gt;$E86,MIN(AK86,$I86-SUM($J86:AK86)))</f>
        <v>3.3187287193154229</v>
      </c>
      <c r="AM86" s="2">
        <f>IF(AL$4=$E86, $I86*AL$55,0) + IF(AL$4&gt;$E86,MIN(AL86,$I86-SUM($J86:AL86)))</f>
        <v>3.3187287193154229</v>
      </c>
      <c r="AN86" s="2">
        <f>IF(AM$4=$E86, $I86*AM$55,0) + IF(AM$4&gt;$E86,MIN(AM86,$I86-SUM($J86:AM86)))</f>
        <v>3.3187287193154229</v>
      </c>
      <c r="AO86" s="2">
        <f>IF(AN$4=$E86, $I86*AN$55,0) + IF(AN$4&gt;$E86,MIN(AN86,$I86-SUM($J86:AN86)))</f>
        <v>3.3187287193154229</v>
      </c>
      <c r="AP86" s="2">
        <f>IF(AO$4=$E86, $I86*AO$55,0) + IF(AO$4&gt;$E86,MIN(AO86,$I86-SUM($J86:AO86)))</f>
        <v>3.3187287193154229</v>
      </c>
      <c r="AQ86" s="57">
        <f>IF(AP$4=$E86, $I86*AP$55,0) + IF(AP$4&gt;$E86,MIN(AP86,$I86-SUM($J86:AP86)))</f>
        <v>3.3187287193154229</v>
      </c>
      <c r="AR86" s="2">
        <f>IF(AQ$4=$E86, $I86*AQ$55,0) + IF(AQ$4&gt;$E86,MIN(AQ86,$I86-SUM($J86:AQ86)))</f>
        <v>3.3187287193154229</v>
      </c>
      <c r="AS86" s="2">
        <f>IF(AR$4=$E86, $I86*AR$55,0) + IF(AR$4&gt;$E86,MIN(AR86,$I86-SUM($J86:AR86)))</f>
        <v>3.3187287193154229</v>
      </c>
      <c r="AT86" s="2">
        <f>IF(AS$4=$E86, $I86*AS$55,0) + IF(AS$4&gt;$E86,MIN(AS86,$I86-SUM($J86:AS86)))</f>
        <v>3.3187287193154229</v>
      </c>
      <c r="AU86" s="2">
        <f>IF(AT$4=$E86, $I86*AT$55,0) + IF(AT$4&gt;$E86,MIN(AT86,$I86-SUM($J86:AT86)))</f>
        <v>3.3187287193154229</v>
      </c>
      <c r="AV86" s="2">
        <f>IF(AU$4=$E86, $I86*AU$55,0) + IF(AU$4&gt;$E86,MIN(AU86,$I86-SUM($J86:AU86)))</f>
        <v>3.3187287193154229</v>
      </c>
      <c r="AW86" s="2"/>
    </row>
    <row r="87" spans="5:49" ht="15" outlineLevel="1">
      <c r="E87" s="44">
        <f>INDEX($K$4:$AV$4,,COUNT(E$65:E86)+1)</f>
        <v>40999</v>
      </c>
      <c r="G87" s="2" t="s">
        <v>105</v>
      </c>
      <c r="I87" s="2">
        <f t="shared" si="62"/>
        <v>110.87417588734979</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3.3295548314519463</v>
      </c>
      <c r="AH87" s="2">
        <f>IF(AG$4=$E87, $I87*AG$55,0) + IF(AG$4&gt;$E87,MIN(AG87,$I87-SUM($J87:AG87)))</f>
        <v>3.3295548314519463</v>
      </c>
      <c r="AI87" s="2">
        <f>IF(AH$4=$E87, $I87*AH$55,0) + IF(AH$4&gt;$E87,MIN(AH87,$I87-SUM($J87:AH87)))</f>
        <v>3.3295548314519463</v>
      </c>
      <c r="AJ87" s="2">
        <f>IF(AI$4=$E87, $I87*AI$55,0) + IF(AI$4&gt;$E87,MIN(AI87,$I87-SUM($J87:AI87)))</f>
        <v>3.3295548314519463</v>
      </c>
      <c r="AK87" s="2">
        <f>IF(AJ$4=$E87, $I87*AJ$55,0) + IF(AJ$4&gt;$E87,MIN(AJ87,$I87-SUM($J87:AJ87)))</f>
        <v>3.3295548314519463</v>
      </c>
      <c r="AL87" s="2">
        <f>IF(AK$4=$E87, $I87*AK$55,0) + IF(AK$4&gt;$E87,MIN(AK87,$I87-SUM($J87:AK87)))</f>
        <v>3.3295548314519463</v>
      </c>
      <c r="AM87" s="2">
        <f>IF(AL$4=$E87, $I87*AL$55,0) + IF(AL$4&gt;$E87,MIN(AL87,$I87-SUM($J87:AL87)))</f>
        <v>3.3295548314519463</v>
      </c>
      <c r="AN87" s="2">
        <f>IF(AM$4=$E87, $I87*AM$55,0) + IF(AM$4&gt;$E87,MIN(AM87,$I87-SUM($J87:AM87)))</f>
        <v>3.3295548314519463</v>
      </c>
      <c r="AO87" s="2">
        <f>IF(AN$4=$E87, $I87*AN$55,0) + IF(AN$4&gt;$E87,MIN(AN87,$I87-SUM($J87:AN87)))</f>
        <v>3.3295548314519463</v>
      </c>
      <c r="AP87" s="2">
        <f>IF(AO$4=$E87, $I87*AO$55,0) + IF(AO$4&gt;$E87,MIN(AO87,$I87-SUM($J87:AO87)))</f>
        <v>3.3295548314519463</v>
      </c>
      <c r="AQ87" s="57">
        <f>IF(AP$4=$E87, $I87*AP$55,0) + IF(AP$4&gt;$E87,MIN(AP87,$I87-SUM($J87:AP87)))</f>
        <v>3.3295548314519463</v>
      </c>
      <c r="AR87" s="2">
        <f>IF(AQ$4=$E87, $I87*AQ$55,0) + IF(AQ$4&gt;$E87,MIN(AQ87,$I87-SUM($J87:AQ87)))</f>
        <v>3.3295548314519463</v>
      </c>
      <c r="AS87" s="2">
        <f>IF(AR$4=$E87, $I87*AR$55,0) + IF(AR$4&gt;$E87,MIN(AR87,$I87-SUM($J87:AR87)))</f>
        <v>3.3295548314519463</v>
      </c>
      <c r="AT87" s="2">
        <f>IF(AS$4=$E87, $I87*AS$55,0) + IF(AS$4&gt;$E87,MIN(AS87,$I87-SUM($J87:AS87)))</f>
        <v>3.3295548314519463</v>
      </c>
      <c r="AU87" s="2">
        <f>IF(AT$4=$E87, $I87*AT$55,0) + IF(AT$4&gt;$E87,MIN(AT87,$I87-SUM($J87:AT87)))</f>
        <v>3.3295548314519463</v>
      </c>
      <c r="AV87" s="2">
        <f>IF(AU$4=$E87, $I87*AU$55,0) + IF(AU$4&gt;$E87,MIN(AU87,$I87-SUM($J87:AU87)))</f>
        <v>3.3295548314519463</v>
      </c>
      <c r="AW87" s="2"/>
    </row>
    <row r="88" spans="5:49" ht="15" outlineLevel="1">
      <c r="E88" s="44">
        <f>INDEX($K$4:$AV$4,,COUNT(E$65:E87)+1)</f>
        <v>41364</v>
      </c>
      <c r="G88" s="2" t="s">
        <v>105</v>
      </c>
      <c r="I88" s="2">
        <f t="shared" si="62"/>
        <v>159.43632367418397</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4.7878775878133331</v>
      </c>
      <c r="AI88" s="2">
        <f>IF(AH$4=$E88, $I88*AH$55,0) + IF(AH$4&gt;$E88,MIN(AH88,$I88-SUM($J88:AH88)))</f>
        <v>4.7878775878133331</v>
      </c>
      <c r="AJ88" s="2">
        <f>IF(AI$4=$E88, $I88*AI$55,0) + IF(AI$4&gt;$E88,MIN(AI88,$I88-SUM($J88:AI88)))</f>
        <v>4.7878775878133331</v>
      </c>
      <c r="AK88" s="2">
        <f>IF(AJ$4=$E88, $I88*AJ$55,0) + IF(AJ$4&gt;$E88,MIN(AJ88,$I88-SUM($J88:AJ88)))</f>
        <v>4.7878775878133331</v>
      </c>
      <c r="AL88" s="2">
        <f>IF(AK$4=$E88, $I88*AK$55,0) + IF(AK$4&gt;$E88,MIN(AK88,$I88-SUM($J88:AK88)))</f>
        <v>4.7878775878133331</v>
      </c>
      <c r="AM88" s="2">
        <f>IF(AL$4=$E88, $I88*AL$55,0) + IF(AL$4&gt;$E88,MIN(AL88,$I88-SUM($J88:AL88)))</f>
        <v>4.7878775878133331</v>
      </c>
      <c r="AN88" s="2">
        <f>IF(AM$4=$E88, $I88*AM$55,0) + IF(AM$4&gt;$E88,MIN(AM88,$I88-SUM($J88:AM88)))</f>
        <v>4.7878775878133331</v>
      </c>
      <c r="AO88" s="2">
        <f>IF(AN$4=$E88, $I88*AN$55,0) + IF(AN$4&gt;$E88,MIN(AN88,$I88-SUM($J88:AN88)))</f>
        <v>4.7878775878133331</v>
      </c>
      <c r="AP88" s="2">
        <f>IF(AO$4=$E88, $I88*AO$55,0) + IF(AO$4&gt;$E88,MIN(AO88,$I88-SUM($J88:AO88)))</f>
        <v>4.7878775878133331</v>
      </c>
      <c r="AQ88" s="57">
        <f>IF(AP$4=$E88, $I88*AP$55,0) + IF(AP$4&gt;$E88,MIN(AP88,$I88-SUM($J88:AP88)))</f>
        <v>4.7878775878133331</v>
      </c>
      <c r="AR88" s="2">
        <f>IF(AQ$4=$E88, $I88*AQ$55,0) + IF(AQ$4&gt;$E88,MIN(AQ88,$I88-SUM($J88:AQ88)))</f>
        <v>4.7878775878133331</v>
      </c>
      <c r="AS88" s="2">
        <f>IF(AR$4=$E88, $I88*AR$55,0) + IF(AR$4&gt;$E88,MIN(AR88,$I88-SUM($J88:AR88)))</f>
        <v>4.7878775878133331</v>
      </c>
      <c r="AT88" s="2">
        <f>IF(AS$4=$E88, $I88*AS$55,0) + IF(AS$4&gt;$E88,MIN(AS88,$I88-SUM($J88:AS88)))</f>
        <v>4.7878775878133331</v>
      </c>
      <c r="AU88" s="2">
        <f>IF(AT$4=$E88, $I88*AT$55,0) + IF(AT$4&gt;$E88,MIN(AT88,$I88-SUM($J88:AT88)))</f>
        <v>4.7878775878133331</v>
      </c>
      <c r="AV88" s="2">
        <f>IF(AU$4=$E88, $I88*AU$55,0) + IF(AU$4&gt;$E88,MIN(AU88,$I88-SUM($J88:AU88)))</f>
        <v>4.7878775878133331</v>
      </c>
      <c r="AW88" s="2"/>
    </row>
    <row r="89" spans="5:49" ht="15" outlineLevel="1">
      <c r="E89" s="44">
        <f>INDEX($K$4:$AV$4,,COUNT(E$65:E88)+1)</f>
        <v>41729</v>
      </c>
      <c r="G89" s="2" t="s">
        <v>105</v>
      </c>
      <c r="I89" s="2">
        <f t="shared" si="62"/>
        <v>178.78617238698774</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5.3689541257353683</v>
      </c>
      <c r="AJ89" s="2">
        <f>IF(AI$4=$E89, $I89*AI$55,0) + IF(AI$4&gt;$E89,MIN(AI89,$I89-SUM($J89:AI89)))</f>
        <v>5.3689541257353683</v>
      </c>
      <c r="AK89" s="2">
        <f>IF(AJ$4=$E89, $I89*AJ$55,0) + IF(AJ$4&gt;$E89,MIN(AJ89,$I89-SUM($J89:AJ89)))</f>
        <v>5.3689541257353683</v>
      </c>
      <c r="AL89" s="2">
        <f>IF(AK$4=$E89, $I89*AK$55,0) + IF(AK$4&gt;$E89,MIN(AK89,$I89-SUM($J89:AK89)))</f>
        <v>5.3689541257353683</v>
      </c>
      <c r="AM89" s="2">
        <f>IF(AL$4=$E89, $I89*AL$55,0) + IF(AL$4&gt;$E89,MIN(AL89,$I89-SUM($J89:AL89)))</f>
        <v>5.3689541257353683</v>
      </c>
      <c r="AN89" s="2">
        <f>IF(AM$4=$E89, $I89*AM$55,0) + IF(AM$4&gt;$E89,MIN(AM89,$I89-SUM($J89:AM89)))</f>
        <v>5.3689541257353683</v>
      </c>
      <c r="AO89" s="2">
        <f>IF(AN$4=$E89, $I89*AN$55,0) + IF(AN$4&gt;$E89,MIN(AN89,$I89-SUM($J89:AN89)))</f>
        <v>5.3689541257353683</v>
      </c>
      <c r="AP89" s="2">
        <f>IF(AO$4=$E89, $I89*AO$55,0) + IF(AO$4&gt;$E89,MIN(AO89,$I89-SUM($J89:AO89)))</f>
        <v>5.3689541257353683</v>
      </c>
      <c r="AQ89" s="57">
        <f>IF(AP$4=$E89, $I89*AP$55,0) + IF(AP$4&gt;$E89,MIN(AP89,$I89-SUM($J89:AP89)))</f>
        <v>5.3689541257353683</v>
      </c>
      <c r="AR89" s="2">
        <f>IF(AQ$4=$E89, $I89*AQ$55,0) + IF(AQ$4&gt;$E89,MIN(AQ89,$I89-SUM($J89:AQ89)))</f>
        <v>5.3689541257353683</v>
      </c>
      <c r="AS89" s="2">
        <f>IF(AR$4=$E89, $I89*AR$55,0) + IF(AR$4&gt;$E89,MIN(AR89,$I89-SUM($J89:AR89)))</f>
        <v>5.3689541257353683</v>
      </c>
      <c r="AT89" s="2">
        <f>IF(AS$4=$E89, $I89*AS$55,0) + IF(AS$4&gt;$E89,MIN(AS89,$I89-SUM($J89:AS89)))</f>
        <v>5.3689541257353683</v>
      </c>
      <c r="AU89" s="2">
        <f>IF(AT$4=$E89, $I89*AT$55,0) + IF(AT$4&gt;$E89,MIN(AT89,$I89-SUM($J89:AT89)))</f>
        <v>5.3689541257353683</v>
      </c>
      <c r="AV89" s="2">
        <f>IF(AU$4=$E89, $I89*AU$55,0) + IF(AU$4&gt;$E89,MIN(AU89,$I89-SUM($J89:AU89)))</f>
        <v>5.3689541257353683</v>
      </c>
      <c r="AW89" s="2"/>
    </row>
    <row r="90" spans="5:49" ht="15" outlineLevel="1">
      <c r="E90" s="44">
        <f>INDEX($K$4:$AV$4,,COUNT(E$65:E89)+1)</f>
        <v>42094</v>
      </c>
      <c r="G90" s="2" t="s">
        <v>105</v>
      </c>
      <c r="I90" s="2">
        <f t="shared" si="62"/>
        <v>189.91789599238535</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5.7032401198914524</v>
      </c>
      <c r="AK90" s="2">
        <f>IF(AJ$4=$E90, $I90*AJ$55,0) + IF(AJ$4&gt;$E90,MIN(AJ90,$I90-SUM($J90:AJ90)))</f>
        <v>5.7032401198914524</v>
      </c>
      <c r="AL90" s="2">
        <f>IF(AK$4=$E90, $I90*AK$55,0) + IF(AK$4&gt;$E90,MIN(AK90,$I90-SUM($J90:AK90)))</f>
        <v>5.7032401198914524</v>
      </c>
      <c r="AM90" s="2">
        <f>IF(AL$4=$E90, $I90*AL$55,0) + IF(AL$4&gt;$E90,MIN(AL90,$I90-SUM($J90:AL90)))</f>
        <v>5.7032401198914524</v>
      </c>
      <c r="AN90" s="2">
        <f>IF(AM$4=$E90, $I90*AM$55,0) + IF(AM$4&gt;$E90,MIN(AM90,$I90-SUM($J90:AM90)))</f>
        <v>5.7032401198914524</v>
      </c>
      <c r="AO90" s="2">
        <f>IF(AN$4=$E90, $I90*AN$55,0) + IF(AN$4&gt;$E90,MIN(AN90,$I90-SUM($J90:AN90)))</f>
        <v>5.7032401198914524</v>
      </c>
      <c r="AP90" s="2">
        <f>IF(AO$4=$E90, $I90*AO$55,0) + IF(AO$4&gt;$E90,MIN(AO90,$I90-SUM($J90:AO90)))</f>
        <v>5.7032401198914524</v>
      </c>
      <c r="AQ90" s="57">
        <f>IF(AP$4=$E90, $I90*AP$55,0) + IF(AP$4&gt;$E90,MIN(AP90,$I90-SUM($J90:AP90)))</f>
        <v>5.7032401198914524</v>
      </c>
      <c r="AR90" s="2">
        <f>IF(AQ$4=$E90, $I90*AQ$55,0) + IF(AQ$4&gt;$E90,MIN(AQ90,$I90-SUM($J90:AQ90)))</f>
        <v>5.7032401198914524</v>
      </c>
      <c r="AS90" s="2">
        <f>IF(AR$4=$E90, $I90*AR$55,0) + IF(AR$4&gt;$E90,MIN(AR90,$I90-SUM($J90:AR90)))</f>
        <v>5.7032401198914524</v>
      </c>
      <c r="AT90" s="2">
        <f>IF(AS$4=$E90, $I90*AS$55,0) + IF(AS$4&gt;$E90,MIN(AS90,$I90-SUM($J90:AS90)))</f>
        <v>5.7032401198914524</v>
      </c>
      <c r="AU90" s="2">
        <f>IF(AT$4=$E90, $I90*AT$55,0) + IF(AT$4&gt;$E90,MIN(AT90,$I90-SUM($J90:AT90)))</f>
        <v>5.7032401198914524</v>
      </c>
      <c r="AV90" s="2">
        <f>IF(AU$4=$E90, $I90*AU$55,0) + IF(AU$4&gt;$E90,MIN(AU90,$I90-SUM($J90:AU90)))</f>
        <v>5.7032401198914524</v>
      </c>
      <c r="AW90" s="2"/>
    </row>
    <row r="91" spans="5:49" ht="15" outlineLevel="1">
      <c r="E91" s="44">
        <f>INDEX($K$4:$AV$4,,COUNT(E$65:E90)+1)</f>
        <v>42460</v>
      </c>
      <c r="G91" s="2" t="s">
        <v>105</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5" outlineLevel="1">
      <c r="E92" s="44">
        <f>INDEX($K$4:$AV$4,,COUNT(E$65:E91)+1)</f>
        <v>42825</v>
      </c>
      <c r="G92" s="2" t="s">
        <v>105</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5" outlineLevel="1">
      <c r="E93" s="44">
        <f>INDEX($K$4:$AV$4,,COUNT(E$65:E92)+1)</f>
        <v>43190</v>
      </c>
      <c r="G93" s="2" t="s">
        <v>105</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5" outlineLevel="1">
      <c r="E94" s="44">
        <f>INDEX($K$4:$AV$4,,COUNT(E$65:E93)+1)</f>
        <v>43555</v>
      </c>
      <c r="G94" s="2" t="s">
        <v>105</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5" outlineLevel="1">
      <c r="E95" s="44">
        <f>INDEX($K$4:$AV$4,,COUNT(E$65:E94)+1)</f>
        <v>43921</v>
      </c>
      <c r="G95" s="2" t="s">
        <v>105</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5" outlineLevel="1">
      <c r="E96" s="44">
        <f>INDEX($K$4:$AV$4,,COUNT(E$65:E95)+1)</f>
        <v>44286</v>
      </c>
      <c r="G96" s="2" t="s">
        <v>105</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5" outlineLevel="1">
      <c r="E97" s="44">
        <f>INDEX($K$4:$AV$4,,COUNT(E$65:E96)+1)</f>
        <v>44651</v>
      </c>
      <c r="G97" s="2" t="s">
        <v>105</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5" outlineLevel="1">
      <c r="E98" s="44">
        <f>INDEX($K$4:$AV$4,,COUNT(E$65:E97)+1)</f>
        <v>45016</v>
      </c>
      <c r="G98" s="2" t="s">
        <v>105</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5" outlineLevel="1">
      <c r="E99" s="44">
        <f>INDEX($K$4:$AV$4,,COUNT(E$65:E98)+1)</f>
        <v>45382</v>
      </c>
      <c r="G99" s="2" t="s">
        <v>105</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5" outlineLevel="1">
      <c r="E100" s="44">
        <f>INDEX($K$4:$AV$4,,COUNT(E$65:E99)+1)</f>
        <v>45747</v>
      </c>
      <c r="G100" s="2" t="s">
        <v>105</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5" outlineLevel="1">
      <c r="E101" s="44">
        <f>INDEX($K$4:$AV$4,,COUNT(E$65:E100)+1)</f>
        <v>46112</v>
      </c>
      <c r="G101" s="2" t="s">
        <v>105</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5" outlineLevel="1">
      <c r="E102" s="44">
        <f>INDEX($K$4:$AV$4,,COUNT(E$65:E101)+1)</f>
        <v>46477</v>
      </c>
      <c r="G102" s="2" t="s">
        <v>105</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5" outlineLevel="1">
      <c r="E103" s="44">
        <f>INDEX($K$4:$AV$4,,COUNT(E$65:E102)+1)</f>
        <v>46843</v>
      </c>
      <c r="G103" s="2" t="s">
        <v>105</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0"/>
    </row>
    <row r="105" spans="1:49" ht="15">
      <c r="A105" s="2"/>
      <c r="B105" s="2"/>
      <c r="C105" s="20" t="s">
        <v>898</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5">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0"/>
    </row>
    <row r="108" spans="1:49" ht="15" outlineLevel="1">
      <c r="E108" s="44" t="s">
        <v>899</v>
      </c>
      <c r="G108" s="44" t="s">
        <v>550</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0</v>
      </c>
      <c r="X108" s="2">
        <f t="shared" si="63"/>
        <v>0</v>
      </c>
      <c r="Y108" s="2">
        <f t="shared" si="63"/>
        <v>0</v>
      </c>
      <c r="Z108" s="2">
        <f t="shared" si="63"/>
        <v>1</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0"/>
    </row>
    <row r="110" spans="1:49" ht="15" outlineLevel="1">
      <c r="E110" s="44">
        <f>INDEX($K$4:$AV$4,,COUNT(E$109:E109)+1)</f>
        <v>33328</v>
      </c>
      <c r="G110" s="2" t="s">
        <v>105</v>
      </c>
      <c r="I110" s="2">
        <f>INDEX($K$24:$AV$24,,MATCH(E110,$K$4:$AV$4,0))</f>
        <v>24.265624180091308</v>
      </c>
      <c r="K110" s="2">
        <f>IF(J$4=$E110, $I110*J$57,0) + IF(J$4&gt;$E110,MIN(J110,$I110-SUM($J110:J110)))</f>
        <v>0</v>
      </c>
      <c r="L110" s="2">
        <f>IF(K$4=$E110, $I110*K$57,0) + IF(K$4&gt;$E110,MIN(K110,$I110-SUM($J110:K110)))</f>
        <v>1.2132812090045655</v>
      </c>
      <c r="M110" s="2">
        <f>IF(L$4=$E110, $I110*L$57,0) + IF(L$4&gt;$E110,MIN(L110,$I110-SUM($J110:L110)))</f>
        <v>1.2132812090045655</v>
      </c>
      <c r="N110" s="2">
        <f>IF(M$4=$E110, $I110*M$57,0) + IF(M$4&gt;$E110,MIN(M110,$I110-SUM($J110:M110)))</f>
        <v>1.2132812090045655</v>
      </c>
      <c r="O110" s="2">
        <f>IF(N$4=$E110, $I110*N$57,0) + IF(N$4&gt;$E110,MIN(N110,$I110-SUM($J110:N110)))</f>
        <v>1.2132812090045655</v>
      </c>
      <c r="P110" s="2">
        <f>IF(O$4=$E110, $I110*O$57,0) + IF(O$4&gt;$E110,MIN(O110,$I110-SUM($J110:O110)))</f>
        <v>1.2132812090045655</v>
      </c>
      <c r="Q110" s="2">
        <f>IF(P$4=$E110, $I110*P$57,0) + IF(P$4&gt;$E110,MIN(P110,$I110-SUM($J110:P110)))</f>
        <v>1.2132812090045655</v>
      </c>
      <c r="R110" s="2">
        <f>IF(Q$4=$E110, $I110*Q$57,0) + IF(Q$4&gt;$E110,MIN(Q110,$I110-SUM($J110:Q110)))</f>
        <v>1.2132812090045655</v>
      </c>
      <c r="S110" s="2">
        <f>IF(R$4=$E110, $I110*R$57,0) + IF(R$4&gt;$E110,MIN(R110,$I110-SUM($J110:R110)))</f>
        <v>1.2132812090045655</v>
      </c>
      <c r="T110" s="2">
        <f>IF(S$4=$E110, $I110*S$57,0) + IF(S$4&gt;$E110,MIN(S110,$I110-SUM($J110:S110)))</f>
        <v>1.2132812090045655</v>
      </c>
      <c r="U110" s="2">
        <f>IF(T$4=$E110, $I110*T$57,0) + IF(T$4&gt;$E110,MIN(T110,$I110-SUM($J110:T110)))</f>
        <v>1.2132812090045655</v>
      </c>
      <c r="V110" s="2">
        <f>IF(U$4=$E110, $I110*U$57,0) + IF(U$4&gt;$E110,MIN(U110,$I110-SUM($J110:U110)))</f>
        <v>1.2132812090045655</v>
      </c>
      <c r="W110" s="2">
        <f>IF(V$4=$E110, $I110*V$57,0) + IF(V$4&gt;$E110,MIN(V110,$I110-SUM($J110:V110)))</f>
        <v>1.2132812090045655</v>
      </c>
      <c r="X110" s="2">
        <f>IF(W$4=$E110, $I110*W$57,0) + IF(W$4&gt;$E110,MIN(W110,$I110-SUM($J110:W110)))</f>
        <v>1.2132812090045655</v>
      </c>
      <c r="Y110" s="2">
        <f>IF(X$4=$E110, $I110*X$57,0) + IF(X$4&gt;$E110,MIN(X110,$I110-SUM($J110:X110)))</f>
        <v>1.2132812090045655</v>
      </c>
      <c r="Z110" s="2">
        <f>IF(Y$4=$E110, $I110*Y$57,0) + IF(Y$4&gt;$E110,MIN(Y110,$I110-SUM($J110:Y110)))</f>
        <v>1.2132812090045655</v>
      </c>
      <c r="AA110" s="2">
        <f>IF(Z$4=$E110, $I110*Z$57,0) + IF(Z$4&gt;$E110,MIN(Z110,$I110-SUM($J110:Z110)))</f>
        <v>1.2132812090045655</v>
      </c>
      <c r="AB110" s="2">
        <f>IF(AA$4=$E110, $I110*AA$57,0) + IF(AA$4&gt;$E110,MIN(AA110,$I110-SUM($J110:AA110)))</f>
        <v>1.2132812090045655</v>
      </c>
      <c r="AC110" s="2">
        <f>IF(AB$4=$E110, $I110*AB$57,0) + IF(AB$4&gt;$E110,MIN(AB110,$I110-SUM($J110:AB110)))</f>
        <v>1.2132812090045655</v>
      </c>
      <c r="AD110" s="2">
        <f>IF(AC$4=$E110, $I110*AC$57,0) + IF(AC$4&gt;$E110,MIN(AC110,$I110-SUM($J110:AC110)))</f>
        <v>1.2132812090045655</v>
      </c>
      <c r="AE110" s="2">
        <f>IF(AD$4=$E110, $I110*AD$57,0) + IF(AD$4&gt;$E110,MIN(AD110,$I110-SUM($J110:AD110)))</f>
        <v>1.2132812090045597</v>
      </c>
      <c r="AF110" s="2">
        <f>IF(AE$4=$E110, $I110*AE$57,0) + IF(AE$4&gt;$E110,MIN(AE110,$I110-SUM($J110:AE110)))</f>
        <v>0</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5" outlineLevel="1">
      <c r="E111" s="44">
        <f>INDEX($K$4:$AV$4,,COUNT(E$109:E110)+1)</f>
        <v>33694</v>
      </c>
      <c r="G111" s="2" t="s">
        <v>105</v>
      </c>
      <c r="I111" s="2">
        <f t="shared" ref="I111:I147" si="64">INDEX($K$24:$AV$24,,MATCH(E111,$K$4:$AV$4,0))</f>
        <v>75.575379125780543</v>
      </c>
      <c r="K111" s="2">
        <f>IF(J$4=$E111, $I111*J$57,0) + IF(J$4&gt;$E111,MIN(J111,$I111-SUM($J111:J111)))</f>
        <v>0</v>
      </c>
      <c r="L111" s="2">
        <f>IF(K$4=$E111, $I111*K$57,0) + IF(K$4&gt;$E111,MIN(K111,$I111-SUM($J111:K111)))</f>
        <v>0</v>
      </c>
      <c r="M111" s="2">
        <f>IF(L$4=$E111, $I111*L$57,0) + IF(L$4&gt;$E111,MIN(L111,$I111-SUM($J111:L111)))</f>
        <v>3.7787689562890274</v>
      </c>
      <c r="N111" s="2">
        <f>IF(M$4=$E111, $I111*M$57,0) + IF(M$4&gt;$E111,MIN(M111,$I111-SUM($J111:M111)))</f>
        <v>3.7787689562890274</v>
      </c>
      <c r="O111" s="2">
        <f>IF(N$4=$E111, $I111*N$57,0) + IF(N$4&gt;$E111,MIN(N111,$I111-SUM($J111:N111)))</f>
        <v>3.7787689562890274</v>
      </c>
      <c r="P111" s="2">
        <f>IF(O$4=$E111, $I111*O$57,0) + IF(O$4&gt;$E111,MIN(O111,$I111-SUM($J111:O111)))</f>
        <v>3.7787689562890274</v>
      </c>
      <c r="Q111" s="2">
        <f>IF(P$4=$E111, $I111*P$57,0) + IF(P$4&gt;$E111,MIN(P111,$I111-SUM($J111:P111)))</f>
        <v>3.7787689562890274</v>
      </c>
      <c r="R111" s="2">
        <f>IF(Q$4=$E111, $I111*Q$57,0) + IF(Q$4&gt;$E111,MIN(Q111,$I111-SUM($J111:Q111)))</f>
        <v>3.7787689562890274</v>
      </c>
      <c r="S111" s="2">
        <f>IF(R$4=$E111, $I111*R$57,0) + IF(R$4&gt;$E111,MIN(R111,$I111-SUM($J111:R111)))</f>
        <v>3.7787689562890274</v>
      </c>
      <c r="T111" s="2">
        <f>IF(S$4=$E111, $I111*S$57,0) + IF(S$4&gt;$E111,MIN(S111,$I111-SUM($J111:S111)))</f>
        <v>3.7787689562890274</v>
      </c>
      <c r="U111" s="2">
        <f>IF(T$4=$E111, $I111*T$57,0) + IF(T$4&gt;$E111,MIN(T111,$I111-SUM($J111:T111)))</f>
        <v>3.7787689562890274</v>
      </c>
      <c r="V111" s="2">
        <f>IF(U$4=$E111, $I111*U$57,0) + IF(U$4&gt;$E111,MIN(U111,$I111-SUM($J111:U111)))</f>
        <v>3.7787689562890274</v>
      </c>
      <c r="W111" s="2">
        <f>IF(V$4=$E111, $I111*V$57,0) + IF(V$4&gt;$E111,MIN(V111,$I111-SUM($J111:V111)))</f>
        <v>3.7787689562890274</v>
      </c>
      <c r="X111" s="2">
        <f>IF(W$4=$E111, $I111*W$57,0) + IF(W$4&gt;$E111,MIN(W111,$I111-SUM($J111:W111)))</f>
        <v>3.7787689562890274</v>
      </c>
      <c r="Y111" s="2">
        <f>IF(X$4=$E111, $I111*X$57,0) + IF(X$4&gt;$E111,MIN(X111,$I111-SUM($J111:X111)))</f>
        <v>3.7787689562890274</v>
      </c>
      <c r="Z111" s="2">
        <f>IF(Y$4=$E111, $I111*Y$57,0) + IF(Y$4&gt;$E111,MIN(Y111,$I111-SUM($J111:Y111)))</f>
        <v>3.7787689562890274</v>
      </c>
      <c r="AA111" s="2">
        <f>IF(Z$4=$E111, $I111*Z$57,0) + IF(Z$4&gt;$E111,MIN(Z111,$I111-SUM($J111:Z111)))</f>
        <v>3.7787689562890274</v>
      </c>
      <c r="AB111" s="2">
        <f>IF(AA$4=$E111, $I111*AA$57,0) + IF(AA$4&gt;$E111,MIN(AA111,$I111-SUM($J111:AA111)))</f>
        <v>3.7787689562890274</v>
      </c>
      <c r="AC111" s="2">
        <f>IF(AB$4=$E111, $I111*AB$57,0) + IF(AB$4&gt;$E111,MIN(AB111,$I111-SUM($J111:AB111)))</f>
        <v>3.7787689562890274</v>
      </c>
      <c r="AD111" s="2">
        <f>IF(AC$4=$E111, $I111*AC$57,0) + IF(AC$4&gt;$E111,MIN(AC111,$I111-SUM($J111:AC111)))</f>
        <v>3.7787689562890274</v>
      </c>
      <c r="AE111" s="2">
        <f>IF(AD$4=$E111, $I111*AD$57,0) + IF(AD$4&gt;$E111,MIN(AD111,$I111-SUM($J111:AD111)))</f>
        <v>3.7787689562890274</v>
      </c>
      <c r="AF111" s="2">
        <f>IF(AE$4=$E111, $I111*AE$57,0) + IF(AE$4&gt;$E111,MIN(AE111,$I111-SUM($J111:AE111)))</f>
        <v>3.7787689562890274</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5" outlineLevel="1">
      <c r="E112" s="44">
        <f>INDEX($K$4:$AV$4,,COUNT(E$109:E111)+1)</f>
        <v>34059</v>
      </c>
      <c r="G112" s="2" t="s">
        <v>105</v>
      </c>
      <c r="I112" s="2">
        <f t="shared" si="64"/>
        <v>78.539119483654289</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3.9269559741827145</v>
      </c>
      <c r="O112" s="2">
        <f>IF(N$4=$E112, $I112*N$57,0) + IF(N$4&gt;$E112,MIN(N112,$I112-SUM($J112:N112)))</f>
        <v>3.9269559741827145</v>
      </c>
      <c r="P112" s="2">
        <f>IF(O$4=$E112, $I112*O$57,0) + IF(O$4&gt;$E112,MIN(O112,$I112-SUM($J112:O112)))</f>
        <v>3.9269559741827145</v>
      </c>
      <c r="Q112" s="2">
        <f>IF(P$4=$E112, $I112*P$57,0) + IF(P$4&gt;$E112,MIN(P112,$I112-SUM($J112:P112)))</f>
        <v>3.9269559741827145</v>
      </c>
      <c r="R112" s="2">
        <f>IF(Q$4=$E112, $I112*Q$57,0) + IF(Q$4&gt;$E112,MIN(Q112,$I112-SUM($J112:Q112)))</f>
        <v>3.9269559741827145</v>
      </c>
      <c r="S112" s="2">
        <f>IF(R$4=$E112, $I112*R$57,0) + IF(R$4&gt;$E112,MIN(R112,$I112-SUM($J112:R112)))</f>
        <v>3.9269559741827145</v>
      </c>
      <c r="T112" s="2">
        <f>IF(S$4=$E112, $I112*S$57,0) + IF(S$4&gt;$E112,MIN(S112,$I112-SUM($J112:S112)))</f>
        <v>3.9269559741827145</v>
      </c>
      <c r="U112" s="2">
        <f>IF(T$4=$E112, $I112*T$57,0) + IF(T$4&gt;$E112,MIN(T112,$I112-SUM($J112:T112)))</f>
        <v>3.9269559741827145</v>
      </c>
      <c r="V112" s="2">
        <f>IF(U$4=$E112, $I112*U$57,0) + IF(U$4&gt;$E112,MIN(U112,$I112-SUM($J112:U112)))</f>
        <v>3.9269559741827145</v>
      </c>
      <c r="W112" s="2">
        <f>IF(V$4=$E112, $I112*V$57,0) + IF(V$4&gt;$E112,MIN(V112,$I112-SUM($J112:V112)))</f>
        <v>3.9269559741827145</v>
      </c>
      <c r="X112" s="2">
        <f>IF(W$4=$E112, $I112*W$57,0) + IF(W$4&gt;$E112,MIN(W112,$I112-SUM($J112:W112)))</f>
        <v>3.9269559741827145</v>
      </c>
      <c r="Y112" s="2">
        <f>IF(X$4=$E112, $I112*X$57,0) + IF(X$4&gt;$E112,MIN(X112,$I112-SUM($J112:X112)))</f>
        <v>3.9269559741827145</v>
      </c>
      <c r="Z112" s="2">
        <f>IF(Y$4=$E112, $I112*Y$57,0) + IF(Y$4&gt;$E112,MIN(Y112,$I112-SUM($J112:Y112)))</f>
        <v>3.9269559741827145</v>
      </c>
      <c r="AA112" s="2">
        <f>IF(Z$4=$E112, $I112*Z$57,0) + IF(Z$4&gt;$E112,MIN(Z112,$I112-SUM($J112:Z112)))</f>
        <v>3.9269559741827145</v>
      </c>
      <c r="AB112" s="2">
        <f>IF(AA$4=$E112, $I112*AA$57,0) + IF(AA$4&gt;$E112,MIN(AA112,$I112-SUM($J112:AA112)))</f>
        <v>3.9269559741827145</v>
      </c>
      <c r="AC112" s="2">
        <f>IF(AB$4=$E112, $I112*AB$57,0) + IF(AB$4&gt;$E112,MIN(AB112,$I112-SUM($J112:AB112)))</f>
        <v>3.9269559741827145</v>
      </c>
      <c r="AD112" s="2">
        <f>IF(AC$4=$E112, $I112*AC$57,0) + IF(AC$4&gt;$E112,MIN(AC112,$I112-SUM($J112:AC112)))</f>
        <v>3.9269559741827145</v>
      </c>
      <c r="AE112" s="2">
        <f>IF(AD$4=$E112, $I112*AD$57,0) + IF(AD$4&gt;$E112,MIN(AD112,$I112-SUM($J112:AD112)))</f>
        <v>3.9269559741827145</v>
      </c>
      <c r="AF112" s="2">
        <f>IF(AE$4=$E112, $I112*AE$57,0) + IF(AE$4&gt;$E112,MIN(AE112,$I112-SUM($J112:AE112)))</f>
        <v>3.9269559741827145</v>
      </c>
      <c r="AG112" s="2">
        <f>IF(AF$4=$E112, $I112*AF$57,0) + IF(AF$4&gt;$E112,MIN(AF112,$I112-SUM($J112:AF112)))</f>
        <v>3.9269559741826754</v>
      </c>
      <c r="AH112" s="2">
        <f>IF(AG$4=$E112, $I112*AG$57,0) + IF(AG$4&gt;$E112,MIN(AG112,$I112-SUM($J112:AG112)))</f>
        <v>0</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5" outlineLevel="1">
      <c r="E113" s="44">
        <f>INDEX($K$4:$AV$4,,COUNT(E$109:E112)+1)</f>
        <v>34424</v>
      </c>
      <c r="G113" s="2" t="s">
        <v>105</v>
      </c>
      <c r="I113" s="2">
        <f t="shared" si="64"/>
        <v>89.097444508579528</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4.4548722254289768</v>
      </c>
      <c r="P113" s="2">
        <f>IF(O$4=$E113, $I113*O$57,0) + IF(O$4&gt;$E113,MIN(O113,$I113-SUM($J113:O113)))</f>
        <v>4.4548722254289768</v>
      </c>
      <c r="Q113" s="2">
        <f>IF(P$4=$E113, $I113*P$57,0) + IF(P$4&gt;$E113,MIN(P113,$I113-SUM($J113:P113)))</f>
        <v>4.4548722254289768</v>
      </c>
      <c r="R113" s="2">
        <f>IF(Q$4=$E113, $I113*Q$57,0) + IF(Q$4&gt;$E113,MIN(Q113,$I113-SUM($J113:Q113)))</f>
        <v>4.4548722254289768</v>
      </c>
      <c r="S113" s="2">
        <f>IF(R$4=$E113, $I113*R$57,0) + IF(R$4&gt;$E113,MIN(R113,$I113-SUM($J113:R113)))</f>
        <v>4.4548722254289768</v>
      </c>
      <c r="T113" s="2">
        <f>IF(S$4=$E113, $I113*S$57,0) + IF(S$4&gt;$E113,MIN(S113,$I113-SUM($J113:S113)))</f>
        <v>4.4548722254289768</v>
      </c>
      <c r="U113" s="2">
        <f>IF(T$4=$E113, $I113*T$57,0) + IF(T$4&gt;$E113,MIN(T113,$I113-SUM($J113:T113)))</f>
        <v>4.4548722254289768</v>
      </c>
      <c r="V113" s="2">
        <f>IF(U$4=$E113, $I113*U$57,0) + IF(U$4&gt;$E113,MIN(U113,$I113-SUM($J113:U113)))</f>
        <v>4.4548722254289768</v>
      </c>
      <c r="W113" s="2">
        <f>IF(V$4=$E113, $I113*V$57,0) + IF(V$4&gt;$E113,MIN(V113,$I113-SUM($J113:V113)))</f>
        <v>4.4548722254289768</v>
      </c>
      <c r="X113" s="2">
        <f>IF(W$4=$E113, $I113*W$57,0) + IF(W$4&gt;$E113,MIN(W113,$I113-SUM($J113:W113)))</f>
        <v>4.4548722254289768</v>
      </c>
      <c r="Y113" s="2">
        <f>IF(X$4=$E113, $I113*X$57,0) + IF(X$4&gt;$E113,MIN(X113,$I113-SUM($J113:X113)))</f>
        <v>4.4548722254289768</v>
      </c>
      <c r="Z113" s="2">
        <f>IF(Y$4=$E113, $I113*Y$57,0) + IF(Y$4&gt;$E113,MIN(Y113,$I113-SUM($J113:Y113)))</f>
        <v>4.4548722254289768</v>
      </c>
      <c r="AA113" s="2">
        <f>IF(Z$4=$E113, $I113*Z$57,0) + IF(Z$4&gt;$E113,MIN(Z113,$I113-SUM($J113:Z113)))</f>
        <v>4.4548722254289768</v>
      </c>
      <c r="AB113" s="2">
        <f>IF(AA$4=$E113, $I113*AA$57,0) + IF(AA$4&gt;$E113,MIN(AA113,$I113-SUM($J113:AA113)))</f>
        <v>4.4548722254289768</v>
      </c>
      <c r="AC113" s="2">
        <f>IF(AB$4=$E113, $I113*AB$57,0) + IF(AB$4&gt;$E113,MIN(AB113,$I113-SUM($J113:AB113)))</f>
        <v>4.4548722254289768</v>
      </c>
      <c r="AD113" s="2">
        <f>IF(AC$4=$E113, $I113*AC$57,0) + IF(AC$4&gt;$E113,MIN(AC113,$I113-SUM($J113:AC113)))</f>
        <v>4.4548722254289768</v>
      </c>
      <c r="AE113" s="2">
        <f>IF(AD$4=$E113, $I113*AD$57,0) + IF(AD$4&gt;$E113,MIN(AD113,$I113-SUM($J113:AD113)))</f>
        <v>4.4548722254289768</v>
      </c>
      <c r="AF113" s="2">
        <f>IF(AE$4=$E113, $I113*AE$57,0) + IF(AE$4&gt;$E113,MIN(AE113,$I113-SUM($J113:AE113)))</f>
        <v>4.4548722254289768</v>
      </c>
      <c r="AG113" s="2">
        <f>IF(AF$4=$E113, $I113*AF$57,0) + IF(AF$4&gt;$E113,MIN(AF113,$I113-SUM($J113:AF113)))</f>
        <v>4.4548722254289768</v>
      </c>
      <c r="AH113" s="2">
        <f>IF(AG$4=$E113, $I113*AG$57,0) + IF(AG$4&gt;$E113,MIN(AG113,$I113-SUM($J113:AG113)))</f>
        <v>4.4548722254289714</v>
      </c>
      <c r="AI113" s="2">
        <f>IF(AH$4=$E113, $I113*AH$57,0) + IF(AH$4&gt;$E113,MIN(AH113,$I113-SUM($J113:AH113)))</f>
        <v>0</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5" outlineLevel="1">
      <c r="E114" s="44">
        <f>INDEX($K$4:$AV$4,,COUNT(E$109:E113)+1)</f>
        <v>34789</v>
      </c>
      <c r="G114" s="2" t="s">
        <v>105</v>
      </c>
      <c r="I114" s="2">
        <f t="shared" si="64"/>
        <v>105.21278270451801</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5.260639135225901</v>
      </c>
      <c r="Q114" s="2">
        <f>IF(P$4=$E114, $I114*P$57,0) + IF(P$4&gt;$E114,MIN(P114,$I114-SUM($J114:P114)))</f>
        <v>5.260639135225901</v>
      </c>
      <c r="R114" s="2">
        <f>IF(Q$4=$E114, $I114*Q$57,0) + IF(Q$4&gt;$E114,MIN(Q114,$I114-SUM($J114:Q114)))</f>
        <v>5.260639135225901</v>
      </c>
      <c r="S114" s="2">
        <f>IF(R$4=$E114, $I114*R$57,0) + IF(R$4&gt;$E114,MIN(R114,$I114-SUM($J114:R114)))</f>
        <v>5.260639135225901</v>
      </c>
      <c r="T114" s="2">
        <f>IF(S$4=$E114, $I114*S$57,0) + IF(S$4&gt;$E114,MIN(S114,$I114-SUM($J114:S114)))</f>
        <v>5.260639135225901</v>
      </c>
      <c r="U114" s="2">
        <f>IF(T$4=$E114, $I114*T$57,0) + IF(T$4&gt;$E114,MIN(T114,$I114-SUM($J114:T114)))</f>
        <v>5.260639135225901</v>
      </c>
      <c r="V114" s="2">
        <f>IF(U$4=$E114, $I114*U$57,0) + IF(U$4&gt;$E114,MIN(U114,$I114-SUM($J114:U114)))</f>
        <v>5.260639135225901</v>
      </c>
      <c r="W114" s="2">
        <f>IF(V$4=$E114, $I114*V$57,0) + IF(V$4&gt;$E114,MIN(V114,$I114-SUM($J114:V114)))</f>
        <v>5.260639135225901</v>
      </c>
      <c r="X114" s="2">
        <f>IF(W$4=$E114, $I114*W$57,0) + IF(W$4&gt;$E114,MIN(W114,$I114-SUM($J114:W114)))</f>
        <v>5.260639135225901</v>
      </c>
      <c r="Y114" s="2">
        <f>IF(X$4=$E114, $I114*X$57,0) + IF(X$4&gt;$E114,MIN(X114,$I114-SUM($J114:X114)))</f>
        <v>5.260639135225901</v>
      </c>
      <c r="Z114" s="2">
        <f>IF(Y$4=$E114, $I114*Y$57,0) + IF(Y$4&gt;$E114,MIN(Y114,$I114-SUM($J114:Y114)))</f>
        <v>5.260639135225901</v>
      </c>
      <c r="AA114" s="2">
        <f>IF(Z$4=$E114, $I114*Z$57,0) + IF(Z$4&gt;$E114,MIN(Z114,$I114-SUM($J114:Z114)))</f>
        <v>5.260639135225901</v>
      </c>
      <c r="AB114" s="2">
        <f>IF(AA$4=$E114, $I114*AA$57,0) + IF(AA$4&gt;$E114,MIN(AA114,$I114-SUM($J114:AA114)))</f>
        <v>5.260639135225901</v>
      </c>
      <c r="AC114" s="2">
        <f>IF(AB$4=$E114, $I114*AB$57,0) + IF(AB$4&gt;$E114,MIN(AB114,$I114-SUM($J114:AB114)))</f>
        <v>5.260639135225901</v>
      </c>
      <c r="AD114" s="2">
        <f>IF(AC$4=$E114, $I114*AC$57,0) + IF(AC$4&gt;$E114,MIN(AC114,$I114-SUM($J114:AC114)))</f>
        <v>5.260639135225901</v>
      </c>
      <c r="AE114" s="2">
        <f>IF(AD$4=$E114, $I114*AD$57,0) + IF(AD$4&gt;$E114,MIN(AD114,$I114-SUM($J114:AD114)))</f>
        <v>5.260639135225901</v>
      </c>
      <c r="AF114" s="2">
        <f>IF(AE$4=$E114, $I114*AE$57,0) + IF(AE$4&gt;$E114,MIN(AE114,$I114-SUM($J114:AE114)))</f>
        <v>5.260639135225901</v>
      </c>
      <c r="AG114" s="2">
        <f>IF(AF$4=$E114, $I114*AF$57,0) + IF(AF$4&gt;$E114,MIN(AF114,$I114-SUM($J114:AF114)))</f>
        <v>5.260639135225901</v>
      </c>
      <c r="AH114" s="2">
        <f>IF(AG$4=$E114, $I114*AG$57,0) + IF(AG$4&gt;$E114,MIN(AG114,$I114-SUM($J114:AG114)))</f>
        <v>5.260639135225901</v>
      </c>
      <c r="AI114" s="2">
        <f>IF(AH$4=$E114, $I114*AH$57,0) + IF(AH$4&gt;$E114,MIN(AH114,$I114-SUM($J114:AH114)))</f>
        <v>5.2606391352258868</v>
      </c>
      <c r="AJ114" s="2">
        <f>IF(AI$4=$E114, $I114*AI$57,0) + IF(AI$4&gt;$E114,MIN(AI114,$I114-SUM($J114:AI114)))</f>
        <v>0</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5" outlineLevel="1">
      <c r="E115" s="44">
        <f>INDEX($K$4:$AV$4,,COUNT(E$109:E114)+1)</f>
        <v>35155</v>
      </c>
      <c r="G115" s="2" t="s">
        <v>105</v>
      </c>
      <c r="I115" s="2">
        <f t="shared" si="64"/>
        <v>77.61295062181874</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3.8806475310909372</v>
      </c>
      <c r="R115" s="2">
        <f>IF(Q$4=$E115, $I115*Q$57,0) + IF(Q$4&gt;$E115,MIN(Q115,$I115-SUM($J115:Q115)))</f>
        <v>3.8806475310909372</v>
      </c>
      <c r="S115" s="2">
        <f>IF(R$4=$E115, $I115*R$57,0) + IF(R$4&gt;$E115,MIN(R115,$I115-SUM($J115:R115)))</f>
        <v>3.8806475310909372</v>
      </c>
      <c r="T115" s="2">
        <f>IF(S$4=$E115, $I115*S$57,0) + IF(S$4&gt;$E115,MIN(S115,$I115-SUM($J115:S115)))</f>
        <v>3.8806475310909372</v>
      </c>
      <c r="U115" s="2">
        <f>IF(T$4=$E115, $I115*T$57,0) + IF(T$4&gt;$E115,MIN(T115,$I115-SUM($J115:T115)))</f>
        <v>3.8806475310909372</v>
      </c>
      <c r="V115" s="2">
        <f>IF(U$4=$E115, $I115*U$57,0) + IF(U$4&gt;$E115,MIN(U115,$I115-SUM($J115:U115)))</f>
        <v>3.8806475310909372</v>
      </c>
      <c r="W115" s="2">
        <f>IF(V$4=$E115, $I115*V$57,0) + IF(V$4&gt;$E115,MIN(V115,$I115-SUM($J115:V115)))</f>
        <v>3.8806475310909372</v>
      </c>
      <c r="X115" s="2">
        <f>IF(W$4=$E115, $I115*W$57,0) + IF(W$4&gt;$E115,MIN(W115,$I115-SUM($J115:W115)))</f>
        <v>3.8806475310909372</v>
      </c>
      <c r="Y115" s="2">
        <f>IF(X$4=$E115, $I115*X$57,0) + IF(X$4&gt;$E115,MIN(X115,$I115-SUM($J115:X115)))</f>
        <v>3.8806475310909372</v>
      </c>
      <c r="Z115" s="2">
        <f>IF(Y$4=$E115, $I115*Y$57,0) + IF(Y$4&gt;$E115,MIN(Y115,$I115-SUM($J115:Y115)))</f>
        <v>3.8806475310909372</v>
      </c>
      <c r="AA115" s="2">
        <f>IF(Z$4=$E115, $I115*Z$57,0) + IF(Z$4&gt;$E115,MIN(Z115,$I115-SUM($J115:Z115)))</f>
        <v>3.8806475310909372</v>
      </c>
      <c r="AB115" s="2">
        <f>IF(AA$4=$E115, $I115*AA$57,0) + IF(AA$4&gt;$E115,MIN(AA115,$I115-SUM($J115:AA115)))</f>
        <v>3.8806475310909372</v>
      </c>
      <c r="AC115" s="2">
        <f>IF(AB$4=$E115, $I115*AB$57,0) + IF(AB$4&gt;$E115,MIN(AB115,$I115-SUM($J115:AB115)))</f>
        <v>3.8806475310909372</v>
      </c>
      <c r="AD115" s="2">
        <f>IF(AC$4=$E115, $I115*AC$57,0) + IF(AC$4&gt;$E115,MIN(AC115,$I115-SUM($J115:AC115)))</f>
        <v>3.8806475310909372</v>
      </c>
      <c r="AE115" s="2">
        <f>IF(AD$4=$E115, $I115*AD$57,0) + IF(AD$4&gt;$E115,MIN(AD115,$I115-SUM($J115:AD115)))</f>
        <v>3.8806475310909372</v>
      </c>
      <c r="AF115" s="2">
        <f>IF(AE$4=$E115, $I115*AE$57,0) + IF(AE$4&gt;$E115,MIN(AE115,$I115-SUM($J115:AE115)))</f>
        <v>3.8806475310909372</v>
      </c>
      <c r="AG115" s="2">
        <f>IF(AF$4=$E115, $I115*AF$57,0) + IF(AF$4&gt;$E115,MIN(AF115,$I115-SUM($J115:AF115)))</f>
        <v>3.8806475310909372</v>
      </c>
      <c r="AH115" s="2">
        <f>IF(AG$4=$E115, $I115*AG$57,0) + IF(AG$4&gt;$E115,MIN(AG115,$I115-SUM($J115:AG115)))</f>
        <v>3.8806475310909372</v>
      </c>
      <c r="AI115" s="2">
        <f>IF(AH$4=$E115, $I115*AH$57,0) + IF(AH$4&gt;$E115,MIN(AH115,$I115-SUM($J115:AH115)))</f>
        <v>3.8806475310909372</v>
      </c>
      <c r="AJ115" s="2">
        <f>IF(AI$4=$E115, $I115*AI$57,0) + IF(AI$4&gt;$E115,MIN(AI115,$I115-SUM($J115:AI115)))</f>
        <v>3.8806475310909292</v>
      </c>
      <c r="AK115" s="2">
        <f>IF(AJ$4=$E115, $I115*AJ$57,0) + IF(AJ$4&gt;$E115,MIN(AJ115,$I115-SUM($J115:AJ115)))</f>
        <v>0</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5" outlineLevel="1">
      <c r="E116" s="44">
        <f>INDEX($K$4:$AV$4,,COUNT(E$109:E115)+1)</f>
        <v>35520</v>
      </c>
      <c r="G116" s="2" t="s">
        <v>105</v>
      </c>
      <c r="I116" s="2">
        <f t="shared" si="64"/>
        <v>83.169963792832021</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4.1584981896416009</v>
      </c>
      <c r="S116" s="2">
        <f>IF(R$4=$E116, $I116*R$57,0) + IF(R$4&gt;$E116,MIN(R116,$I116-SUM($J116:R116)))</f>
        <v>4.1584981896416009</v>
      </c>
      <c r="T116" s="2">
        <f>IF(S$4=$E116, $I116*S$57,0) + IF(S$4&gt;$E116,MIN(S116,$I116-SUM($J116:S116)))</f>
        <v>4.1584981896416009</v>
      </c>
      <c r="U116" s="2">
        <f>IF(T$4=$E116, $I116*T$57,0) + IF(T$4&gt;$E116,MIN(T116,$I116-SUM($J116:T116)))</f>
        <v>4.1584981896416009</v>
      </c>
      <c r="V116" s="2">
        <f>IF(U$4=$E116, $I116*U$57,0) + IF(U$4&gt;$E116,MIN(U116,$I116-SUM($J116:U116)))</f>
        <v>4.1584981896416009</v>
      </c>
      <c r="W116" s="2">
        <f>IF(V$4=$E116, $I116*V$57,0) + IF(V$4&gt;$E116,MIN(V116,$I116-SUM($J116:V116)))</f>
        <v>4.1584981896416009</v>
      </c>
      <c r="X116" s="2">
        <f>IF(W$4=$E116, $I116*W$57,0) + IF(W$4&gt;$E116,MIN(W116,$I116-SUM($J116:W116)))</f>
        <v>4.1584981896416009</v>
      </c>
      <c r="Y116" s="2">
        <f>IF(X$4=$E116, $I116*X$57,0) + IF(X$4&gt;$E116,MIN(X116,$I116-SUM($J116:X116)))</f>
        <v>4.1584981896416009</v>
      </c>
      <c r="Z116" s="2">
        <f>IF(Y$4=$E116, $I116*Y$57,0) + IF(Y$4&gt;$E116,MIN(Y116,$I116-SUM($J116:Y116)))</f>
        <v>4.1584981896416009</v>
      </c>
      <c r="AA116" s="2">
        <f>IF(Z$4=$E116, $I116*Z$57,0) + IF(Z$4&gt;$E116,MIN(Z116,$I116-SUM($J116:Z116)))</f>
        <v>4.1584981896416009</v>
      </c>
      <c r="AB116" s="2">
        <f>IF(AA$4=$E116, $I116*AA$57,0) + IF(AA$4&gt;$E116,MIN(AA116,$I116-SUM($J116:AA116)))</f>
        <v>4.1584981896416009</v>
      </c>
      <c r="AC116" s="2">
        <f>IF(AB$4=$E116, $I116*AB$57,0) + IF(AB$4&gt;$E116,MIN(AB116,$I116-SUM($J116:AB116)))</f>
        <v>4.1584981896416009</v>
      </c>
      <c r="AD116" s="2">
        <f>IF(AC$4=$E116, $I116*AC$57,0) + IF(AC$4&gt;$E116,MIN(AC116,$I116-SUM($J116:AC116)))</f>
        <v>4.1584981896416009</v>
      </c>
      <c r="AE116" s="2">
        <f>IF(AD$4=$E116, $I116*AD$57,0) + IF(AD$4&gt;$E116,MIN(AD116,$I116-SUM($J116:AD116)))</f>
        <v>4.1584981896416009</v>
      </c>
      <c r="AF116" s="2">
        <f>IF(AE$4=$E116, $I116*AE$57,0) + IF(AE$4&gt;$E116,MIN(AE116,$I116-SUM($J116:AE116)))</f>
        <v>4.1584981896416009</v>
      </c>
      <c r="AG116" s="2">
        <f>IF(AF$4=$E116, $I116*AF$57,0) + IF(AF$4&gt;$E116,MIN(AF116,$I116-SUM($J116:AF116)))</f>
        <v>4.1584981896416009</v>
      </c>
      <c r="AH116" s="2">
        <f>IF(AG$4=$E116, $I116*AG$57,0) + IF(AG$4&gt;$E116,MIN(AG116,$I116-SUM($J116:AG116)))</f>
        <v>4.1584981896416009</v>
      </c>
      <c r="AI116" s="2">
        <f>IF(AH$4=$E116, $I116*AH$57,0) + IF(AH$4&gt;$E116,MIN(AH116,$I116-SUM($J116:AH116)))</f>
        <v>4.1584981896416009</v>
      </c>
      <c r="AJ116" s="2">
        <f>IF(AI$4=$E116, $I116*AI$57,0) + IF(AI$4&gt;$E116,MIN(AI116,$I116-SUM($J116:AI116)))</f>
        <v>4.1584981896416009</v>
      </c>
      <c r="AK116" s="2">
        <f>IF(AJ$4=$E116, $I116*AJ$57,0) + IF(AJ$4&gt;$E116,MIN(AJ116,$I116-SUM($J116:AJ116)))</f>
        <v>4.1584981896416009</v>
      </c>
      <c r="AL116" s="2">
        <f>IF(AK$4=$E116, $I116*AK$57,0) + IF(AK$4&gt;$E116,MIN(AK116,$I116-SUM($J116:AK116)))</f>
        <v>0</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5" outlineLevel="1">
      <c r="E117" s="44">
        <f>INDEX($K$4:$AV$4,,COUNT(E$109:E116)+1)</f>
        <v>35885</v>
      </c>
      <c r="G117" s="2" t="s">
        <v>105</v>
      </c>
      <c r="I117" s="2">
        <f t="shared" si="64"/>
        <v>76.316314215248994</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3.81581571076245</v>
      </c>
      <c r="T117" s="2">
        <f>IF(S$4=$E117, $I117*S$57,0) + IF(S$4&gt;$E117,MIN(S117,$I117-SUM($J117:S117)))</f>
        <v>3.81581571076245</v>
      </c>
      <c r="U117" s="2">
        <f>IF(T$4=$E117, $I117*T$57,0) + IF(T$4&gt;$E117,MIN(T117,$I117-SUM($J117:T117)))</f>
        <v>3.81581571076245</v>
      </c>
      <c r="V117" s="2">
        <f>IF(U$4=$E117, $I117*U$57,0) + IF(U$4&gt;$E117,MIN(U117,$I117-SUM($J117:U117)))</f>
        <v>3.81581571076245</v>
      </c>
      <c r="W117" s="2">
        <f>IF(V$4=$E117, $I117*V$57,0) + IF(V$4&gt;$E117,MIN(V117,$I117-SUM($J117:V117)))</f>
        <v>3.81581571076245</v>
      </c>
      <c r="X117" s="2">
        <f>IF(W$4=$E117, $I117*W$57,0) + IF(W$4&gt;$E117,MIN(W117,$I117-SUM($J117:W117)))</f>
        <v>3.81581571076245</v>
      </c>
      <c r="Y117" s="2">
        <f>IF(X$4=$E117, $I117*X$57,0) + IF(X$4&gt;$E117,MIN(X117,$I117-SUM($J117:X117)))</f>
        <v>3.81581571076245</v>
      </c>
      <c r="Z117" s="2">
        <f>IF(Y$4=$E117, $I117*Y$57,0) + IF(Y$4&gt;$E117,MIN(Y117,$I117-SUM($J117:Y117)))</f>
        <v>3.81581571076245</v>
      </c>
      <c r="AA117" s="2">
        <f>IF(Z$4=$E117, $I117*Z$57,0) + IF(Z$4&gt;$E117,MIN(Z117,$I117-SUM($J117:Z117)))</f>
        <v>3.81581571076245</v>
      </c>
      <c r="AB117" s="2">
        <f>IF(AA$4=$E117, $I117*AA$57,0) + IF(AA$4&gt;$E117,MIN(AA117,$I117-SUM($J117:AA117)))</f>
        <v>3.81581571076245</v>
      </c>
      <c r="AC117" s="2">
        <f>IF(AB$4=$E117, $I117*AB$57,0) + IF(AB$4&gt;$E117,MIN(AB117,$I117-SUM($J117:AB117)))</f>
        <v>3.81581571076245</v>
      </c>
      <c r="AD117" s="2">
        <f>IF(AC$4=$E117, $I117*AC$57,0) + IF(AC$4&gt;$E117,MIN(AC117,$I117-SUM($J117:AC117)))</f>
        <v>3.81581571076245</v>
      </c>
      <c r="AE117" s="2">
        <f>IF(AD$4=$E117, $I117*AD$57,0) + IF(AD$4&gt;$E117,MIN(AD117,$I117-SUM($J117:AD117)))</f>
        <v>3.81581571076245</v>
      </c>
      <c r="AF117" s="2">
        <f>IF(AE$4=$E117, $I117*AE$57,0) + IF(AE$4&gt;$E117,MIN(AE117,$I117-SUM($J117:AE117)))</f>
        <v>3.81581571076245</v>
      </c>
      <c r="AG117" s="2">
        <f>IF(AF$4=$E117, $I117*AF$57,0) + IF(AF$4&gt;$E117,MIN(AF117,$I117-SUM($J117:AF117)))</f>
        <v>3.81581571076245</v>
      </c>
      <c r="AH117" s="2">
        <f>IF(AG$4=$E117, $I117*AG$57,0) + IF(AG$4&gt;$E117,MIN(AG117,$I117-SUM($J117:AG117)))</f>
        <v>3.81581571076245</v>
      </c>
      <c r="AI117" s="2">
        <f>IF(AH$4=$E117, $I117*AH$57,0) + IF(AH$4&gt;$E117,MIN(AH117,$I117-SUM($J117:AH117)))</f>
        <v>3.81581571076245</v>
      </c>
      <c r="AJ117" s="2">
        <f>IF(AI$4=$E117, $I117*AI$57,0) + IF(AI$4&gt;$E117,MIN(AI117,$I117-SUM($J117:AI117)))</f>
        <v>3.81581571076245</v>
      </c>
      <c r="AK117" s="2">
        <f>IF(AJ$4=$E117, $I117*AJ$57,0) + IF(AJ$4&gt;$E117,MIN(AJ117,$I117-SUM($J117:AJ117)))</f>
        <v>3.81581571076245</v>
      </c>
      <c r="AL117" s="2">
        <f>IF(AK$4=$E117, $I117*AK$57,0) + IF(AK$4&gt;$E117,MIN(AK117,$I117-SUM($J117:AK117)))</f>
        <v>3.81581571076245</v>
      </c>
      <c r="AM117" s="2">
        <f>IF(AL$4=$E117, $I117*AL$57,0) + IF(AL$4&gt;$E117,MIN(AL117,$I117-SUM($J117:AL117)))</f>
        <v>0</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5" outlineLevel="1">
      <c r="E118" s="44">
        <f>INDEX($K$4:$AV$4,,COUNT(E$109:E117)+1)</f>
        <v>36250</v>
      </c>
      <c r="G118" s="2" t="s">
        <v>105</v>
      </c>
      <c r="I118" s="2">
        <f t="shared" si="64"/>
        <v>81.374484759045359</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4.0687242379522681</v>
      </c>
      <c r="U118" s="2">
        <f>IF(T$4=$E118, $I118*T$57,0) + IF(T$4&gt;$E118,MIN(T118,$I118-SUM($J118:T118)))</f>
        <v>4.0687242379522681</v>
      </c>
      <c r="V118" s="2">
        <f>IF(U$4=$E118, $I118*U$57,0) + IF(U$4&gt;$E118,MIN(U118,$I118-SUM($J118:U118)))</f>
        <v>4.0687242379522681</v>
      </c>
      <c r="W118" s="2">
        <f>IF(V$4=$E118, $I118*V$57,0) + IF(V$4&gt;$E118,MIN(V118,$I118-SUM($J118:V118)))</f>
        <v>4.0687242379522681</v>
      </c>
      <c r="X118" s="2">
        <f>IF(W$4=$E118, $I118*W$57,0) + IF(W$4&gt;$E118,MIN(W118,$I118-SUM($J118:W118)))</f>
        <v>4.0687242379522681</v>
      </c>
      <c r="Y118" s="2">
        <f>IF(X$4=$E118, $I118*X$57,0) + IF(X$4&gt;$E118,MIN(X118,$I118-SUM($J118:X118)))</f>
        <v>4.0687242379522681</v>
      </c>
      <c r="Z118" s="2">
        <f>IF(Y$4=$E118, $I118*Y$57,0) + IF(Y$4&gt;$E118,MIN(Y118,$I118-SUM($J118:Y118)))</f>
        <v>4.0687242379522681</v>
      </c>
      <c r="AA118" s="2">
        <f>IF(Z$4=$E118, $I118*Z$57,0) + IF(Z$4&gt;$E118,MIN(Z118,$I118-SUM($J118:Z118)))</f>
        <v>4.0687242379522681</v>
      </c>
      <c r="AB118" s="2">
        <f>IF(AA$4=$E118, $I118*AA$57,0) + IF(AA$4&gt;$E118,MIN(AA118,$I118-SUM($J118:AA118)))</f>
        <v>4.0687242379522681</v>
      </c>
      <c r="AC118" s="2">
        <f>IF(AB$4=$E118, $I118*AB$57,0) + IF(AB$4&gt;$E118,MIN(AB118,$I118-SUM($J118:AB118)))</f>
        <v>4.0687242379522681</v>
      </c>
      <c r="AD118" s="2">
        <f>IF(AC$4=$E118, $I118*AC$57,0) + IF(AC$4&gt;$E118,MIN(AC118,$I118-SUM($J118:AC118)))</f>
        <v>4.0687242379522681</v>
      </c>
      <c r="AE118" s="2">
        <f>IF(AD$4=$E118, $I118*AD$57,0) + IF(AD$4&gt;$E118,MIN(AD118,$I118-SUM($J118:AD118)))</f>
        <v>4.0687242379522681</v>
      </c>
      <c r="AF118" s="2">
        <f>IF(AE$4=$E118, $I118*AE$57,0) + IF(AE$4&gt;$E118,MIN(AE118,$I118-SUM($J118:AE118)))</f>
        <v>4.0687242379522681</v>
      </c>
      <c r="AG118" s="2">
        <f>IF(AF$4=$E118, $I118*AF$57,0) + IF(AF$4&gt;$E118,MIN(AF118,$I118-SUM($J118:AF118)))</f>
        <v>4.0687242379522681</v>
      </c>
      <c r="AH118" s="2">
        <f>IF(AG$4=$E118, $I118*AG$57,0) + IF(AG$4&gt;$E118,MIN(AG118,$I118-SUM($J118:AG118)))</f>
        <v>4.0687242379522681</v>
      </c>
      <c r="AI118" s="2">
        <f>IF(AH$4=$E118, $I118*AH$57,0) + IF(AH$4&gt;$E118,MIN(AH118,$I118-SUM($J118:AH118)))</f>
        <v>4.0687242379522681</v>
      </c>
      <c r="AJ118" s="2">
        <f>IF(AI$4=$E118, $I118*AI$57,0) + IF(AI$4&gt;$E118,MIN(AI118,$I118-SUM($J118:AI118)))</f>
        <v>4.0687242379522681</v>
      </c>
      <c r="AK118" s="2">
        <f>IF(AJ$4=$E118, $I118*AJ$57,0) + IF(AJ$4&gt;$E118,MIN(AJ118,$I118-SUM($J118:AJ118)))</f>
        <v>4.0687242379522681</v>
      </c>
      <c r="AL118" s="2">
        <f>IF(AK$4=$E118, $I118*AK$57,0) + IF(AK$4&gt;$E118,MIN(AK118,$I118-SUM($J118:AK118)))</f>
        <v>4.0687242379522681</v>
      </c>
      <c r="AM118" s="2">
        <f>IF(AL$4=$E118, $I118*AL$57,0) + IF(AL$4&gt;$E118,MIN(AL118,$I118-SUM($J118:AL118)))</f>
        <v>4.0687242379522672</v>
      </c>
      <c r="AN118" s="2">
        <f>IF(AM$4=$E118, $I118*AM$57,0) + IF(AM$4&gt;$E118,MIN(AM118,$I118-SUM($J118:AM118)))</f>
        <v>0</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5" outlineLevel="1">
      <c r="E119" s="44">
        <f>INDEX($K$4:$AV$4,,COUNT(E$109:E118)+1)</f>
        <v>36616</v>
      </c>
      <c r="G119" s="2" t="s">
        <v>105</v>
      </c>
      <c r="I119" s="2">
        <f t="shared" si="64"/>
        <v>86.472798316801928</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4.3236399158400962</v>
      </c>
      <c r="V119" s="2">
        <f>IF(U$4=$E119, $I119*U$57,0) + IF(U$4&gt;$E119,MIN(U119,$I119-SUM($J119:U119)))</f>
        <v>4.3236399158400962</v>
      </c>
      <c r="W119" s="2">
        <f>IF(V$4=$E119, $I119*V$57,0) + IF(V$4&gt;$E119,MIN(V119,$I119-SUM($J119:V119)))</f>
        <v>4.3236399158400962</v>
      </c>
      <c r="X119" s="2">
        <f>IF(W$4=$E119, $I119*W$57,0) + IF(W$4&gt;$E119,MIN(W119,$I119-SUM($J119:W119)))</f>
        <v>4.3236399158400962</v>
      </c>
      <c r="Y119" s="2">
        <f>IF(X$4=$E119, $I119*X$57,0) + IF(X$4&gt;$E119,MIN(X119,$I119-SUM($J119:X119)))</f>
        <v>4.3236399158400962</v>
      </c>
      <c r="Z119" s="2">
        <f>IF(Y$4=$E119, $I119*Y$57,0) + IF(Y$4&gt;$E119,MIN(Y119,$I119-SUM($J119:Y119)))</f>
        <v>4.3236399158400962</v>
      </c>
      <c r="AA119" s="2">
        <f>IF(Z$4=$E119, $I119*Z$57,0) + IF(Z$4&gt;$E119,MIN(Z119,$I119-SUM($J119:Z119)))</f>
        <v>4.3236399158400962</v>
      </c>
      <c r="AB119" s="2">
        <f>IF(AA$4=$E119, $I119*AA$57,0) + IF(AA$4&gt;$E119,MIN(AA119,$I119-SUM($J119:AA119)))</f>
        <v>4.3236399158400962</v>
      </c>
      <c r="AC119" s="2">
        <f>IF(AB$4=$E119, $I119*AB$57,0) + IF(AB$4&gt;$E119,MIN(AB119,$I119-SUM($J119:AB119)))</f>
        <v>4.3236399158400962</v>
      </c>
      <c r="AD119" s="2">
        <f>IF(AC$4=$E119, $I119*AC$57,0) + IF(AC$4&gt;$E119,MIN(AC119,$I119-SUM($J119:AC119)))</f>
        <v>4.3236399158400962</v>
      </c>
      <c r="AE119" s="2">
        <f>IF(AD$4=$E119, $I119*AD$57,0) + IF(AD$4&gt;$E119,MIN(AD119,$I119-SUM($J119:AD119)))</f>
        <v>4.3236399158400962</v>
      </c>
      <c r="AF119" s="2">
        <f>IF(AE$4=$E119, $I119*AE$57,0) + IF(AE$4&gt;$E119,MIN(AE119,$I119-SUM($J119:AE119)))</f>
        <v>4.3236399158400962</v>
      </c>
      <c r="AG119" s="2">
        <f>IF(AF$4=$E119, $I119*AF$57,0) + IF(AF$4&gt;$E119,MIN(AF119,$I119-SUM($J119:AF119)))</f>
        <v>4.3236399158400962</v>
      </c>
      <c r="AH119" s="2">
        <f>IF(AG$4=$E119, $I119*AG$57,0) + IF(AG$4&gt;$E119,MIN(AG119,$I119-SUM($J119:AG119)))</f>
        <v>4.3236399158400962</v>
      </c>
      <c r="AI119" s="2">
        <f>IF(AH$4=$E119, $I119*AH$57,0) + IF(AH$4&gt;$E119,MIN(AH119,$I119-SUM($J119:AH119)))</f>
        <v>4.3236399158400962</v>
      </c>
      <c r="AJ119" s="2">
        <f>IF(AI$4=$E119, $I119*AI$57,0) + IF(AI$4&gt;$E119,MIN(AI119,$I119-SUM($J119:AI119)))</f>
        <v>4.3236399158400962</v>
      </c>
      <c r="AK119" s="2">
        <f>IF(AJ$4=$E119, $I119*AJ$57,0) + IF(AJ$4&gt;$E119,MIN(AJ119,$I119-SUM($J119:AJ119)))</f>
        <v>4.3236399158400962</v>
      </c>
      <c r="AL119" s="2">
        <f>IF(AK$4=$E119, $I119*AK$57,0) + IF(AK$4&gt;$E119,MIN(AK119,$I119-SUM($J119:AK119)))</f>
        <v>4.3236399158400962</v>
      </c>
      <c r="AM119" s="2">
        <f>IF(AL$4=$E119, $I119*AL$57,0) + IF(AL$4&gt;$E119,MIN(AL119,$I119-SUM($J119:AL119)))</f>
        <v>4.3236399158400962</v>
      </c>
      <c r="AN119" s="2">
        <f>IF(AM$4=$E119, $I119*AM$57,0) + IF(AM$4&gt;$E119,MIN(AM119,$I119-SUM($J119:AM119)))</f>
        <v>4.3236399158400962</v>
      </c>
      <c r="AO119" s="2">
        <f>IF(AN$4=$E119, $I119*AN$57,0) + IF(AN$4&gt;$E119,MIN(AN119,$I119-SUM($J119:AN119)))</f>
        <v>2.8421709430404007E-14</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5" outlineLevel="1">
      <c r="E120" s="44">
        <f>INDEX($K$4:$AV$4,,COUNT(E$109:E119)+1)</f>
        <v>36981</v>
      </c>
      <c r="G120" s="2" t="s">
        <v>105</v>
      </c>
      <c r="I120" s="2">
        <f t="shared" si="64"/>
        <v>88.773713396244773</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4.438685669812239</v>
      </c>
      <c r="W120" s="2">
        <f>IF(V$4=$E120, $I120*V$57,0) + IF(V$4&gt;$E120,MIN(V120,$I120-SUM($J120:V120)))</f>
        <v>4.438685669812239</v>
      </c>
      <c r="X120" s="2">
        <f>IF(W$4=$E120, $I120*W$57,0) + IF(W$4&gt;$E120,MIN(W120,$I120-SUM($J120:W120)))</f>
        <v>4.438685669812239</v>
      </c>
      <c r="Y120" s="2">
        <f>IF(X$4=$E120, $I120*X$57,0) + IF(X$4&gt;$E120,MIN(X120,$I120-SUM($J120:X120)))</f>
        <v>4.438685669812239</v>
      </c>
      <c r="Z120" s="2">
        <f>IF(Y$4=$E120, $I120*Y$57,0) + IF(Y$4&gt;$E120,MIN(Y120,$I120-SUM($J120:Y120)))</f>
        <v>4.438685669812239</v>
      </c>
      <c r="AA120" s="2">
        <f>IF(Z$4=$E120, $I120*Z$57,0) + IF(Z$4&gt;$E120,MIN(Z120,$I120-SUM($J120:Z120)))</f>
        <v>4.438685669812239</v>
      </c>
      <c r="AB120" s="2">
        <f>IF(AA$4=$E120, $I120*AA$57,0) + IF(AA$4&gt;$E120,MIN(AA120,$I120-SUM($J120:AA120)))</f>
        <v>4.438685669812239</v>
      </c>
      <c r="AC120" s="2">
        <f>IF(AB$4=$E120, $I120*AB$57,0) + IF(AB$4&gt;$E120,MIN(AB120,$I120-SUM($J120:AB120)))</f>
        <v>4.438685669812239</v>
      </c>
      <c r="AD120" s="2">
        <f>IF(AC$4=$E120, $I120*AC$57,0) + IF(AC$4&gt;$E120,MIN(AC120,$I120-SUM($J120:AC120)))</f>
        <v>4.438685669812239</v>
      </c>
      <c r="AE120" s="2">
        <f>IF(AD$4=$E120, $I120*AD$57,0) + IF(AD$4&gt;$E120,MIN(AD120,$I120-SUM($J120:AD120)))</f>
        <v>4.438685669812239</v>
      </c>
      <c r="AF120" s="2">
        <f>IF(AE$4=$E120, $I120*AE$57,0) + IF(AE$4&gt;$E120,MIN(AE120,$I120-SUM($J120:AE120)))</f>
        <v>4.438685669812239</v>
      </c>
      <c r="AG120" s="2">
        <f>IF(AF$4=$E120, $I120*AF$57,0) + IF(AF$4&gt;$E120,MIN(AF120,$I120-SUM($J120:AF120)))</f>
        <v>4.438685669812239</v>
      </c>
      <c r="AH120" s="2">
        <f>IF(AG$4=$E120, $I120*AG$57,0) + IF(AG$4&gt;$E120,MIN(AG120,$I120-SUM($J120:AG120)))</f>
        <v>4.438685669812239</v>
      </c>
      <c r="AI120" s="2">
        <f>IF(AH$4=$E120, $I120*AH$57,0) + IF(AH$4&gt;$E120,MIN(AH120,$I120-SUM($J120:AH120)))</f>
        <v>4.438685669812239</v>
      </c>
      <c r="AJ120" s="2">
        <f>IF(AI$4=$E120, $I120*AI$57,0) + IF(AI$4&gt;$E120,MIN(AI120,$I120-SUM($J120:AI120)))</f>
        <v>4.438685669812239</v>
      </c>
      <c r="AK120" s="2">
        <f>IF(AJ$4=$E120, $I120*AJ$57,0) + IF(AJ$4&gt;$E120,MIN(AJ120,$I120-SUM($J120:AJ120)))</f>
        <v>4.438685669812239</v>
      </c>
      <c r="AL120" s="2">
        <f>IF(AK$4=$E120, $I120*AK$57,0) + IF(AK$4&gt;$E120,MIN(AK120,$I120-SUM($J120:AK120)))</f>
        <v>4.438685669812239</v>
      </c>
      <c r="AM120" s="2">
        <f>IF(AL$4=$E120, $I120*AL$57,0) + IF(AL$4&gt;$E120,MIN(AL120,$I120-SUM($J120:AL120)))</f>
        <v>4.438685669812239</v>
      </c>
      <c r="AN120" s="2">
        <f>IF(AM$4=$E120, $I120*AM$57,0) + IF(AM$4&gt;$E120,MIN(AM120,$I120-SUM($J120:AM120)))</f>
        <v>4.438685669812239</v>
      </c>
      <c r="AO120" s="2">
        <f>IF(AN$4=$E120, $I120*AN$57,0) + IF(AN$4&gt;$E120,MIN(AN120,$I120-SUM($J120:AN120)))</f>
        <v>4.4386856698122301</v>
      </c>
      <c r="AP120" s="2">
        <f>IF(AO$4=$E120, $I120*AO$57,0) + IF(AO$4&gt;$E120,MIN(AO120,$I120-SUM($J120:AO120)))</f>
        <v>0</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5" outlineLevel="1">
      <c r="E121" s="44">
        <f>INDEX($K$4:$AV$4,,COUNT(E$109:E120)+1)</f>
        <v>37346</v>
      </c>
      <c r="G121" s="2" t="s">
        <v>105</v>
      </c>
      <c r="I121" s="2">
        <f t="shared" si="64"/>
        <v>99.987059669302653</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4.9993529834651333</v>
      </c>
      <c r="X121" s="2">
        <f>IF(W$4=$E121, $I121*W$57,0) + IF(W$4&gt;$E121,MIN(W121,$I121-SUM($J121:W121)))</f>
        <v>4.9993529834651333</v>
      </c>
      <c r="Y121" s="2">
        <f>IF(X$4=$E121, $I121*X$57,0) + IF(X$4&gt;$E121,MIN(X121,$I121-SUM($J121:X121)))</f>
        <v>4.9993529834651333</v>
      </c>
      <c r="Z121" s="2">
        <f>IF(Y$4=$E121, $I121*Y$57,0) + IF(Y$4&gt;$E121,MIN(Y121,$I121-SUM($J121:Y121)))</f>
        <v>4.9993529834651333</v>
      </c>
      <c r="AA121" s="2">
        <f>IF(Z$4=$E121, $I121*Z$57,0) + IF(Z$4&gt;$E121,MIN(Z121,$I121-SUM($J121:Z121)))</f>
        <v>4.9993529834651333</v>
      </c>
      <c r="AB121" s="2">
        <f>IF(AA$4=$E121, $I121*AA$57,0) + IF(AA$4&gt;$E121,MIN(AA121,$I121-SUM($J121:AA121)))</f>
        <v>4.9993529834651333</v>
      </c>
      <c r="AC121" s="2">
        <f>IF(AB$4=$E121, $I121*AB$57,0) + IF(AB$4&gt;$E121,MIN(AB121,$I121-SUM($J121:AB121)))</f>
        <v>4.9993529834651333</v>
      </c>
      <c r="AD121" s="2">
        <f>IF(AC$4=$E121, $I121*AC$57,0) + IF(AC$4&gt;$E121,MIN(AC121,$I121-SUM($J121:AC121)))</f>
        <v>4.9993529834651333</v>
      </c>
      <c r="AE121" s="2">
        <f>IF(AD$4=$E121, $I121*AD$57,0) + IF(AD$4&gt;$E121,MIN(AD121,$I121-SUM($J121:AD121)))</f>
        <v>4.9993529834651333</v>
      </c>
      <c r="AF121" s="2">
        <f>IF(AE$4=$E121, $I121*AE$57,0) + IF(AE$4&gt;$E121,MIN(AE121,$I121-SUM($J121:AE121)))</f>
        <v>4.9993529834651333</v>
      </c>
      <c r="AG121" s="2">
        <f>IF(AF$4=$E121, $I121*AF$57,0) + IF(AF$4&gt;$E121,MIN(AF121,$I121-SUM($J121:AF121)))</f>
        <v>4.9993529834651333</v>
      </c>
      <c r="AH121" s="2">
        <f>IF(AG$4=$E121, $I121*AG$57,0) + IF(AG$4&gt;$E121,MIN(AG121,$I121-SUM($J121:AG121)))</f>
        <v>4.9993529834651333</v>
      </c>
      <c r="AI121" s="2">
        <f>IF(AH$4=$E121, $I121*AH$57,0) + IF(AH$4&gt;$E121,MIN(AH121,$I121-SUM($J121:AH121)))</f>
        <v>4.9993529834651333</v>
      </c>
      <c r="AJ121" s="2">
        <f>IF(AI$4=$E121, $I121*AI$57,0) + IF(AI$4&gt;$E121,MIN(AI121,$I121-SUM($J121:AI121)))</f>
        <v>4.9993529834651333</v>
      </c>
      <c r="AK121" s="2">
        <f>IF(AJ$4=$E121, $I121*AJ$57,0) + IF(AJ$4&gt;$E121,MIN(AJ121,$I121-SUM($J121:AJ121)))</f>
        <v>4.9993529834651333</v>
      </c>
      <c r="AL121" s="2">
        <f>IF(AK$4=$E121, $I121*AK$57,0) + IF(AK$4&gt;$E121,MIN(AK121,$I121-SUM($J121:AK121)))</f>
        <v>4.9993529834651333</v>
      </c>
      <c r="AM121" s="2">
        <f>IF(AL$4=$E121, $I121*AL$57,0) + IF(AL$4&gt;$E121,MIN(AL121,$I121-SUM($J121:AL121)))</f>
        <v>4.9993529834651333</v>
      </c>
      <c r="AN121" s="2">
        <f>IF(AM$4=$E121, $I121*AM$57,0) + IF(AM$4&gt;$E121,MIN(AM121,$I121-SUM($J121:AM121)))</f>
        <v>4.9993529834651333</v>
      </c>
      <c r="AO121" s="2">
        <f>IF(AN$4=$E121, $I121*AN$57,0) + IF(AN$4&gt;$E121,MIN(AN121,$I121-SUM($J121:AN121)))</f>
        <v>4.9993529834651333</v>
      </c>
      <c r="AP121" s="2">
        <f>IF(AO$4=$E121, $I121*AO$57,0) + IF(AO$4&gt;$E121,MIN(AO121,$I121-SUM($J121:AO121)))</f>
        <v>4.9993529834651333</v>
      </c>
      <c r="AQ121" s="57">
        <f>IF(AP$4=$E121, $I121*AP$57,0) + IF(AP$4&gt;$E121,MIN(AP121,$I121-SUM($J121:AP121)))</f>
        <v>2.8421709430404007E-14</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5" outlineLevel="1">
      <c r="E122" s="44">
        <f>INDEX($K$4:$AV$4,,COUNT(E$109:E121)+1)</f>
        <v>37711</v>
      </c>
      <c r="G122" s="2" t="s">
        <v>105</v>
      </c>
      <c r="I122" s="2">
        <f t="shared" si="64"/>
        <v>92.334630861645195</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4.6167315430822597</v>
      </c>
      <c r="Y122" s="2">
        <f>IF(X$4=$E122, $I122*X$57,0) + IF(X$4&gt;$E122,MIN(X122,$I122-SUM($J122:X122)))</f>
        <v>4.6167315430822597</v>
      </c>
      <c r="Z122" s="2">
        <f>IF(Y$4=$E122, $I122*Y$57,0) + IF(Y$4&gt;$E122,MIN(Y122,$I122-SUM($J122:Y122)))</f>
        <v>4.6167315430822597</v>
      </c>
      <c r="AA122" s="2">
        <f>IF(Z$4=$E122, $I122*Z$57,0) + IF(Z$4&gt;$E122,MIN(Z122,$I122-SUM($J122:Z122)))</f>
        <v>4.6167315430822597</v>
      </c>
      <c r="AB122" s="2">
        <f>IF(AA$4=$E122, $I122*AA$57,0) + IF(AA$4&gt;$E122,MIN(AA122,$I122-SUM($J122:AA122)))</f>
        <v>4.6167315430822597</v>
      </c>
      <c r="AC122" s="2">
        <f>IF(AB$4=$E122, $I122*AB$57,0) + IF(AB$4&gt;$E122,MIN(AB122,$I122-SUM($J122:AB122)))</f>
        <v>4.6167315430822597</v>
      </c>
      <c r="AD122" s="2">
        <f>IF(AC$4=$E122, $I122*AC$57,0) + IF(AC$4&gt;$E122,MIN(AC122,$I122-SUM($J122:AC122)))</f>
        <v>4.6167315430822597</v>
      </c>
      <c r="AE122" s="2">
        <f>IF(AD$4=$E122, $I122*AD$57,0) + IF(AD$4&gt;$E122,MIN(AD122,$I122-SUM($J122:AD122)))</f>
        <v>4.6167315430822597</v>
      </c>
      <c r="AF122" s="2">
        <f>IF(AE$4=$E122, $I122*AE$57,0) + IF(AE$4&gt;$E122,MIN(AE122,$I122-SUM($J122:AE122)))</f>
        <v>4.6167315430822597</v>
      </c>
      <c r="AG122" s="2">
        <f>IF(AF$4=$E122, $I122*AF$57,0) + IF(AF$4&gt;$E122,MIN(AF122,$I122-SUM($J122:AF122)))</f>
        <v>4.6167315430822597</v>
      </c>
      <c r="AH122" s="2">
        <f>IF(AG$4=$E122, $I122*AG$57,0) + IF(AG$4&gt;$E122,MIN(AG122,$I122-SUM($J122:AG122)))</f>
        <v>4.6167315430822597</v>
      </c>
      <c r="AI122" s="2">
        <f>IF(AH$4=$E122, $I122*AH$57,0) + IF(AH$4&gt;$E122,MIN(AH122,$I122-SUM($J122:AH122)))</f>
        <v>4.6167315430822597</v>
      </c>
      <c r="AJ122" s="2">
        <f>IF(AI$4=$E122, $I122*AI$57,0) + IF(AI$4&gt;$E122,MIN(AI122,$I122-SUM($J122:AI122)))</f>
        <v>4.6167315430822597</v>
      </c>
      <c r="AK122" s="2">
        <f>IF(AJ$4=$E122, $I122*AJ$57,0) + IF(AJ$4&gt;$E122,MIN(AJ122,$I122-SUM($J122:AJ122)))</f>
        <v>4.6167315430822597</v>
      </c>
      <c r="AL122" s="2">
        <f>IF(AK$4=$E122, $I122*AK$57,0) + IF(AK$4&gt;$E122,MIN(AK122,$I122-SUM($J122:AK122)))</f>
        <v>4.6167315430822597</v>
      </c>
      <c r="AM122" s="2">
        <f>IF(AL$4=$E122, $I122*AL$57,0) + IF(AL$4&gt;$E122,MIN(AL122,$I122-SUM($J122:AL122)))</f>
        <v>4.6167315430822597</v>
      </c>
      <c r="AN122" s="2">
        <f>IF(AM$4=$E122, $I122*AM$57,0) + IF(AM$4&gt;$E122,MIN(AM122,$I122-SUM($J122:AM122)))</f>
        <v>4.6167315430822597</v>
      </c>
      <c r="AO122" s="2">
        <f>IF(AN$4=$E122, $I122*AN$57,0) + IF(AN$4&gt;$E122,MIN(AN122,$I122-SUM($J122:AN122)))</f>
        <v>4.6167315430822597</v>
      </c>
      <c r="AP122" s="2">
        <f>IF(AO$4=$E122, $I122*AO$57,0) + IF(AO$4&gt;$E122,MIN(AO122,$I122-SUM($J122:AO122)))</f>
        <v>4.6167315430822597</v>
      </c>
      <c r="AQ122" s="57">
        <f>IF(AP$4=$E122, $I122*AP$57,0) + IF(AP$4&gt;$E122,MIN(AP122,$I122-SUM($J122:AP122)))</f>
        <v>4.6167315430822384</v>
      </c>
      <c r="AR122" s="2">
        <f>IF(AQ$4=$E122, $I122*AQ$57,0) + IF(AQ$4&gt;$E122,MIN(AQ122,$I122-SUM($J122:AQ122)))</f>
        <v>0</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5" outlineLevel="1">
      <c r="E123" s="44">
        <f>INDEX($K$4:$AV$4,,COUNT(E$109:E122)+1)</f>
        <v>38077</v>
      </c>
      <c r="G123" s="2" t="s">
        <v>105</v>
      </c>
      <c r="I123" s="2">
        <f t="shared" si="64"/>
        <v>97.405183056914325</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4.8702591528457164</v>
      </c>
      <c r="Z123" s="2">
        <f>IF(Y$4=$E123, $I123*Y$57,0) + IF(Y$4&gt;$E123,MIN(Y123,$I123-SUM($J123:Y123)))</f>
        <v>4.8702591528457164</v>
      </c>
      <c r="AA123" s="2">
        <f>IF(Z$4=$E123, $I123*Z$57,0) + IF(Z$4&gt;$E123,MIN(Z123,$I123-SUM($J123:Z123)))</f>
        <v>4.8702591528457164</v>
      </c>
      <c r="AB123" s="2">
        <f>IF(AA$4=$E123, $I123*AA$57,0) + IF(AA$4&gt;$E123,MIN(AA123,$I123-SUM($J123:AA123)))</f>
        <v>4.8702591528457164</v>
      </c>
      <c r="AC123" s="2">
        <f>IF(AB$4=$E123, $I123*AB$57,0) + IF(AB$4&gt;$E123,MIN(AB123,$I123-SUM($J123:AB123)))</f>
        <v>4.8702591528457164</v>
      </c>
      <c r="AD123" s="2">
        <f>IF(AC$4=$E123, $I123*AC$57,0) + IF(AC$4&gt;$E123,MIN(AC123,$I123-SUM($J123:AC123)))</f>
        <v>4.8702591528457164</v>
      </c>
      <c r="AE123" s="2">
        <f>IF(AD$4=$E123, $I123*AD$57,0) + IF(AD$4&gt;$E123,MIN(AD123,$I123-SUM($J123:AD123)))</f>
        <v>4.8702591528457164</v>
      </c>
      <c r="AF123" s="2">
        <f>IF(AE$4=$E123, $I123*AE$57,0) + IF(AE$4&gt;$E123,MIN(AE123,$I123-SUM($J123:AE123)))</f>
        <v>4.8702591528457164</v>
      </c>
      <c r="AG123" s="2">
        <f>IF(AF$4=$E123, $I123*AF$57,0) + IF(AF$4&gt;$E123,MIN(AF123,$I123-SUM($J123:AF123)))</f>
        <v>4.8702591528457164</v>
      </c>
      <c r="AH123" s="2">
        <f>IF(AG$4=$E123, $I123*AG$57,0) + IF(AG$4&gt;$E123,MIN(AG123,$I123-SUM($J123:AG123)))</f>
        <v>4.8702591528457164</v>
      </c>
      <c r="AI123" s="2">
        <f>IF(AH$4=$E123, $I123*AH$57,0) + IF(AH$4&gt;$E123,MIN(AH123,$I123-SUM($J123:AH123)))</f>
        <v>4.8702591528457164</v>
      </c>
      <c r="AJ123" s="2">
        <f>IF(AI$4=$E123, $I123*AI$57,0) + IF(AI$4&gt;$E123,MIN(AI123,$I123-SUM($J123:AI123)))</f>
        <v>4.8702591528457164</v>
      </c>
      <c r="AK123" s="2">
        <f>IF(AJ$4=$E123, $I123*AJ$57,0) + IF(AJ$4&gt;$E123,MIN(AJ123,$I123-SUM($J123:AJ123)))</f>
        <v>4.8702591528457164</v>
      </c>
      <c r="AL123" s="2">
        <f>IF(AK$4=$E123, $I123*AK$57,0) + IF(AK$4&gt;$E123,MIN(AK123,$I123-SUM($J123:AK123)))</f>
        <v>4.8702591528457164</v>
      </c>
      <c r="AM123" s="2">
        <f>IF(AL$4=$E123, $I123*AL$57,0) + IF(AL$4&gt;$E123,MIN(AL123,$I123-SUM($J123:AL123)))</f>
        <v>4.8702591528457164</v>
      </c>
      <c r="AN123" s="2">
        <f>IF(AM$4=$E123, $I123*AM$57,0) + IF(AM$4&gt;$E123,MIN(AM123,$I123-SUM($J123:AM123)))</f>
        <v>4.8702591528457164</v>
      </c>
      <c r="AO123" s="2">
        <f>IF(AN$4=$E123, $I123*AN$57,0) + IF(AN$4&gt;$E123,MIN(AN123,$I123-SUM($J123:AN123)))</f>
        <v>4.8702591528457164</v>
      </c>
      <c r="AP123" s="2">
        <f>IF(AO$4=$E123, $I123*AO$57,0) + IF(AO$4&gt;$E123,MIN(AO123,$I123-SUM($J123:AO123)))</f>
        <v>4.8702591528457164</v>
      </c>
      <c r="AQ123" s="57">
        <f>IF(AP$4=$E123, $I123*AP$57,0) + IF(AP$4&gt;$E123,MIN(AP123,$I123-SUM($J123:AP123)))</f>
        <v>4.8702591528457164</v>
      </c>
      <c r="AR123" s="2">
        <f>IF(AQ$4=$E123, $I123*AQ$57,0) + IF(AQ$4&gt;$E123,MIN(AQ123,$I123-SUM($J123:AQ123)))</f>
        <v>4.8702591528456907</v>
      </c>
      <c r="AS123" s="2">
        <f>IF(AR$4=$E123, $I123*AR$57,0) + IF(AR$4&gt;$E123,MIN(AR123,$I123-SUM($J123:AR123)))</f>
        <v>0</v>
      </c>
      <c r="AT123" s="2">
        <f>IF(AS$4=$E123, $I123*AS$57,0) + IF(AS$4&gt;$E123,MIN(AS123,$I123-SUM($J123:AS123)))</f>
        <v>0</v>
      </c>
      <c r="AU123" s="2">
        <f>IF(AT$4=$E123, $I123*AT$57,0) + IF(AT$4&gt;$E123,MIN(AT123,$I123-SUM($J123:AT123)))</f>
        <v>0</v>
      </c>
      <c r="AV123" s="2">
        <f>IF(AU$4=$E123, $I123*AU$57,0) + IF(AU$4&gt;$E123,MIN(AU123,$I123-SUM($J123:AU123)))</f>
        <v>0</v>
      </c>
      <c r="AW123" s="2"/>
    </row>
    <row r="124" spans="5:49" ht="15" outlineLevel="1">
      <c r="E124" s="44">
        <f>INDEX($K$4:$AV$4,,COUNT(E$109:E123)+1)</f>
        <v>38442</v>
      </c>
      <c r="G124" s="2" t="s">
        <v>105</v>
      </c>
      <c r="I124" s="2">
        <f t="shared" si="64"/>
        <v>91.254455029953064</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4.5627227514976534</v>
      </c>
      <c r="AA124" s="2">
        <f>IF(Z$4=$E124, $I124*Z$57,0) + IF(Z$4&gt;$E124,MIN(Z124,$I124-SUM($J124:Z124)))</f>
        <v>4.5627227514976534</v>
      </c>
      <c r="AB124" s="2">
        <f>IF(AA$4=$E124, $I124*AA$57,0) + IF(AA$4&gt;$E124,MIN(AA124,$I124-SUM($J124:AA124)))</f>
        <v>4.5627227514976534</v>
      </c>
      <c r="AC124" s="2">
        <f>IF(AB$4=$E124, $I124*AB$57,0) + IF(AB$4&gt;$E124,MIN(AB124,$I124-SUM($J124:AB124)))</f>
        <v>4.5627227514976534</v>
      </c>
      <c r="AD124" s="2">
        <f>IF(AC$4=$E124, $I124*AC$57,0) + IF(AC$4&gt;$E124,MIN(AC124,$I124-SUM($J124:AC124)))</f>
        <v>4.5627227514976534</v>
      </c>
      <c r="AE124" s="2">
        <f>IF(AD$4=$E124, $I124*AD$57,0) + IF(AD$4&gt;$E124,MIN(AD124,$I124-SUM($J124:AD124)))</f>
        <v>4.5627227514976534</v>
      </c>
      <c r="AF124" s="2">
        <f>IF(AE$4=$E124, $I124*AE$57,0) + IF(AE$4&gt;$E124,MIN(AE124,$I124-SUM($J124:AE124)))</f>
        <v>4.5627227514976534</v>
      </c>
      <c r="AG124" s="2">
        <f>IF(AF$4=$E124, $I124*AF$57,0) + IF(AF$4&gt;$E124,MIN(AF124,$I124-SUM($J124:AF124)))</f>
        <v>4.5627227514976534</v>
      </c>
      <c r="AH124" s="2">
        <f>IF(AG$4=$E124, $I124*AG$57,0) + IF(AG$4&gt;$E124,MIN(AG124,$I124-SUM($J124:AG124)))</f>
        <v>4.5627227514976534</v>
      </c>
      <c r="AI124" s="2">
        <f>IF(AH$4=$E124, $I124*AH$57,0) + IF(AH$4&gt;$E124,MIN(AH124,$I124-SUM($J124:AH124)))</f>
        <v>4.5627227514976534</v>
      </c>
      <c r="AJ124" s="2">
        <f>IF(AI$4=$E124, $I124*AI$57,0) + IF(AI$4&gt;$E124,MIN(AI124,$I124-SUM($J124:AI124)))</f>
        <v>4.5627227514976534</v>
      </c>
      <c r="AK124" s="2">
        <f>IF(AJ$4=$E124, $I124*AJ$57,0) + IF(AJ$4&gt;$E124,MIN(AJ124,$I124-SUM($J124:AJ124)))</f>
        <v>4.5627227514976534</v>
      </c>
      <c r="AL124" s="2">
        <f>IF(AK$4=$E124, $I124*AK$57,0) + IF(AK$4&gt;$E124,MIN(AK124,$I124-SUM($J124:AK124)))</f>
        <v>4.5627227514976534</v>
      </c>
      <c r="AM124" s="2">
        <f>IF(AL$4=$E124, $I124*AL$57,0) + IF(AL$4&gt;$E124,MIN(AL124,$I124-SUM($J124:AL124)))</f>
        <v>4.5627227514976534</v>
      </c>
      <c r="AN124" s="2">
        <f>IF(AM$4=$E124, $I124*AM$57,0) + IF(AM$4&gt;$E124,MIN(AM124,$I124-SUM($J124:AM124)))</f>
        <v>4.5627227514976534</v>
      </c>
      <c r="AO124" s="2">
        <f>IF(AN$4=$E124, $I124*AN$57,0) + IF(AN$4&gt;$E124,MIN(AN124,$I124-SUM($J124:AN124)))</f>
        <v>4.5627227514976534</v>
      </c>
      <c r="AP124" s="2">
        <f>IF(AO$4=$E124, $I124*AO$57,0) + IF(AO$4&gt;$E124,MIN(AO124,$I124-SUM($J124:AO124)))</f>
        <v>4.5627227514976534</v>
      </c>
      <c r="AQ124" s="57">
        <f>IF(AP$4=$E124, $I124*AP$57,0) + IF(AP$4&gt;$E124,MIN(AP124,$I124-SUM($J124:AP124)))</f>
        <v>4.5627227514976534</v>
      </c>
      <c r="AR124" s="2">
        <f>IF(AQ$4=$E124, $I124*AQ$57,0) + IF(AQ$4&gt;$E124,MIN(AQ124,$I124-SUM($J124:AQ124)))</f>
        <v>4.5627227514976534</v>
      </c>
      <c r="AS124" s="2">
        <f>IF(AR$4=$E124, $I124*AR$57,0) + IF(AR$4&gt;$E124,MIN(AR124,$I124-SUM($J124:AR124)))</f>
        <v>4.5627227514976312</v>
      </c>
      <c r="AT124" s="2">
        <f>IF(AS$4=$E124, $I124*AS$57,0) + IF(AS$4&gt;$E124,MIN(AS124,$I124-SUM($J124:AS124)))</f>
        <v>0</v>
      </c>
      <c r="AU124" s="2">
        <f>IF(AT$4=$E124, $I124*AT$57,0) + IF(AT$4&gt;$E124,MIN(AT124,$I124-SUM($J124:AT124)))</f>
        <v>0</v>
      </c>
      <c r="AV124" s="2">
        <f>IF(AU$4=$E124, $I124*AU$57,0) + IF(AU$4&gt;$E124,MIN(AU124,$I124-SUM($J124:AU124)))</f>
        <v>0</v>
      </c>
      <c r="AW124" s="2"/>
    </row>
    <row r="125" spans="5:49" ht="15" outlineLevel="1">
      <c r="E125" s="44">
        <f>INDEX($K$4:$AV$4,,COUNT(E$109:E124)+1)</f>
        <v>38807</v>
      </c>
      <c r="G125" s="2" t="s">
        <v>105</v>
      </c>
      <c r="I125" s="2">
        <f t="shared" si="64"/>
        <v>107.8513973764981</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5.3925698688249053</v>
      </c>
      <c r="AB125" s="2">
        <f>IF(AA$4=$E125, $I125*AA$57,0) + IF(AA$4&gt;$E125,MIN(AA125,$I125-SUM($J125:AA125)))</f>
        <v>5.3925698688249053</v>
      </c>
      <c r="AC125" s="2">
        <f>IF(AB$4=$E125, $I125*AB$57,0) + IF(AB$4&gt;$E125,MIN(AB125,$I125-SUM($J125:AB125)))</f>
        <v>5.3925698688249053</v>
      </c>
      <c r="AD125" s="2">
        <f>IF(AC$4=$E125, $I125*AC$57,0) + IF(AC$4&gt;$E125,MIN(AC125,$I125-SUM($J125:AC125)))</f>
        <v>5.3925698688249053</v>
      </c>
      <c r="AE125" s="2">
        <f>IF(AD$4=$E125, $I125*AD$57,0) + IF(AD$4&gt;$E125,MIN(AD125,$I125-SUM($J125:AD125)))</f>
        <v>5.3925698688249053</v>
      </c>
      <c r="AF125" s="2">
        <f>IF(AE$4=$E125, $I125*AE$57,0) + IF(AE$4&gt;$E125,MIN(AE125,$I125-SUM($J125:AE125)))</f>
        <v>5.3925698688249053</v>
      </c>
      <c r="AG125" s="2">
        <f>IF(AF$4=$E125, $I125*AF$57,0) + IF(AF$4&gt;$E125,MIN(AF125,$I125-SUM($J125:AF125)))</f>
        <v>5.3925698688249053</v>
      </c>
      <c r="AH125" s="2">
        <f>IF(AG$4=$E125, $I125*AG$57,0) + IF(AG$4&gt;$E125,MIN(AG125,$I125-SUM($J125:AG125)))</f>
        <v>5.3925698688249053</v>
      </c>
      <c r="AI125" s="2">
        <f>IF(AH$4=$E125, $I125*AH$57,0) + IF(AH$4&gt;$E125,MIN(AH125,$I125-SUM($J125:AH125)))</f>
        <v>5.3925698688249053</v>
      </c>
      <c r="AJ125" s="2">
        <f>IF(AI$4=$E125, $I125*AI$57,0) + IF(AI$4&gt;$E125,MIN(AI125,$I125-SUM($J125:AI125)))</f>
        <v>5.3925698688249053</v>
      </c>
      <c r="AK125" s="2">
        <f>IF(AJ$4=$E125, $I125*AJ$57,0) + IF(AJ$4&gt;$E125,MIN(AJ125,$I125-SUM($J125:AJ125)))</f>
        <v>5.3925698688249053</v>
      </c>
      <c r="AL125" s="2">
        <f>IF(AK$4=$E125, $I125*AK$57,0) + IF(AK$4&gt;$E125,MIN(AK125,$I125-SUM($J125:AK125)))</f>
        <v>5.3925698688249053</v>
      </c>
      <c r="AM125" s="2">
        <f>IF(AL$4=$E125, $I125*AL$57,0) + IF(AL$4&gt;$E125,MIN(AL125,$I125-SUM($J125:AL125)))</f>
        <v>5.3925698688249053</v>
      </c>
      <c r="AN125" s="2">
        <f>IF(AM$4=$E125, $I125*AM$57,0) + IF(AM$4&gt;$E125,MIN(AM125,$I125-SUM($J125:AM125)))</f>
        <v>5.3925698688249053</v>
      </c>
      <c r="AO125" s="2">
        <f>IF(AN$4=$E125, $I125*AN$57,0) + IF(AN$4&gt;$E125,MIN(AN125,$I125-SUM($J125:AN125)))</f>
        <v>5.3925698688249053</v>
      </c>
      <c r="AP125" s="2">
        <f>IF(AO$4=$E125, $I125*AO$57,0) + IF(AO$4&gt;$E125,MIN(AO125,$I125-SUM($J125:AO125)))</f>
        <v>5.3925698688249053</v>
      </c>
      <c r="AQ125" s="57">
        <f>IF(AP$4=$E125, $I125*AP$57,0) + IF(AP$4&gt;$E125,MIN(AP125,$I125-SUM($J125:AP125)))</f>
        <v>5.3925698688249053</v>
      </c>
      <c r="AR125" s="2">
        <f>IF(AQ$4=$E125, $I125*AQ$57,0) + IF(AQ$4&gt;$E125,MIN(AQ125,$I125-SUM($J125:AQ125)))</f>
        <v>5.3925698688249053</v>
      </c>
      <c r="AS125" s="2">
        <f>IF(AR$4=$E125, $I125*AR$57,0) + IF(AR$4&gt;$E125,MIN(AR125,$I125-SUM($J125:AR125)))</f>
        <v>5.3925698688249053</v>
      </c>
      <c r="AT125" s="2">
        <f>IF(AS$4=$E125, $I125*AS$57,0) + IF(AS$4&gt;$E125,MIN(AS125,$I125-SUM($J125:AS125)))</f>
        <v>5.3925698688248787</v>
      </c>
      <c r="AU125" s="2">
        <f>IF(AT$4=$E125, $I125*AT$57,0) + IF(AT$4&gt;$E125,MIN(AT125,$I125-SUM($J125:AT125)))</f>
        <v>0</v>
      </c>
      <c r="AV125" s="2">
        <f>IF(AU$4=$E125, $I125*AU$57,0) + IF(AU$4&gt;$E125,MIN(AU125,$I125-SUM($J125:AU125)))</f>
        <v>0</v>
      </c>
      <c r="AW125" s="2"/>
    </row>
    <row r="126" spans="5:49" ht="15" outlineLevel="1">
      <c r="E126" s="44">
        <f>INDEX($K$4:$AV$4,,COUNT(E$109:E125)+1)</f>
        <v>39172</v>
      </c>
      <c r="G126" s="2" t="s">
        <v>105</v>
      </c>
      <c r="I126" s="2">
        <f t="shared" si="64"/>
        <v>112.7814106362575</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5.6390705318128758</v>
      </c>
      <c r="AC126" s="2">
        <f>IF(AB$4=$E126, $I126*AB$57,0) + IF(AB$4&gt;$E126,MIN(AB126,$I126-SUM($J126:AB126)))</f>
        <v>5.6390705318128758</v>
      </c>
      <c r="AD126" s="2">
        <f>IF(AC$4=$E126, $I126*AC$57,0) + IF(AC$4&gt;$E126,MIN(AC126,$I126-SUM($J126:AC126)))</f>
        <v>5.6390705318128758</v>
      </c>
      <c r="AE126" s="2">
        <f>IF(AD$4=$E126, $I126*AD$57,0) + IF(AD$4&gt;$E126,MIN(AD126,$I126-SUM($J126:AD126)))</f>
        <v>5.6390705318128758</v>
      </c>
      <c r="AF126" s="2">
        <f>IF(AE$4=$E126, $I126*AE$57,0) + IF(AE$4&gt;$E126,MIN(AE126,$I126-SUM($J126:AE126)))</f>
        <v>5.6390705318128758</v>
      </c>
      <c r="AG126" s="2">
        <f>IF(AF$4=$E126, $I126*AF$57,0) + IF(AF$4&gt;$E126,MIN(AF126,$I126-SUM($J126:AF126)))</f>
        <v>5.6390705318128758</v>
      </c>
      <c r="AH126" s="2">
        <f>IF(AG$4=$E126, $I126*AG$57,0) + IF(AG$4&gt;$E126,MIN(AG126,$I126-SUM($J126:AG126)))</f>
        <v>5.6390705318128758</v>
      </c>
      <c r="AI126" s="2">
        <f>IF(AH$4=$E126, $I126*AH$57,0) + IF(AH$4&gt;$E126,MIN(AH126,$I126-SUM($J126:AH126)))</f>
        <v>5.6390705318128758</v>
      </c>
      <c r="AJ126" s="2">
        <f>IF(AI$4=$E126, $I126*AI$57,0) + IF(AI$4&gt;$E126,MIN(AI126,$I126-SUM($J126:AI126)))</f>
        <v>5.6390705318128758</v>
      </c>
      <c r="AK126" s="2">
        <f>IF(AJ$4=$E126, $I126*AJ$57,0) + IF(AJ$4&gt;$E126,MIN(AJ126,$I126-SUM($J126:AJ126)))</f>
        <v>5.6390705318128758</v>
      </c>
      <c r="AL126" s="2">
        <f>IF(AK$4=$E126, $I126*AK$57,0) + IF(AK$4&gt;$E126,MIN(AK126,$I126-SUM($J126:AK126)))</f>
        <v>5.6390705318128758</v>
      </c>
      <c r="AM126" s="2">
        <f>IF(AL$4=$E126, $I126*AL$57,0) + IF(AL$4&gt;$E126,MIN(AL126,$I126-SUM($J126:AL126)))</f>
        <v>5.6390705318128758</v>
      </c>
      <c r="AN126" s="2">
        <f>IF(AM$4=$E126, $I126*AM$57,0) + IF(AM$4&gt;$E126,MIN(AM126,$I126-SUM($J126:AM126)))</f>
        <v>5.6390705318128758</v>
      </c>
      <c r="AO126" s="2">
        <f>IF(AN$4=$E126, $I126*AN$57,0) + IF(AN$4&gt;$E126,MIN(AN126,$I126-SUM($J126:AN126)))</f>
        <v>5.6390705318128758</v>
      </c>
      <c r="AP126" s="2">
        <f>IF(AO$4=$E126, $I126*AO$57,0) + IF(AO$4&gt;$E126,MIN(AO126,$I126-SUM($J126:AO126)))</f>
        <v>5.6390705318128758</v>
      </c>
      <c r="AQ126" s="57">
        <f>IF(AP$4=$E126, $I126*AP$57,0) + IF(AP$4&gt;$E126,MIN(AP126,$I126-SUM($J126:AP126)))</f>
        <v>5.6390705318128758</v>
      </c>
      <c r="AR126" s="2">
        <f>IF(AQ$4=$E126, $I126*AQ$57,0) + IF(AQ$4&gt;$E126,MIN(AQ126,$I126-SUM($J126:AQ126)))</f>
        <v>5.6390705318128758</v>
      </c>
      <c r="AS126" s="2">
        <f>IF(AR$4=$E126, $I126*AR$57,0) + IF(AR$4&gt;$E126,MIN(AR126,$I126-SUM($J126:AR126)))</f>
        <v>5.6390705318128758</v>
      </c>
      <c r="AT126" s="2">
        <f>IF(AS$4=$E126, $I126*AS$57,0) + IF(AS$4&gt;$E126,MIN(AS126,$I126-SUM($J126:AS126)))</f>
        <v>5.6390705318128758</v>
      </c>
      <c r="AU126" s="2">
        <f>IF(AT$4=$E126, $I126*AT$57,0) + IF(AT$4&gt;$E126,MIN(AT126,$I126-SUM($J126:AT126)))</f>
        <v>5.6390705318128624</v>
      </c>
      <c r="AV126" s="2">
        <f>IF(AU$4=$E126, $I126*AU$57,0) + IF(AU$4&gt;$E126,MIN(AU126,$I126-SUM($J126:AU126)))</f>
        <v>0</v>
      </c>
      <c r="AW126" s="2"/>
    </row>
    <row r="127" spans="5:49" ht="15" outlineLevel="1">
      <c r="E127" s="44">
        <f>INDEX($K$4:$AV$4,,COUNT(E$109:E126)+1)</f>
        <v>39538</v>
      </c>
      <c r="G127" s="2" t="s">
        <v>105</v>
      </c>
      <c r="I127" s="2">
        <f t="shared" si="64"/>
        <v>129.46104758722427</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6.4730523793612136</v>
      </c>
      <c r="AD127" s="2">
        <f>IF(AC$4=$E127, $I127*AC$57,0) + IF(AC$4&gt;$E127,MIN(AC127,$I127-SUM($J127:AC127)))</f>
        <v>6.4730523793612136</v>
      </c>
      <c r="AE127" s="2">
        <f>IF(AD$4=$E127, $I127*AD$57,0) + IF(AD$4&gt;$E127,MIN(AD127,$I127-SUM($J127:AD127)))</f>
        <v>6.4730523793612136</v>
      </c>
      <c r="AF127" s="2">
        <f>IF(AE$4=$E127, $I127*AE$57,0) + IF(AE$4&gt;$E127,MIN(AE127,$I127-SUM($J127:AE127)))</f>
        <v>6.4730523793612136</v>
      </c>
      <c r="AG127" s="2">
        <f>IF(AF$4=$E127, $I127*AF$57,0) + IF(AF$4&gt;$E127,MIN(AF127,$I127-SUM($J127:AF127)))</f>
        <v>6.4730523793612136</v>
      </c>
      <c r="AH127" s="2">
        <f>IF(AG$4=$E127, $I127*AG$57,0) + IF(AG$4&gt;$E127,MIN(AG127,$I127-SUM($J127:AG127)))</f>
        <v>6.4730523793612136</v>
      </c>
      <c r="AI127" s="2">
        <f>IF(AH$4=$E127, $I127*AH$57,0) + IF(AH$4&gt;$E127,MIN(AH127,$I127-SUM($J127:AH127)))</f>
        <v>6.4730523793612136</v>
      </c>
      <c r="AJ127" s="2">
        <f>IF(AI$4=$E127, $I127*AI$57,0) + IF(AI$4&gt;$E127,MIN(AI127,$I127-SUM($J127:AI127)))</f>
        <v>6.4730523793612136</v>
      </c>
      <c r="AK127" s="2">
        <f>IF(AJ$4=$E127, $I127*AJ$57,0) + IF(AJ$4&gt;$E127,MIN(AJ127,$I127-SUM($J127:AJ127)))</f>
        <v>6.4730523793612136</v>
      </c>
      <c r="AL127" s="2">
        <f>IF(AK$4=$E127, $I127*AK$57,0) + IF(AK$4&gt;$E127,MIN(AK127,$I127-SUM($J127:AK127)))</f>
        <v>6.4730523793612136</v>
      </c>
      <c r="AM127" s="2">
        <f>IF(AL$4=$E127, $I127*AL$57,0) + IF(AL$4&gt;$E127,MIN(AL127,$I127-SUM($J127:AL127)))</f>
        <v>6.4730523793612136</v>
      </c>
      <c r="AN127" s="2">
        <f>IF(AM$4=$E127, $I127*AM$57,0) + IF(AM$4&gt;$E127,MIN(AM127,$I127-SUM($J127:AM127)))</f>
        <v>6.4730523793612136</v>
      </c>
      <c r="AO127" s="2">
        <f>IF(AN$4=$E127, $I127*AN$57,0) + IF(AN$4&gt;$E127,MIN(AN127,$I127-SUM($J127:AN127)))</f>
        <v>6.4730523793612136</v>
      </c>
      <c r="AP127" s="2">
        <f>IF(AO$4=$E127, $I127*AO$57,0) + IF(AO$4&gt;$E127,MIN(AO127,$I127-SUM($J127:AO127)))</f>
        <v>6.4730523793612136</v>
      </c>
      <c r="AQ127" s="57">
        <f>IF(AP$4=$E127, $I127*AP$57,0) + IF(AP$4&gt;$E127,MIN(AP127,$I127-SUM($J127:AP127)))</f>
        <v>6.4730523793612136</v>
      </c>
      <c r="AR127" s="2">
        <f>IF(AQ$4=$E127, $I127*AQ$57,0) + IF(AQ$4&gt;$E127,MIN(AQ127,$I127-SUM($J127:AQ127)))</f>
        <v>6.4730523793612136</v>
      </c>
      <c r="AS127" s="2">
        <f>IF(AR$4=$E127, $I127*AR$57,0) + IF(AR$4&gt;$E127,MIN(AR127,$I127-SUM($J127:AR127)))</f>
        <v>6.4730523793612136</v>
      </c>
      <c r="AT127" s="2">
        <f>IF(AS$4=$E127, $I127*AS$57,0) + IF(AS$4&gt;$E127,MIN(AS127,$I127-SUM($J127:AS127)))</f>
        <v>6.4730523793612136</v>
      </c>
      <c r="AU127" s="2">
        <f>IF(AT$4=$E127, $I127*AT$57,0) + IF(AT$4&gt;$E127,MIN(AT127,$I127-SUM($J127:AT127)))</f>
        <v>6.4730523793612136</v>
      </c>
      <c r="AV127" s="2">
        <f>IF(AU$4=$E127, $I127*AU$57,0) + IF(AU$4&gt;$E127,MIN(AU127,$I127-SUM($J127:AU127)))</f>
        <v>6.4730523793612136</v>
      </c>
      <c r="AW127" s="2"/>
    </row>
    <row r="128" spans="5:49" ht="15" outlineLevel="1">
      <c r="E128" s="44">
        <f>INDEX($K$4:$AV$4,,COUNT(E$109:E127)+1)</f>
        <v>39903</v>
      </c>
      <c r="G128" s="2" t="s">
        <v>105</v>
      </c>
      <c r="I128" s="2">
        <f t="shared" si="64"/>
        <v>128.05734461084816</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6.4028672305424088</v>
      </c>
      <c r="AE128" s="2">
        <f>IF(AD$4=$E128, $I128*AD$57,0) + IF(AD$4&gt;$E128,MIN(AD128,$I128-SUM($J128:AD128)))</f>
        <v>6.4028672305424088</v>
      </c>
      <c r="AF128" s="2">
        <f>IF(AE$4=$E128, $I128*AE$57,0) + IF(AE$4&gt;$E128,MIN(AE128,$I128-SUM($J128:AE128)))</f>
        <v>6.4028672305424088</v>
      </c>
      <c r="AG128" s="2">
        <f>IF(AF$4=$E128, $I128*AF$57,0) + IF(AF$4&gt;$E128,MIN(AF128,$I128-SUM($J128:AF128)))</f>
        <v>6.4028672305424088</v>
      </c>
      <c r="AH128" s="2">
        <f>IF(AG$4=$E128, $I128*AG$57,0) + IF(AG$4&gt;$E128,MIN(AG128,$I128-SUM($J128:AG128)))</f>
        <v>6.4028672305424088</v>
      </c>
      <c r="AI128" s="2">
        <f>IF(AH$4=$E128, $I128*AH$57,0) + IF(AH$4&gt;$E128,MIN(AH128,$I128-SUM($J128:AH128)))</f>
        <v>6.4028672305424088</v>
      </c>
      <c r="AJ128" s="2">
        <f>IF(AI$4=$E128, $I128*AI$57,0) + IF(AI$4&gt;$E128,MIN(AI128,$I128-SUM($J128:AI128)))</f>
        <v>6.4028672305424088</v>
      </c>
      <c r="AK128" s="2">
        <f>IF(AJ$4=$E128, $I128*AJ$57,0) + IF(AJ$4&gt;$E128,MIN(AJ128,$I128-SUM($J128:AJ128)))</f>
        <v>6.4028672305424088</v>
      </c>
      <c r="AL128" s="2">
        <f>IF(AK$4=$E128, $I128*AK$57,0) + IF(AK$4&gt;$E128,MIN(AK128,$I128-SUM($J128:AK128)))</f>
        <v>6.4028672305424088</v>
      </c>
      <c r="AM128" s="2">
        <f>IF(AL$4=$E128, $I128*AL$57,0) + IF(AL$4&gt;$E128,MIN(AL128,$I128-SUM($J128:AL128)))</f>
        <v>6.4028672305424088</v>
      </c>
      <c r="AN128" s="2">
        <f>IF(AM$4=$E128, $I128*AM$57,0) + IF(AM$4&gt;$E128,MIN(AM128,$I128-SUM($J128:AM128)))</f>
        <v>6.4028672305424088</v>
      </c>
      <c r="AO128" s="2">
        <f>IF(AN$4=$E128, $I128*AN$57,0) + IF(AN$4&gt;$E128,MIN(AN128,$I128-SUM($J128:AN128)))</f>
        <v>6.4028672305424088</v>
      </c>
      <c r="AP128" s="2">
        <f>IF(AO$4=$E128, $I128*AO$57,0) + IF(AO$4&gt;$E128,MIN(AO128,$I128-SUM($J128:AO128)))</f>
        <v>6.4028672305424088</v>
      </c>
      <c r="AQ128" s="57">
        <f>IF(AP$4=$E128, $I128*AP$57,0) + IF(AP$4&gt;$E128,MIN(AP128,$I128-SUM($J128:AP128)))</f>
        <v>6.4028672305424088</v>
      </c>
      <c r="AR128" s="2">
        <f>IF(AQ$4=$E128, $I128*AQ$57,0) + IF(AQ$4&gt;$E128,MIN(AQ128,$I128-SUM($J128:AQ128)))</f>
        <v>6.4028672305424088</v>
      </c>
      <c r="AS128" s="2">
        <f>IF(AR$4=$E128, $I128*AR$57,0) + IF(AR$4&gt;$E128,MIN(AR128,$I128-SUM($J128:AR128)))</f>
        <v>6.4028672305424088</v>
      </c>
      <c r="AT128" s="2">
        <f>IF(AS$4=$E128, $I128*AS$57,0) + IF(AS$4&gt;$E128,MIN(AS128,$I128-SUM($J128:AS128)))</f>
        <v>6.4028672305424088</v>
      </c>
      <c r="AU128" s="2">
        <f>IF(AT$4=$E128, $I128*AT$57,0) + IF(AT$4&gt;$E128,MIN(AT128,$I128-SUM($J128:AT128)))</f>
        <v>6.4028672305424088</v>
      </c>
      <c r="AV128" s="2">
        <f>IF(AU$4=$E128, $I128*AU$57,0) + IF(AU$4&gt;$E128,MIN(AU128,$I128-SUM($J128:AU128)))</f>
        <v>6.4028672305424088</v>
      </c>
      <c r="AW128" s="2"/>
    </row>
    <row r="129" spans="5:49" ht="15" outlineLevel="1">
      <c r="E129" s="44">
        <f>INDEX($K$4:$AV$4,,COUNT(E$109:E128)+1)</f>
        <v>40268</v>
      </c>
      <c r="G129" s="2" t="s">
        <v>105</v>
      </c>
      <c r="I129" s="2">
        <f t="shared" si="64"/>
        <v>124.36188074160526</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6.2180940370802631</v>
      </c>
      <c r="AF129" s="2">
        <f>IF(AE$4=$E129, $I129*AE$57,0) + IF(AE$4&gt;$E129,MIN(AE129,$I129-SUM($J129:AE129)))</f>
        <v>6.2180940370802631</v>
      </c>
      <c r="AG129" s="2">
        <f>IF(AF$4=$E129, $I129*AF$57,0) + IF(AF$4&gt;$E129,MIN(AF129,$I129-SUM($J129:AF129)))</f>
        <v>6.2180940370802631</v>
      </c>
      <c r="AH129" s="2">
        <f>IF(AG$4=$E129, $I129*AG$57,0) + IF(AG$4&gt;$E129,MIN(AG129,$I129-SUM($J129:AG129)))</f>
        <v>6.2180940370802631</v>
      </c>
      <c r="AI129" s="2">
        <f>IF(AH$4=$E129, $I129*AH$57,0) + IF(AH$4&gt;$E129,MIN(AH129,$I129-SUM($J129:AH129)))</f>
        <v>6.2180940370802631</v>
      </c>
      <c r="AJ129" s="2">
        <f>IF(AI$4=$E129, $I129*AI$57,0) + IF(AI$4&gt;$E129,MIN(AI129,$I129-SUM($J129:AI129)))</f>
        <v>6.2180940370802631</v>
      </c>
      <c r="AK129" s="2">
        <f>IF(AJ$4=$E129, $I129*AJ$57,0) + IF(AJ$4&gt;$E129,MIN(AJ129,$I129-SUM($J129:AJ129)))</f>
        <v>6.2180940370802631</v>
      </c>
      <c r="AL129" s="2">
        <f>IF(AK$4=$E129, $I129*AK$57,0) + IF(AK$4&gt;$E129,MIN(AK129,$I129-SUM($J129:AK129)))</f>
        <v>6.2180940370802631</v>
      </c>
      <c r="AM129" s="2">
        <f>IF(AL$4=$E129, $I129*AL$57,0) + IF(AL$4&gt;$E129,MIN(AL129,$I129-SUM($J129:AL129)))</f>
        <v>6.2180940370802631</v>
      </c>
      <c r="AN129" s="2">
        <f>IF(AM$4=$E129, $I129*AM$57,0) + IF(AM$4&gt;$E129,MIN(AM129,$I129-SUM($J129:AM129)))</f>
        <v>6.2180940370802631</v>
      </c>
      <c r="AO129" s="2">
        <f>IF(AN$4=$E129, $I129*AN$57,0) + IF(AN$4&gt;$E129,MIN(AN129,$I129-SUM($J129:AN129)))</f>
        <v>6.2180940370802631</v>
      </c>
      <c r="AP129" s="2">
        <f>IF(AO$4=$E129, $I129*AO$57,0) + IF(AO$4&gt;$E129,MIN(AO129,$I129-SUM($J129:AO129)))</f>
        <v>6.2180940370802631</v>
      </c>
      <c r="AQ129" s="57">
        <f>IF(AP$4=$E129, $I129*AP$57,0) + IF(AP$4&gt;$E129,MIN(AP129,$I129-SUM($J129:AP129)))</f>
        <v>6.2180940370802631</v>
      </c>
      <c r="AR129" s="2">
        <f>IF(AQ$4=$E129, $I129*AQ$57,0) + IF(AQ$4&gt;$E129,MIN(AQ129,$I129-SUM($J129:AQ129)))</f>
        <v>6.2180940370802631</v>
      </c>
      <c r="AS129" s="2">
        <f>IF(AR$4=$E129, $I129*AR$57,0) + IF(AR$4&gt;$E129,MIN(AR129,$I129-SUM($J129:AR129)))</f>
        <v>6.2180940370802631</v>
      </c>
      <c r="AT129" s="2">
        <f>IF(AS$4=$E129, $I129*AS$57,0) + IF(AS$4&gt;$E129,MIN(AS129,$I129-SUM($J129:AS129)))</f>
        <v>6.2180940370802631</v>
      </c>
      <c r="AU129" s="2">
        <f>IF(AT$4=$E129, $I129*AT$57,0) + IF(AT$4&gt;$E129,MIN(AT129,$I129-SUM($J129:AT129)))</f>
        <v>6.2180940370802631</v>
      </c>
      <c r="AV129" s="2">
        <f>IF(AU$4=$E129, $I129*AU$57,0) + IF(AU$4&gt;$E129,MIN(AU129,$I129-SUM($J129:AU129)))</f>
        <v>6.2180940370802631</v>
      </c>
      <c r="AW129" s="2"/>
    </row>
    <row r="130" spans="5:49" ht="15" outlineLevel="1">
      <c r="E130" s="44">
        <f>INDEX($K$4:$AV$4,,COUNT(E$109:E129)+1)</f>
        <v>40633</v>
      </c>
      <c r="G130" s="2" t="s">
        <v>105</v>
      </c>
      <c r="I130" s="2">
        <f t="shared" si="64"/>
        <v>110.51366635320358</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5.525683317660179</v>
      </c>
      <c r="AG130" s="2">
        <f>IF(AF$4=$E130, $I130*AF$57,0) + IF(AF$4&gt;$E130,MIN(AF130,$I130-SUM($J130:AF130)))</f>
        <v>5.525683317660179</v>
      </c>
      <c r="AH130" s="2">
        <f>IF(AG$4=$E130, $I130*AG$57,0) + IF(AG$4&gt;$E130,MIN(AG130,$I130-SUM($J130:AG130)))</f>
        <v>5.525683317660179</v>
      </c>
      <c r="AI130" s="2">
        <f>IF(AH$4=$E130, $I130*AH$57,0) + IF(AH$4&gt;$E130,MIN(AH130,$I130-SUM($J130:AH130)))</f>
        <v>5.525683317660179</v>
      </c>
      <c r="AJ130" s="2">
        <f>IF(AI$4=$E130, $I130*AI$57,0) + IF(AI$4&gt;$E130,MIN(AI130,$I130-SUM($J130:AI130)))</f>
        <v>5.525683317660179</v>
      </c>
      <c r="AK130" s="2">
        <f>IF(AJ$4=$E130, $I130*AJ$57,0) + IF(AJ$4&gt;$E130,MIN(AJ130,$I130-SUM($J130:AJ130)))</f>
        <v>5.525683317660179</v>
      </c>
      <c r="AL130" s="2">
        <f>IF(AK$4=$E130, $I130*AK$57,0) + IF(AK$4&gt;$E130,MIN(AK130,$I130-SUM($J130:AK130)))</f>
        <v>5.525683317660179</v>
      </c>
      <c r="AM130" s="2">
        <f>IF(AL$4=$E130, $I130*AL$57,0) + IF(AL$4&gt;$E130,MIN(AL130,$I130-SUM($J130:AL130)))</f>
        <v>5.525683317660179</v>
      </c>
      <c r="AN130" s="2">
        <f>IF(AM$4=$E130, $I130*AM$57,0) + IF(AM$4&gt;$E130,MIN(AM130,$I130-SUM($J130:AM130)))</f>
        <v>5.525683317660179</v>
      </c>
      <c r="AO130" s="2">
        <f>IF(AN$4=$E130, $I130*AN$57,0) + IF(AN$4&gt;$E130,MIN(AN130,$I130-SUM($J130:AN130)))</f>
        <v>5.525683317660179</v>
      </c>
      <c r="AP130" s="2">
        <f>IF(AO$4=$E130, $I130*AO$57,0) + IF(AO$4&gt;$E130,MIN(AO130,$I130-SUM($J130:AO130)))</f>
        <v>5.525683317660179</v>
      </c>
      <c r="AQ130" s="57">
        <f>IF(AP$4=$E130, $I130*AP$57,0) + IF(AP$4&gt;$E130,MIN(AP130,$I130-SUM($J130:AP130)))</f>
        <v>5.525683317660179</v>
      </c>
      <c r="AR130" s="2">
        <f>IF(AQ$4=$E130, $I130*AQ$57,0) + IF(AQ$4&gt;$E130,MIN(AQ130,$I130-SUM($J130:AQ130)))</f>
        <v>5.525683317660179</v>
      </c>
      <c r="AS130" s="2">
        <f>IF(AR$4=$E130, $I130*AR$57,0) + IF(AR$4&gt;$E130,MIN(AR130,$I130-SUM($J130:AR130)))</f>
        <v>5.525683317660179</v>
      </c>
      <c r="AT130" s="2">
        <f>IF(AS$4=$E130, $I130*AS$57,0) + IF(AS$4&gt;$E130,MIN(AS130,$I130-SUM($J130:AS130)))</f>
        <v>5.525683317660179</v>
      </c>
      <c r="AU130" s="2">
        <f>IF(AT$4=$E130, $I130*AT$57,0) + IF(AT$4&gt;$E130,MIN(AT130,$I130-SUM($J130:AT130)))</f>
        <v>5.525683317660179</v>
      </c>
      <c r="AV130" s="2">
        <f>IF(AU$4=$E130, $I130*AU$57,0) + IF(AU$4&gt;$E130,MIN(AU130,$I130-SUM($J130:AU130)))</f>
        <v>5.525683317660179</v>
      </c>
      <c r="AW130" s="2"/>
    </row>
    <row r="131" spans="5:49" ht="15" outlineLevel="1">
      <c r="E131" s="44">
        <f>INDEX($K$4:$AV$4,,COUNT(E$109:E130)+1)</f>
        <v>40999</v>
      </c>
      <c r="G131" s="2" t="s">
        <v>105</v>
      </c>
      <c r="I131" s="2">
        <f t="shared" si="64"/>
        <v>110.87417588734979</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5.5437087943674896</v>
      </c>
      <c r="AH131" s="2">
        <f>IF(AG$4=$E131, $I131*AG$57,0) + IF(AG$4&gt;$E131,MIN(AG131,$I131-SUM($J131:AG131)))</f>
        <v>5.5437087943674896</v>
      </c>
      <c r="AI131" s="2">
        <f>IF(AH$4=$E131, $I131*AH$57,0) + IF(AH$4&gt;$E131,MIN(AH131,$I131-SUM($J131:AH131)))</f>
        <v>5.5437087943674896</v>
      </c>
      <c r="AJ131" s="2">
        <f>IF(AI$4=$E131, $I131*AI$57,0) + IF(AI$4&gt;$E131,MIN(AI131,$I131-SUM($J131:AI131)))</f>
        <v>5.5437087943674896</v>
      </c>
      <c r="AK131" s="2">
        <f>IF(AJ$4=$E131, $I131*AJ$57,0) + IF(AJ$4&gt;$E131,MIN(AJ131,$I131-SUM($J131:AJ131)))</f>
        <v>5.5437087943674896</v>
      </c>
      <c r="AL131" s="2">
        <f>IF(AK$4=$E131, $I131*AK$57,0) + IF(AK$4&gt;$E131,MIN(AK131,$I131-SUM($J131:AK131)))</f>
        <v>5.5437087943674896</v>
      </c>
      <c r="AM131" s="2">
        <f>IF(AL$4=$E131, $I131*AL$57,0) + IF(AL$4&gt;$E131,MIN(AL131,$I131-SUM($J131:AL131)))</f>
        <v>5.5437087943674896</v>
      </c>
      <c r="AN131" s="2">
        <f>IF(AM$4=$E131, $I131*AM$57,0) + IF(AM$4&gt;$E131,MIN(AM131,$I131-SUM($J131:AM131)))</f>
        <v>5.5437087943674896</v>
      </c>
      <c r="AO131" s="2">
        <f>IF(AN$4=$E131, $I131*AN$57,0) + IF(AN$4&gt;$E131,MIN(AN131,$I131-SUM($J131:AN131)))</f>
        <v>5.5437087943674896</v>
      </c>
      <c r="AP131" s="2">
        <f>IF(AO$4=$E131, $I131*AO$57,0) + IF(AO$4&gt;$E131,MIN(AO131,$I131-SUM($J131:AO131)))</f>
        <v>5.5437087943674896</v>
      </c>
      <c r="AQ131" s="57">
        <f>IF(AP$4=$E131, $I131*AP$57,0) + IF(AP$4&gt;$E131,MIN(AP131,$I131-SUM($J131:AP131)))</f>
        <v>5.5437087943674896</v>
      </c>
      <c r="AR131" s="2">
        <f>IF(AQ$4=$E131, $I131*AQ$57,0) + IF(AQ$4&gt;$E131,MIN(AQ131,$I131-SUM($J131:AQ131)))</f>
        <v>5.5437087943674896</v>
      </c>
      <c r="AS131" s="2">
        <f>IF(AR$4=$E131, $I131*AR$57,0) + IF(AR$4&gt;$E131,MIN(AR131,$I131-SUM($J131:AR131)))</f>
        <v>5.5437087943674896</v>
      </c>
      <c r="AT131" s="2">
        <f>IF(AS$4=$E131, $I131*AS$57,0) + IF(AS$4&gt;$E131,MIN(AS131,$I131-SUM($J131:AS131)))</f>
        <v>5.5437087943674896</v>
      </c>
      <c r="AU131" s="2">
        <f>IF(AT$4=$E131, $I131*AT$57,0) + IF(AT$4&gt;$E131,MIN(AT131,$I131-SUM($J131:AT131)))</f>
        <v>5.5437087943674896</v>
      </c>
      <c r="AV131" s="2">
        <f>IF(AU$4=$E131, $I131*AU$57,0) + IF(AU$4&gt;$E131,MIN(AU131,$I131-SUM($J131:AU131)))</f>
        <v>5.5437087943674896</v>
      </c>
      <c r="AW131" s="2"/>
    </row>
    <row r="132" spans="5:49" ht="15" outlineLevel="1">
      <c r="E132" s="44">
        <f>INDEX($K$4:$AV$4,,COUNT(E$109:E131)+1)</f>
        <v>41364</v>
      </c>
      <c r="G132" s="2" t="s">
        <v>105</v>
      </c>
      <c r="I132" s="2">
        <f t="shared" si="64"/>
        <v>159.43632367418397</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7.9718161837091985</v>
      </c>
      <c r="AI132" s="2">
        <f>IF(AH$4=$E132, $I132*AH$57,0) + IF(AH$4&gt;$E132,MIN(AH132,$I132-SUM($J132:AH132)))</f>
        <v>7.9718161837091985</v>
      </c>
      <c r="AJ132" s="2">
        <f>IF(AI$4=$E132, $I132*AI$57,0) + IF(AI$4&gt;$E132,MIN(AI132,$I132-SUM($J132:AI132)))</f>
        <v>7.9718161837091985</v>
      </c>
      <c r="AK132" s="2">
        <f>IF(AJ$4=$E132, $I132*AJ$57,0) + IF(AJ$4&gt;$E132,MIN(AJ132,$I132-SUM($J132:AJ132)))</f>
        <v>7.9718161837091985</v>
      </c>
      <c r="AL132" s="2">
        <f>IF(AK$4=$E132, $I132*AK$57,0) + IF(AK$4&gt;$E132,MIN(AK132,$I132-SUM($J132:AK132)))</f>
        <v>7.9718161837091985</v>
      </c>
      <c r="AM132" s="2">
        <f>IF(AL$4=$E132, $I132*AL$57,0) + IF(AL$4&gt;$E132,MIN(AL132,$I132-SUM($J132:AL132)))</f>
        <v>7.9718161837091985</v>
      </c>
      <c r="AN132" s="2">
        <f>IF(AM$4=$E132, $I132*AM$57,0) + IF(AM$4&gt;$E132,MIN(AM132,$I132-SUM($J132:AM132)))</f>
        <v>7.9718161837091985</v>
      </c>
      <c r="AO132" s="2">
        <f>IF(AN$4=$E132, $I132*AN$57,0) + IF(AN$4&gt;$E132,MIN(AN132,$I132-SUM($J132:AN132)))</f>
        <v>7.9718161837091985</v>
      </c>
      <c r="AP132" s="2">
        <f>IF(AO$4=$E132, $I132*AO$57,0) + IF(AO$4&gt;$E132,MIN(AO132,$I132-SUM($J132:AO132)))</f>
        <v>7.9718161837091985</v>
      </c>
      <c r="AQ132" s="57">
        <f>IF(AP$4=$E132, $I132*AP$57,0) + IF(AP$4&gt;$E132,MIN(AP132,$I132-SUM($J132:AP132)))</f>
        <v>7.9718161837091985</v>
      </c>
      <c r="AR132" s="2">
        <f>IF(AQ$4=$E132, $I132*AQ$57,0) + IF(AQ$4&gt;$E132,MIN(AQ132,$I132-SUM($J132:AQ132)))</f>
        <v>7.9718161837091985</v>
      </c>
      <c r="AS132" s="2">
        <f>IF(AR$4=$E132, $I132*AR$57,0) + IF(AR$4&gt;$E132,MIN(AR132,$I132-SUM($J132:AR132)))</f>
        <v>7.9718161837091985</v>
      </c>
      <c r="AT132" s="2">
        <f>IF(AS$4=$E132, $I132*AS$57,0) + IF(AS$4&gt;$E132,MIN(AS132,$I132-SUM($J132:AS132)))</f>
        <v>7.9718161837091985</v>
      </c>
      <c r="AU132" s="2">
        <f>IF(AT$4=$E132, $I132*AT$57,0) + IF(AT$4&gt;$E132,MIN(AT132,$I132-SUM($J132:AT132)))</f>
        <v>7.9718161837091985</v>
      </c>
      <c r="AV132" s="2">
        <f>IF(AU$4=$E132, $I132*AU$57,0) + IF(AU$4&gt;$E132,MIN(AU132,$I132-SUM($J132:AU132)))</f>
        <v>7.9718161837091985</v>
      </c>
      <c r="AW132" s="2"/>
    </row>
    <row r="133" spans="5:49" ht="15" outlineLevel="1">
      <c r="E133" s="44">
        <f>INDEX($K$4:$AV$4,,COUNT(E$109:E132)+1)</f>
        <v>41729</v>
      </c>
      <c r="G133" s="2" t="s">
        <v>105</v>
      </c>
      <c r="I133" s="2">
        <f t="shared" si="64"/>
        <v>178.78617238698774</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8.9393086193493883</v>
      </c>
      <c r="AJ133" s="2">
        <f>IF(AI$4=$E133, $I133*AI$57,0) + IF(AI$4&gt;$E133,MIN(AI133,$I133-SUM($J133:AI133)))</f>
        <v>8.9393086193493883</v>
      </c>
      <c r="AK133" s="2">
        <f>IF(AJ$4=$E133, $I133*AJ$57,0) + IF(AJ$4&gt;$E133,MIN(AJ133,$I133-SUM($J133:AJ133)))</f>
        <v>8.9393086193493883</v>
      </c>
      <c r="AL133" s="2">
        <f>IF(AK$4=$E133, $I133*AK$57,0) + IF(AK$4&gt;$E133,MIN(AK133,$I133-SUM($J133:AK133)))</f>
        <v>8.9393086193493883</v>
      </c>
      <c r="AM133" s="2">
        <f>IF(AL$4=$E133, $I133*AL$57,0) + IF(AL$4&gt;$E133,MIN(AL133,$I133-SUM($J133:AL133)))</f>
        <v>8.9393086193493883</v>
      </c>
      <c r="AN133" s="2">
        <f>IF(AM$4=$E133, $I133*AM$57,0) + IF(AM$4&gt;$E133,MIN(AM133,$I133-SUM($J133:AM133)))</f>
        <v>8.9393086193493883</v>
      </c>
      <c r="AO133" s="2">
        <f>IF(AN$4=$E133, $I133*AN$57,0) + IF(AN$4&gt;$E133,MIN(AN133,$I133-SUM($J133:AN133)))</f>
        <v>8.9393086193493883</v>
      </c>
      <c r="AP133" s="2">
        <f>IF(AO$4=$E133, $I133*AO$57,0) + IF(AO$4&gt;$E133,MIN(AO133,$I133-SUM($J133:AO133)))</f>
        <v>8.9393086193493883</v>
      </c>
      <c r="AQ133" s="57">
        <f>IF(AP$4=$E133, $I133*AP$57,0) + IF(AP$4&gt;$E133,MIN(AP133,$I133-SUM($J133:AP133)))</f>
        <v>8.9393086193493883</v>
      </c>
      <c r="AR133" s="2">
        <f>IF(AQ$4=$E133, $I133*AQ$57,0) + IF(AQ$4&gt;$E133,MIN(AQ133,$I133-SUM($J133:AQ133)))</f>
        <v>8.9393086193493883</v>
      </c>
      <c r="AS133" s="2">
        <f>IF(AR$4=$E133, $I133*AR$57,0) + IF(AR$4&gt;$E133,MIN(AR133,$I133-SUM($J133:AR133)))</f>
        <v>8.9393086193493883</v>
      </c>
      <c r="AT133" s="2">
        <f>IF(AS$4=$E133, $I133*AS$57,0) + IF(AS$4&gt;$E133,MIN(AS133,$I133-SUM($J133:AS133)))</f>
        <v>8.9393086193493883</v>
      </c>
      <c r="AU133" s="2">
        <f>IF(AT$4=$E133, $I133*AT$57,0) + IF(AT$4&gt;$E133,MIN(AT133,$I133-SUM($J133:AT133)))</f>
        <v>8.9393086193493883</v>
      </c>
      <c r="AV133" s="2">
        <f>IF(AU$4=$E133, $I133*AU$57,0) + IF(AU$4&gt;$E133,MIN(AU133,$I133-SUM($J133:AU133)))</f>
        <v>8.9393086193493883</v>
      </c>
      <c r="AW133" s="2"/>
    </row>
    <row r="134" spans="5:49" ht="15" outlineLevel="1">
      <c r="E134" s="44">
        <f>INDEX($K$4:$AV$4,,COUNT(E$109:E133)+1)</f>
        <v>42094</v>
      </c>
      <c r="G134" s="2" t="s">
        <v>105</v>
      </c>
      <c r="I134" s="2">
        <f t="shared" si="64"/>
        <v>189.91789599238535</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9.4958947996192684</v>
      </c>
      <c r="AK134" s="2">
        <f>IF(AJ$4=$E134, $I134*AJ$57,0) + IF(AJ$4&gt;$E134,MIN(AJ134,$I134-SUM($J134:AJ134)))</f>
        <v>9.4958947996192684</v>
      </c>
      <c r="AL134" s="2">
        <f>IF(AK$4=$E134, $I134*AK$57,0) + IF(AK$4&gt;$E134,MIN(AK134,$I134-SUM($J134:AK134)))</f>
        <v>9.4958947996192684</v>
      </c>
      <c r="AM134" s="2">
        <f>IF(AL$4=$E134, $I134*AL$57,0) + IF(AL$4&gt;$E134,MIN(AL134,$I134-SUM($J134:AL134)))</f>
        <v>9.4958947996192684</v>
      </c>
      <c r="AN134" s="2">
        <f>IF(AM$4=$E134, $I134*AM$57,0) + IF(AM$4&gt;$E134,MIN(AM134,$I134-SUM($J134:AM134)))</f>
        <v>9.4958947996192684</v>
      </c>
      <c r="AO134" s="2">
        <f>IF(AN$4=$E134, $I134*AN$57,0) + IF(AN$4&gt;$E134,MIN(AN134,$I134-SUM($J134:AN134)))</f>
        <v>9.4958947996192684</v>
      </c>
      <c r="AP134" s="2">
        <f>IF(AO$4=$E134, $I134*AO$57,0) + IF(AO$4&gt;$E134,MIN(AO134,$I134-SUM($J134:AO134)))</f>
        <v>9.4958947996192684</v>
      </c>
      <c r="AQ134" s="57">
        <f>IF(AP$4=$E134, $I134*AP$57,0) + IF(AP$4&gt;$E134,MIN(AP134,$I134-SUM($J134:AP134)))</f>
        <v>9.4958947996192684</v>
      </c>
      <c r="AR134" s="2">
        <f>IF(AQ$4=$E134, $I134*AQ$57,0) + IF(AQ$4&gt;$E134,MIN(AQ134,$I134-SUM($J134:AQ134)))</f>
        <v>9.4958947996192684</v>
      </c>
      <c r="AS134" s="2">
        <f>IF(AR$4=$E134, $I134*AR$57,0) + IF(AR$4&gt;$E134,MIN(AR134,$I134-SUM($J134:AR134)))</f>
        <v>9.4958947996192684</v>
      </c>
      <c r="AT134" s="2">
        <f>IF(AS$4=$E134, $I134*AS$57,0) + IF(AS$4&gt;$E134,MIN(AS134,$I134-SUM($J134:AS134)))</f>
        <v>9.4958947996192684</v>
      </c>
      <c r="AU134" s="2">
        <f>IF(AT$4=$E134, $I134*AT$57,0) + IF(AT$4&gt;$E134,MIN(AT134,$I134-SUM($J134:AT134)))</f>
        <v>9.4958947996192684</v>
      </c>
      <c r="AV134" s="2">
        <f>IF(AU$4=$E134, $I134*AU$57,0) + IF(AU$4&gt;$E134,MIN(AU134,$I134-SUM($J134:AU134)))</f>
        <v>9.4958947996192684</v>
      </c>
      <c r="AW134" s="2"/>
    </row>
    <row r="135" spans="5:49" ht="15" outlineLevel="1">
      <c r="E135" s="44">
        <f>INDEX($K$4:$AV$4,,COUNT(E$109:E134)+1)</f>
        <v>42460</v>
      </c>
      <c r="G135" s="2" t="s">
        <v>105</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5" outlineLevel="1">
      <c r="E136" s="44">
        <f>INDEX($K$4:$AV$4,,COUNT(E$109:E135)+1)</f>
        <v>42825</v>
      </c>
      <c r="G136" s="2" t="s">
        <v>105</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5" outlineLevel="1">
      <c r="E137" s="44">
        <f>INDEX($K$4:$AV$4,,COUNT(E$109:E136)+1)</f>
        <v>43190</v>
      </c>
      <c r="G137" s="2" t="s">
        <v>105</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5" outlineLevel="1">
      <c r="E138" s="44">
        <f>INDEX($K$4:$AV$4,,COUNT(E$109:E137)+1)</f>
        <v>43555</v>
      </c>
      <c r="G138" s="2" t="s">
        <v>105</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5" outlineLevel="1">
      <c r="E139" s="44">
        <f>INDEX($K$4:$AV$4,,COUNT(E$109:E138)+1)</f>
        <v>43921</v>
      </c>
      <c r="G139" s="2" t="s">
        <v>105</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5" outlineLevel="1">
      <c r="E140" s="44">
        <f>INDEX($K$4:$AV$4,,COUNT(E$109:E139)+1)</f>
        <v>44286</v>
      </c>
      <c r="G140" s="2" t="s">
        <v>105</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5" outlineLevel="1">
      <c r="E141" s="44">
        <f>INDEX($K$4:$AV$4,,COUNT(E$109:E140)+1)</f>
        <v>44651</v>
      </c>
      <c r="G141" s="2" t="s">
        <v>105</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5" outlineLevel="1">
      <c r="E142" s="44">
        <f>INDEX($K$4:$AV$4,,COUNT(E$109:E141)+1)</f>
        <v>45016</v>
      </c>
      <c r="G142" s="2" t="s">
        <v>105</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5" outlineLevel="1">
      <c r="E143" s="44">
        <f>INDEX($K$4:$AV$4,,COUNT(E$109:E142)+1)</f>
        <v>45382</v>
      </c>
      <c r="G143" s="2" t="s">
        <v>105</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5" outlineLevel="1">
      <c r="E144" s="44">
        <f>INDEX($K$4:$AV$4,,COUNT(E$109:E143)+1)</f>
        <v>45747</v>
      </c>
      <c r="G144" s="2" t="s">
        <v>105</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5" outlineLevel="1">
      <c r="E145" s="44">
        <f>INDEX($K$4:$AV$4,,COUNT(E$109:E144)+1)</f>
        <v>46112</v>
      </c>
      <c r="G145" s="2" t="s">
        <v>105</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5" outlineLevel="1">
      <c r="E146" s="44">
        <f>INDEX($K$4:$AV$4,,COUNT(E$109:E145)+1)</f>
        <v>46477</v>
      </c>
      <c r="G146" s="2" t="s">
        <v>105</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5" outlineLevel="1">
      <c r="E147" s="44">
        <f>INDEX($K$4:$AV$4,,COUNT(E$109:E146)+1)</f>
        <v>46843</v>
      </c>
      <c r="G147" s="2" t="s">
        <v>105</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0"/>
    </row>
    <row r="149" spans="1:49" ht="15">
      <c r="A149" s="2"/>
      <c r="B149" s="2"/>
      <c r="C149" s="28" t="s">
        <v>900</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5">
      <c r="A150" s="2"/>
      <c r="B150" s="2"/>
      <c r="C150" s="4" t="s">
        <v>901</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0"/>
    </row>
    <row r="152" spans="1:49" ht="15" outlineLevel="1">
      <c r="E152" s="34" t="s">
        <v>902</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1</v>
      </c>
      <c r="X152" s="2">
        <f t="shared" si="65"/>
        <v>1</v>
      </c>
      <c r="Y152" s="2">
        <f t="shared" si="65"/>
        <v>1</v>
      </c>
      <c r="Z152" s="2">
        <f t="shared" si="65"/>
        <v>0</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5" outlineLevel="1">
      <c r="E153" s="34" t="s">
        <v>903</v>
      </c>
      <c r="G153" s="34" t="s">
        <v>281</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5" outlineLevel="1">
      <c r="E154" s="34" t="s">
        <v>904</v>
      </c>
      <c r="G154" s="34" t="s">
        <v>209</v>
      </c>
      <c r="H154" s="34"/>
      <c r="I154" s="34"/>
      <c r="K154" s="201">
        <f>(1-K152) * IF(COUNTIF($J154:J154,"&gt;"&amp;0)&lt;=$I153-1,1,0) * (1/$I153)</f>
        <v>0</v>
      </c>
      <c r="L154" s="201">
        <f>(1-L152) * IF(COUNTIF($J154:K154,"&gt;"&amp;0)&lt;=$I153-1,1,0) * (1/$I153)</f>
        <v>0</v>
      </c>
      <c r="M154" s="201">
        <f>(1-M152) * IF(COUNTIF($J154:L154,"&gt;"&amp;0)&lt;=$I153-1,1,0) * (1/$I153)</f>
        <v>0</v>
      </c>
      <c r="N154" s="201">
        <f>(1-N152) * IF(COUNTIF($J154:M154,"&gt;"&amp;0)&lt;=$I153-1,1,0) * (1/$I153)</f>
        <v>0</v>
      </c>
      <c r="O154" s="201">
        <f>(1-O152) * IF(COUNTIF($J154:N154,"&gt;"&amp;0)&lt;=$I153-1,1,0) * (1/$I153)</f>
        <v>0</v>
      </c>
      <c r="P154" s="201">
        <f>(1-P152) * IF(COUNTIF($J154:O154,"&gt;"&amp;0)&lt;=$I153-1,1,0) * (1/$I153)</f>
        <v>0</v>
      </c>
      <c r="Q154" s="201">
        <f>(1-Q152) * IF(COUNTIF($J154:P154,"&gt;"&amp;0)&lt;=$I153-1,1,0) * (1/$I153)</f>
        <v>0</v>
      </c>
      <c r="R154" s="201">
        <f>(1-R152) * IF(COUNTIF($J154:Q154,"&gt;"&amp;0)&lt;=$I153-1,1,0) * (1/$I153)</f>
        <v>0</v>
      </c>
      <c r="S154" s="201">
        <f>(1-S152) * IF(COUNTIF($J154:R154,"&gt;"&amp;0)&lt;=$I153-1,1,0) * (1/$I153)</f>
        <v>0</v>
      </c>
      <c r="T154" s="201">
        <f>(1-T152) * IF(COUNTIF($J154:S154,"&gt;"&amp;0)&lt;=$I153-1,1,0) * (1/$I153)</f>
        <v>0</v>
      </c>
      <c r="U154" s="201">
        <f>(1-U152) * IF(COUNTIF($J154:T154,"&gt;"&amp;0)&lt;=$I153-1,1,0) * (1/$I153)</f>
        <v>0</v>
      </c>
      <c r="V154" s="201">
        <f>(1-V152) * IF(COUNTIF($J154:U154,"&gt;"&amp;0)&lt;=$I153-1,1,0) * (1/$I153)</f>
        <v>0</v>
      </c>
      <c r="W154" s="201">
        <f>(1-W152) * IF(COUNTIF($J154:V154,"&gt;"&amp;0)&lt;=$I153-1,1,0) * (1/$I153)</f>
        <v>0</v>
      </c>
      <c r="X154" s="201">
        <f>(1-X152) * IF(COUNTIF($J154:W154,"&gt;"&amp;0)&lt;=$I153-1,1,0) * (1/$I153)</f>
        <v>0</v>
      </c>
      <c r="Y154" s="201">
        <f>(1-Y152) * IF(COUNTIF($J154:X154,"&gt;"&amp;0)&lt;=$I153-1,1,0) * (1/$I153)</f>
        <v>0</v>
      </c>
      <c r="Z154" s="201">
        <f>(1-Z152) * IF(COUNTIF($J154:Y154,"&gt;"&amp;0)&lt;=$I153-1,1,0) * (1/$I153)</f>
        <v>6.6666666666666666E-2</v>
      </c>
      <c r="AA154" s="201">
        <f>(1-AA152) * IF(COUNTIF($J154:Z154,"&gt;"&amp;0)&lt;=$I153-1,1,0) * (1/$I153)</f>
        <v>6.6666666666666666E-2</v>
      </c>
      <c r="AB154" s="201">
        <f>(1-AB152) * IF(COUNTIF($J154:AA154,"&gt;"&amp;0)&lt;=$I153-1,1,0) * (1/$I153)</f>
        <v>6.6666666666666666E-2</v>
      </c>
      <c r="AC154" s="201">
        <f>(1-AC152) * IF(COUNTIF($J154:AB154,"&gt;"&amp;0)&lt;=$I153-1,1,0) * (1/$I153)</f>
        <v>6.6666666666666666E-2</v>
      </c>
      <c r="AD154" s="201">
        <f>(1-AD152) * IF(COUNTIF($J154:AC154,"&gt;"&amp;0)&lt;=$I153-1,1,0) * (1/$I153)</f>
        <v>6.6666666666666666E-2</v>
      </c>
      <c r="AE154" s="201">
        <f>(1-AE152) * IF(COUNTIF($J154:AD154,"&gt;"&amp;0)&lt;=$I153-1,1,0) * (1/$I153)</f>
        <v>6.6666666666666666E-2</v>
      </c>
      <c r="AF154" s="201">
        <f>(1-AF152) * IF(COUNTIF($J154:AE154,"&gt;"&amp;0)&lt;=$I153-1,1,0) * (1/$I153)</f>
        <v>6.6666666666666666E-2</v>
      </c>
      <c r="AG154" s="201">
        <f>(1-AG152) * IF(COUNTIF($J154:AF154,"&gt;"&amp;0)&lt;=$I153-1,1,0) * (1/$I153)</f>
        <v>6.6666666666666666E-2</v>
      </c>
      <c r="AH154" s="201">
        <f>(1-AH152) * IF(COUNTIF($J154:AG154,"&gt;"&amp;0)&lt;=$I153-1,1,0) * (1/$I153)</f>
        <v>6.6666666666666666E-2</v>
      </c>
      <c r="AI154" s="201">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6.6666666666666666E-2</v>
      </c>
      <c r="AM154" s="294">
        <f>(1-AM152) * IF(COUNTIF($J154:AL154,"&gt;"&amp;0)&lt;=$I153-1,1,0) * (1/$I153)</f>
        <v>6.6666666666666666E-2</v>
      </c>
      <c r="AN154" s="294">
        <f>(1-AN152) * IF(COUNTIF($J154:AM154,"&gt;"&amp;0)&lt;=$I153-1,1,0) * (1/$I153)</f>
        <v>6.6666666666666666E-2</v>
      </c>
      <c r="AO154" s="294">
        <f>(1-AO152) * IF(COUNTIF($J154:AN154,"&gt;"&amp;0)&lt;=$I153-1,1,0) * (1/$I153)</f>
        <v>0</v>
      </c>
      <c r="AP154" s="294">
        <f>(1-AP152) * IF(COUNTIF($J154:AO154,"&gt;"&amp;0)&lt;=$I153-1,1,0) * (1/$I153)</f>
        <v>0</v>
      </c>
      <c r="AQ154" s="295">
        <f>(1-AQ152) * IF(COUNTIF($J154:AP154,"&gt;"&amp;0)&lt;=$I153-1,1,0) * (1/$I153)</f>
        <v>0</v>
      </c>
      <c r="AR154" s="294">
        <f>(1-AR152) * IF(COUNTIF($J154:AQ154,"&gt;"&amp;0)&lt;=$I153-1,1,0) * (1/$I153)</f>
        <v>0</v>
      </c>
      <c r="AS154" s="294">
        <f>(1-AS152) * IF(COUNTIF($J154:AR154,"&gt;"&amp;0)&lt;=$I153-1,1,0) * (1/$I153)</f>
        <v>0</v>
      </c>
      <c r="AT154" s="294">
        <f>(1-AT152) * IF(COUNTIF($J154:AS154,"&gt;"&amp;0)&lt;=$I153-1,1,0) * (1/$I153)</f>
        <v>0</v>
      </c>
      <c r="AU154" s="294">
        <f>(1-AU152) * IF(COUNTIF($J154:AT154,"&gt;"&amp;0)&lt;=$I153-1,1,0) * (1/$I153)</f>
        <v>0</v>
      </c>
      <c r="AV154" s="294">
        <f>(1-AV152) * IF(COUNTIF($J154:AU154,"&gt;"&amp;0)&lt;=$I153-1,1,0) * (1/$I153)</f>
        <v>0</v>
      </c>
    </row>
    <row r="155" spans="1:49" outlineLevel="1">
      <c r="AQ155" s="220"/>
    </row>
    <row r="156" spans="1:49" ht="15" outlineLevel="1">
      <c r="E156" s="44">
        <f t="shared" ref="E156:E191" si="66">E66</f>
        <v>33328</v>
      </c>
      <c r="G156" s="2" t="s">
        <v>105</v>
      </c>
      <c r="I156" s="2">
        <f>SUMPRODUCT(K110:AV110,$K$152:$AV$152) - SUMPRODUCT(K66:AV66,$K$152:$AV$152)</f>
        <v>6.7841730065060037</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v>
      </c>
      <c r="X156" s="2">
        <f t="shared" si="68"/>
        <v>0</v>
      </c>
      <c r="Y156" s="2">
        <f t="shared" si="68"/>
        <v>0</v>
      </c>
      <c r="Z156" s="2">
        <f t="shared" si="68"/>
        <v>0.45227820043373357</v>
      </c>
      <c r="AA156" s="2">
        <f t="shared" si="68"/>
        <v>0.45227820043373357</v>
      </c>
      <c r="AB156" s="2">
        <f t="shared" si="68"/>
        <v>0.45227820043373357</v>
      </c>
      <c r="AC156" s="2">
        <f t="shared" si="68"/>
        <v>0.45227820043373357</v>
      </c>
      <c r="AD156" s="2">
        <f t="shared" si="68"/>
        <v>0.45227820043373357</v>
      </c>
      <c r="AE156" s="2">
        <f t="shared" si="68"/>
        <v>0.45227820043373357</v>
      </c>
      <c r="AF156" s="2">
        <f t="shared" si="68"/>
        <v>0.45227820043373357</v>
      </c>
      <c r="AG156" s="2">
        <f t="shared" si="68"/>
        <v>0.45227820043373357</v>
      </c>
      <c r="AH156" s="2">
        <f t="shared" si="68"/>
        <v>0.45227820043373357</v>
      </c>
      <c r="AI156" s="2">
        <f t="shared" si="68"/>
        <v>0.45227820043373357</v>
      </c>
      <c r="AJ156" s="2">
        <f t="shared" si="68"/>
        <v>0.45227820043373357</v>
      </c>
      <c r="AK156" s="2">
        <f t="shared" si="68"/>
        <v>0.45227820043373357</v>
      </c>
      <c r="AL156" s="2">
        <f t="shared" si="68"/>
        <v>0.45227820043373357</v>
      </c>
      <c r="AM156" s="2">
        <f t="shared" si="68"/>
        <v>0.45227820043373357</v>
      </c>
      <c r="AN156" s="2">
        <f t="shared" si="68"/>
        <v>0.45227820043373357</v>
      </c>
      <c r="AO156" s="2">
        <f t="shared" si="68"/>
        <v>0</v>
      </c>
      <c r="AP156" s="2">
        <f t="shared" si="68"/>
        <v>0</v>
      </c>
      <c r="AQ156" s="57">
        <f t="shared" si="68"/>
        <v>0</v>
      </c>
      <c r="AR156" s="2">
        <f t="shared" si="68"/>
        <v>0</v>
      </c>
      <c r="AS156" s="2">
        <f t="shared" si="68"/>
        <v>0</v>
      </c>
      <c r="AT156" s="2">
        <f t="shared" si="68"/>
        <v>0</v>
      </c>
      <c r="AU156" s="2">
        <f t="shared" si="68"/>
        <v>0</v>
      </c>
      <c r="AV156" s="2">
        <f t="shared" si="68"/>
        <v>0</v>
      </c>
      <c r="AW156" s="2"/>
    </row>
    <row r="157" spans="1:49" ht="15" outlineLevel="1">
      <c r="E157" s="44">
        <f t="shared" si="66"/>
        <v>33694</v>
      </c>
      <c r="G157" s="2" t="s">
        <v>105</v>
      </c>
      <c r="I157" s="2">
        <f>SUMPRODUCT(K111:AV111,$K$152:$AV$152) - SUMPRODUCT(K67:AV67,$K$152:$AV$152)</f>
        <v>19.620094670942116</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v>
      </c>
      <c r="X157" s="2">
        <f t="shared" si="68"/>
        <v>0</v>
      </c>
      <c r="Y157" s="2">
        <f t="shared" si="68"/>
        <v>0</v>
      </c>
      <c r="Z157" s="2">
        <f t="shared" si="68"/>
        <v>1.3080063113961411</v>
      </c>
      <c r="AA157" s="2">
        <f t="shared" si="68"/>
        <v>1.3080063113961411</v>
      </c>
      <c r="AB157" s="2">
        <f t="shared" si="68"/>
        <v>1.3080063113961411</v>
      </c>
      <c r="AC157" s="2">
        <f t="shared" si="68"/>
        <v>1.3080063113961411</v>
      </c>
      <c r="AD157" s="2">
        <f t="shared" si="68"/>
        <v>1.3080063113961411</v>
      </c>
      <c r="AE157" s="2">
        <f t="shared" si="68"/>
        <v>1.3080063113961411</v>
      </c>
      <c r="AF157" s="2">
        <f t="shared" si="68"/>
        <v>1.3080063113961411</v>
      </c>
      <c r="AG157" s="2">
        <f t="shared" si="68"/>
        <v>1.3080063113961411</v>
      </c>
      <c r="AH157" s="2">
        <f t="shared" si="68"/>
        <v>1.3080063113961411</v>
      </c>
      <c r="AI157" s="2">
        <f t="shared" si="68"/>
        <v>1.3080063113961411</v>
      </c>
      <c r="AJ157" s="2">
        <f t="shared" si="68"/>
        <v>1.3080063113961411</v>
      </c>
      <c r="AK157" s="2">
        <f t="shared" si="68"/>
        <v>1.3080063113961411</v>
      </c>
      <c r="AL157" s="2">
        <f t="shared" si="68"/>
        <v>1.3080063113961411</v>
      </c>
      <c r="AM157" s="2">
        <f t="shared" si="68"/>
        <v>1.3080063113961411</v>
      </c>
      <c r="AN157" s="2">
        <f t="shared" si="68"/>
        <v>1.3080063113961411</v>
      </c>
      <c r="AO157" s="2">
        <f t="shared" si="68"/>
        <v>0</v>
      </c>
      <c r="AP157" s="2">
        <f t="shared" si="68"/>
        <v>0</v>
      </c>
      <c r="AQ157" s="57">
        <f t="shared" si="68"/>
        <v>0</v>
      </c>
      <c r="AR157" s="2">
        <f t="shared" si="68"/>
        <v>0</v>
      </c>
      <c r="AS157" s="2">
        <f t="shared" si="68"/>
        <v>0</v>
      </c>
      <c r="AT157" s="2">
        <f t="shared" si="68"/>
        <v>0</v>
      </c>
      <c r="AU157" s="2">
        <f t="shared" si="68"/>
        <v>0</v>
      </c>
      <c r="AV157" s="2">
        <f t="shared" si="68"/>
        <v>0</v>
      </c>
      <c r="AW157" s="2"/>
    </row>
    <row r="158" spans="1:49" ht="15" outlineLevel="1">
      <c r="E158" s="44">
        <f t="shared" si="66"/>
        <v>34059</v>
      </c>
      <c r="G158" s="2" t="s">
        <v>105</v>
      </c>
      <c r="I158" s="2">
        <f t="shared" ref="I158:I193" si="70">SUMPRODUCT(K112:AV112,$K$152:$AV$152) - SUMPRODUCT(K68:AV68,$K$152:$AV$152)</f>
        <v>18.821086290677531</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0</v>
      </c>
      <c r="X158" s="2">
        <f t="shared" si="68"/>
        <v>0</v>
      </c>
      <c r="Y158" s="2">
        <f t="shared" si="68"/>
        <v>0</v>
      </c>
      <c r="Z158" s="2">
        <f t="shared" si="68"/>
        <v>1.2547390860451688</v>
      </c>
      <c r="AA158" s="2">
        <f t="shared" si="68"/>
        <v>1.2547390860451688</v>
      </c>
      <c r="AB158" s="2">
        <f t="shared" si="68"/>
        <v>1.2547390860451688</v>
      </c>
      <c r="AC158" s="2">
        <f t="shared" si="68"/>
        <v>1.2547390860451688</v>
      </c>
      <c r="AD158" s="2">
        <f t="shared" si="68"/>
        <v>1.2547390860451688</v>
      </c>
      <c r="AE158" s="2">
        <f t="shared" si="68"/>
        <v>1.2547390860451688</v>
      </c>
      <c r="AF158" s="2">
        <f t="shared" si="68"/>
        <v>1.2547390860451688</v>
      </c>
      <c r="AG158" s="2">
        <f t="shared" si="68"/>
        <v>1.2547390860451688</v>
      </c>
      <c r="AH158" s="2">
        <f t="shared" si="68"/>
        <v>1.2547390860451688</v>
      </c>
      <c r="AI158" s="2">
        <f t="shared" si="68"/>
        <v>1.2547390860451688</v>
      </c>
      <c r="AJ158" s="2">
        <f t="shared" si="68"/>
        <v>1.2547390860451688</v>
      </c>
      <c r="AK158" s="2">
        <f t="shared" si="68"/>
        <v>1.2547390860451688</v>
      </c>
      <c r="AL158" s="2">
        <f t="shared" si="68"/>
        <v>1.2547390860451688</v>
      </c>
      <c r="AM158" s="2">
        <f t="shared" si="68"/>
        <v>1.2547390860451688</v>
      </c>
      <c r="AN158" s="2">
        <f t="shared" si="68"/>
        <v>1.2547390860451688</v>
      </c>
      <c r="AO158" s="2">
        <f t="shared" si="68"/>
        <v>0</v>
      </c>
      <c r="AP158" s="2">
        <f t="shared" si="68"/>
        <v>0</v>
      </c>
      <c r="AQ158" s="57">
        <f t="shared" si="68"/>
        <v>0</v>
      </c>
      <c r="AR158" s="2">
        <f t="shared" si="68"/>
        <v>0</v>
      </c>
      <c r="AS158" s="2">
        <f t="shared" si="68"/>
        <v>0</v>
      </c>
      <c r="AT158" s="2">
        <f t="shared" si="68"/>
        <v>0</v>
      </c>
      <c r="AU158" s="2">
        <f t="shared" si="68"/>
        <v>0</v>
      </c>
      <c r="AV158" s="2">
        <f t="shared" si="68"/>
        <v>0</v>
      </c>
      <c r="AW158" s="2"/>
    </row>
    <row r="159" spans="1:49" ht="15" outlineLevel="1">
      <c r="E159" s="44">
        <f t="shared" si="66"/>
        <v>34424</v>
      </c>
      <c r="G159" s="2" t="s">
        <v>105</v>
      </c>
      <c r="I159" s="2">
        <f t="shared" si="70"/>
        <v>19.572006203611409</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0</v>
      </c>
      <c r="X159" s="2">
        <f t="shared" si="68"/>
        <v>0</v>
      </c>
      <c r="Y159" s="2">
        <f t="shared" si="68"/>
        <v>0</v>
      </c>
      <c r="Z159" s="2">
        <f t="shared" si="68"/>
        <v>1.3048004135740938</v>
      </c>
      <c r="AA159" s="2">
        <f t="shared" si="68"/>
        <v>1.3048004135740938</v>
      </c>
      <c r="AB159" s="2">
        <f t="shared" si="68"/>
        <v>1.3048004135740938</v>
      </c>
      <c r="AC159" s="2">
        <f t="shared" si="68"/>
        <v>1.3048004135740938</v>
      </c>
      <c r="AD159" s="2">
        <f t="shared" si="68"/>
        <v>1.3048004135740938</v>
      </c>
      <c r="AE159" s="2">
        <f t="shared" si="68"/>
        <v>1.3048004135740938</v>
      </c>
      <c r="AF159" s="2">
        <f t="shared" si="68"/>
        <v>1.3048004135740938</v>
      </c>
      <c r="AG159" s="2">
        <f t="shared" si="68"/>
        <v>1.3048004135740938</v>
      </c>
      <c r="AH159" s="2">
        <f t="shared" si="68"/>
        <v>1.3048004135740938</v>
      </c>
      <c r="AI159" s="2">
        <f t="shared" si="68"/>
        <v>1.3048004135740938</v>
      </c>
      <c r="AJ159" s="2">
        <f t="shared" si="68"/>
        <v>1.3048004135740938</v>
      </c>
      <c r="AK159" s="2">
        <f t="shared" si="68"/>
        <v>1.3048004135740938</v>
      </c>
      <c r="AL159" s="2">
        <f t="shared" si="68"/>
        <v>1.3048004135740938</v>
      </c>
      <c r="AM159" s="2">
        <f t="shared" si="68"/>
        <v>1.3048004135740938</v>
      </c>
      <c r="AN159" s="2">
        <f t="shared" si="68"/>
        <v>1.3048004135740938</v>
      </c>
      <c r="AO159" s="2">
        <f t="shared" si="68"/>
        <v>0</v>
      </c>
      <c r="AP159" s="2">
        <f t="shared" si="68"/>
        <v>0</v>
      </c>
      <c r="AQ159" s="57">
        <f t="shared" si="68"/>
        <v>0</v>
      </c>
      <c r="AR159" s="2">
        <f t="shared" si="68"/>
        <v>0</v>
      </c>
      <c r="AS159" s="2">
        <f t="shared" si="68"/>
        <v>0</v>
      </c>
      <c r="AT159" s="2">
        <f t="shared" si="68"/>
        <v>0</v>
      </c>
      <c r="AU159" s="2">
        <f t="shared" si="68"/>
        <v>0</v>
      </c>
      <c r="AV159" s="2">
        <f t="shared" si="68"/>
        <v>0</v>
      </c>
      <c r="AW159" s="2"/>
    </row>
    <row r="160" spans="1:49" ht="15" outlineLevel="1">
      <c r="E160" s="44">
        <f t="shared" si="66"/>
        <v>34789</v>
      </c>
      <c r="G160" s="2" t="s">
        <v>105</v>
      </c>
      <c r="I160" s="2">
        <f t="shared" si="70"/>
        <v>21.010961110662013</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0</v>
      </c>
      <c r="X160" s="2">
        <f t="shared" si="71"/>
        <v>0</v>
      </c>
      <c r="Y160" s="2">
        <f t="shared" si="71"/>
        <v>0</v>
      </c>
      <c r="Z160" s="2">
        <f t="shared" si="71"/>
        <v>1.4007307407108009</v>
      </c>
      <c r="AA160" s="2">
        <f t="shared" si="71"/>
        <v>1.4007307407108009</v>
      </c>
      <c r="AB160" s="2">
        <f t="shared" si="71"/>
        <v>1.4007307407108009</v>
      </c>
      <c r="AC160" s="2">
        <f t="shared" si="71"/>
        <v>1.4007307407108009</v>
      </c>
      <c r="AD160" s="2">
        <f t="shared" si="71"/>
        <v>1.4007307407108009</v>
      </c>
      <c r="AE160" s="2">
        <f t="shared" si="71"/>
        <v>1.4007307407108009</v>
      </c>
      <c r="AF160" s="2">
        <f t="shared" si="71"/>
        <v>1.4007307407108009</v>
      </c>
      <c r="AG160" s="2">
        <f t="shared" si="71"/>
        <v>1.4007307407108009</v>
      </c>
      <c r="AH160" s="2">
        <f t="shared" si="71"/>
        <v>1.4007307407108009</v>
      </c>
      <c r="AI160" s="2">
        <f t="shared" si="71"/>
        <v>1.4007307407108009</v>
      </c>
      <c r="AJ160" s="2">
        <f t="shared" si="71"/>
        <v>1.4007307407108009</v>
      </c>
      <c r="AK160" s="2">
        <f t="shared" si="71"/>
        <v>1.4007307407108009</v>
      </c>
      <c r="AL160" s="2">
        <f t="shared" si="71"/>
        <v>1.4007307407108009</v>
      </c>
      <c r="AM160" s="2">
        <f t="shared" si="71"/>
        <v>1.4007307407108009</v>
      </c>
      <c r="AN160" s="2">
        <f t="shared" si="71"/>
        <v>1.4007307407108009</v>
      </c>
      <c r="AO160" s="2">
        <f t="shared" si="71"/>
        <v>0</v>
      </c>
      <c r="AP160" s="2">
        <f t="shared" si="71"/>
        <v>0</v>
      </c>
      <c r="AQ160" s="57">
        <f t="shared" si="71"/>
        <v>0</v>
      </c>
      <c r="AR160" s="2">
        <f t="shared" si="71"/>
        <v>0</v>
      </c>
      <c r="AS160" s="2">
        <f t="shared" si="71"/>
        <v>0</v>
      </c>
      <c r="AT160" s="2">
        <f t="shared" si="71"/>
        <v>0</v>
      </c>
      <c r="AU160" s="2">
        <f t="shared" si="71"/>
        <v>0</v>
      </c>
      <c r="AV160" s="2">
        <f t="shared" si="71"/>
        <v>0</v>
      </c>
      <c r="AW160" s="2"/>
    </row>
    <row r="161" spans="5:49" ht="15" outlineLevel="1">
      <c r="E161" s="44">
        <f t="shared" si="66"/>
        <v>35155</v>
      </c>
      <c r="G161" s="2" t="s">
        <v>105</v>
      </c>
      <c r="I161" s="2">
        <f t="shared" si="70"/>
        <v>13.949354638786339</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v>
      </c>
      <c r="X161" s="2">
        <f t="shared" si="71"/>
        <v>0</v>
      </c>
      <c r="Y161" s="2">
        <f t="shared" si="71"/>
        <v>0</v>
      </c>
      <c r="Z161" s="2">
        <f t="shared" si="71"/>
        <v>0.92995697591908921</v>
      </c>
      <c r="AA161" s="2">
        <f t="shared" si="71"/>
        <v>0.92995697591908921</v>
      </c>
      <c r="AB161" s="2">
        <f t="shared" si="71"/>
        <v>0.92995697591908921</v>
      </c>
      <c r="AC161" s="2">
        <f t="shared" si="71"/>
        <v>0.92995697591908921</v>
      </c>
      <c r="AD161" s="2">
        <f t="shared" si="71"/>
        <v>0.92995697591908921</v>
      </c>
      <c r="AE161" s="2">
        <f t="shared" si="71"/>
        <v>0.92995697591908921</v>
      </c>
      <c r="AF161" s="2">
        <f t="shared" si="71"/>
        <v>0.92995697591908921</v>
      </c>
      <c r="AG161" s="2">
        <f t="shared" si="71"/>
        <v>0.92995697591908921</v>
      </c>
      <c r="AH161" s="2">
        <f t="shared" si="71"/>
        <v>0.92995697591908921</v>
      </c>
      <c r="AI161" s="2">
        <f t="shared" si="71"/>
        <v>0.92995697591908921</v>
      </c>
      <c r="AJ161" s="2">
        <f t="shared" si="71"/>
        <v>0.92995697591908921</v>
      </c>
      <c r="AK161" s="2">
        <f t="shared" si="71"/>
        <v>0.92995697591908921</v>
      </c>
      <c r="AL161" s="2">
        <f t="shared" si="71"/>
        <v>0.92995697591908921</v>
      </c>
      <c r="AM161" s="2">
        <f t="shared" si="71"/>
        <v>0.92995697591908921</v>
      </c>
      <c r="AN161" s="2">
        <f t="shared" si="71"/>
        <v>0.92995697591908921</v>
      </c>
      <c r="AO161" s="2">
        <f t="shared" si="71"/>
        <v>0</v>
      </c>
      <c r="AP161" s="2">
        <f t="shared" si="71"/>
        <v>0</v>
      </c>
      <c r="AQ161" s="57">
        <f t="shared" si="71"/>
        <v>0</v>
      </c>
      <c r="AR161" s="2">
        <f t="shared" si="71"/>
        <v>0</v>
      </c>
      <c r="AS161" s="2">
        <f t="shared" si="71"/>
        <v>0</v>
      </c>
      <c r="AT161" s="2">
        <f t="shared" si="71"/>
        <v>0</v>
      </c>
      <c r="AU161" s="2">
        <f t="shared" si="71"/>
        <v>0</v>
      </c>
      <c r="AV161" s="2">
        <f t="shared" si="71"/>
        <v>0</v>
      </c>
      <c r="AW161" s="2"/>
    </row>
    <row r="162" spans="5:49" ht="15" outlineLevel="1">
      <c r="E162" s="44">
        <f t="shared" si="66"/>
        <v>35520</v>
      </c>
      <c r="G162" s="2" t="s">
        <v>105</v>
      </c>
      <c r="I162" s="2">
        <f t="shared" si="70"/>
        <v>13.287213434770759</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v>
      </c>
      <c r="X162" s="2">
        <f t="shared" si="71"/>
        <v>0</v>
      </c>
      <c r="Y162" s="2">
        <f t="shared" si="71"/>
        <v>0</v>
      </c>
      <c r="Z162" s="2">
        <f t="shared" si="71"/>
        <v>0.88581422898471729</v>
      </c>
      <c r="AA162" s="2">
        <f t="shared" si="71"/>
        <v>0.88581422898471729</v>
      </c>
      <c r="AB162" s="2">
        <f t="shared" si="71"/>
        <v>0.88581422898471729</v>
      </c>
      <c r="AC162" s="2">
        <f t="shared" si="71"/>
        <v>0.88581422898471729</v>
      </c>
      <c r="AD162" s="2">
        <f t="shared" si="71"/>
        <v>0.88581422898471729</v>
      </c>
      <c r="AE162" s="2">
        <f t="shared" si="71"/>
        <v>0.88581422898471729</v>
      </c>
      <c r="AF162" s="2">
        <f t="shared" si="71"/>
        <v>0.88581422898471729</v>
      </c>
      <c r="AG162" s="2">
        <f t="shared" si="71"/>
        <v>0.88581422898471729</v>
      </c>
      <c r="AH162" s="2">
        <f t="shared" si="71"/>
        <v>0.88581422898471729</v>
      </c>
      <c r="AI162" s="2">
        <f t="shared" si="71"/>
        <v>0.88581422898471729</v>
      </c>
      <c r="AJ162" s="2">
        <f t="shared" si="71"/>
        <v>0.88581422898471729</v>
      </c>
      <c r="AK162" s="2">
        <f t="shared" si="71"/>
        <v>0.88581422898471729</v>
      </c>
      <c r="AL162" s="2">
        <f t="shared" si="71"/>
        <v>0.88581422898471729</v>
      </c>
      <c r="AM162" s="2">
        <f t="shared" si="71"/>
        <v>0.88581422898471729</v>
      </c>
      <c r="AN162" s="2">
        <f t="shared" si="71"/>
        <v>0.88581422898471729</v>
      </c>
      <c r="AO162" s="2">
        <f t="shared" si="71"/>
        <v>0</v>
      </c>
      <c r="AP162" s="2">
        <f t="shared" si="71"/>
        <v>0</v>
      </c>
      <c r="AQ162" s="57">
        <f t="shared" si="71"/>
        <v>0</v>
      </c>
      <c r="AR162" s="2">
        <f t="shared" si="71"/>
        <v>0</v>
      </c>
      <c r="AS162" s="2">
        <f t="shared" si="71"/>
        <v>0</v>
      </c>
      <c r="AT162" s="2">
        <f t="shared" si="71"/>
        <v>0</v>
      </c>
      <c r="AU162" s="2">
        <f t="shared" si="71"/>
        <v>0</v>
      </c>
      <c r="AV162" s="2">
        <f t="shared" si="71"/>
        <v>0</v>
      </c>
      <c r="AW162" s="2"/>
    </row>
    <row r="163" spans="5:49" ht="15" outlineLevel="1">
      <c r="E163" s="44">
        <f t="shared" si="66"/>
        <v>35885</v>
      </c>
      <c r="G163" s="2" t="s">
        <v>105</v>
      </c>
      <c r="I163" s="2">
        <f t="shared" si="70"/>
        <v>10.668241521681203</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v>
      </c>
      <c r="X163" s="2">
        <f t="shared" si="71"/>
        <v>0</v>
      </c>
      <c r="Y163" s="2">
        <f t="shared" si="71"/>
        <v>0</v>
      </c>
      <c r="Z163" s="2">
        <f t="shared" si="71"/>
        <v>0.71121610144541358</v>
      </c>
      <c r="AA163" s="2">
        <f t="shared" si="71"/>
        <v>0.71121610144541358</v>
      </c>
      <c r="AB163" s="2">
        <f t="shared" si="71"/>
        <v>0.71121610144541358</v>
      </c>
      <c r="AC163" s="2">
        <f t="shared" si="71"/>
        <v>0.71121610144541358</v>
      </c>
      <c r="AD163" s="2">
        <f t="shared" si="71"/>
        <v>0.71121610144541358</v>
      </c>
      <c r="AE163" s="2">
        <f t="shared" si="71"/>
        <v>0.71121610144541358</v>
      </c>
      <c r="AF163" s="2">
        <f t="shared" si="71"/>
        <v>0.71121610144541358</v>
      </c>
      <c r="AG163" s="2">
        <f t="shared" si="71"/>
        <v>0.71121610144541358</v>
      </c>
      <c r="AH163" s="2">
        <f t="shared" si="71"/>
        <v>0.71121610144541358</v>
      </c>
      <c r="AI163" s="2">
        <f t="shared" si="71"/>
        <v>0.71121610144541358</v>
      </c>
      <c r="AJ163" s="2">
        <f t="shared" si="71"/>
        <v>0.71121610144541358</v>
      </c>
      <c r="AK163" s="2">
        <f t="shared" si="71"/>
        <v>0.71121610144541358</v>
      </c>
      <c r="AL163" s="2">
        <f t="shared" si="71"/>
        <v>0.71121610144541358</v>
      </c>
      <c r="AM163" s="2">
        <f t="shared" si="71"/>
        <v>0.71121610144541358</v>
      </c>
      <c r="AN163" s="2">
        <f t="shared" si="71"/>
        <v>0.71121610144541358</v>
      </c>
      <c r="AO163" s="2">
        <f t="shared" si="71"/>
        <v>0</v>
      </c>
      <c r="AP163" s="2">
        <f t="shared" si="71"/>
        <v>0</v>
      </c>
      <c r="AQ163" s="57">
        <f t="shared" si="71"/>
        <v>0</v>
      </c>
      <c r="AR163" s="2">
        <f t="shared" si="71"/>
        <v>0</v>
      </c>
      <c r="AS163" s="2">
        <f t="shared" si="71"/>
        <v>0</v>
      </c>
      <c r="AT163" s="2">
        <f t="shared" si="71"/>
        <v>0</v>
      </c>
      <c r="AU163" s="2">
        <f t="shared" si="71"/>
        <v>0</v>
      </c>
      <c r="AV163" s="2">
        <f t="shared" si="71"/>
        <v>0</v>
      </c>
      <c r="AW163" s="2"/>
    </row>
    <row r="164" spans="5:49" ht="15" outlineLevel="1">
      <c r="E164" s="44">
        <f t="shared" si="66"/>
        <v>36250</v>
      </c>
      <c r="G164" s="2" t="s">
        <v>105</v>
      </c>
      <c r="I164" s="2">
        <f t="shared" si="70"/>
        <v>9.7502761017594857</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v>
      </c>
      <c r="X164" s="2">
        <f t="shared" si="69"/>
        <v>0</v>
      </c>
      <c r="Y164" s="2">
        <f t="shared" si="69"/>
        <v>0</v>
      </c>
      <c r="Z164" s="2">
        <f t="shared" si="69"/>
        <v>0.65001840678396572</v>
      </c>
      <c r="AA164" s="2">
        <f t="shared" si="69"/>
        <v>0.65001840678396572</v>
      </c>
      <c r="AB164" s="2">
        <f t="shared" si="69"/>
        <v>0.65001840678396572</v>
      </c>
      <c r="AC164" s="2">
        <f t="shared" ref="AC164:AR180" si="72">AC$154 * $I164</f>
        <v>0.65001840678396572</v>
      </c>
      <c r="AD164" s="2">
        <f t="shared" si="72"/>
        <v>0.65001840678396572</v>
      </c>
      <c r="AE164" s="2">
        <f t="shared" si="72"/>
        <v>0.65001840678396572</v>
      </c>
      <c r="AF164" s="2">
        <f t="shared" si="72"/>
        <v>0.65001840678396572</v>
      </c>
      <c r="AG164" s="2">
        <f t="shared" si="72"/>
        <v>0.65001840678396572</v>
      </c>
      <c r="AH164" s="2">
        <f t="shared" si="72"/>
        <v>0.65001840678396572</v>
      </c>
      <c r="AI164" s="2">
        <f t="shared" si="72"/>
        <v>0.65001840678396572</v>
      </c>
      <c r="AJ164" s="2">
        <f t="shared" si="72"/>
        <v>0.65001840678396572</v>
      </c>
      <c r="AK164" s="2">
        <f t="shared" si="72"/>
        <v>0.65001840678396572</v>
      </c>
      <c r="AL164" s="2">
        <f t="shared" si="72"/>
        <v>0.65001840678396572</v>
      </c>
      <c r="AM164" s="2">
        <f t="shared" si="72"/>
        <v>0.65001840678396572</v>
      </c>
      <c r="AN164" s="2">
        <f t="shared" si="72"/>
        <v>0.65001840678396572</v>
      </c>
      <c r="AO164" s="2">
        <f t="shared" si="72"/>
        <v>0</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5" outlineLevel="1">
      <c r="E165" s="44">
        <f t="shared" si="66"/>
        <v>36616</v>
      </c>
      <c r="G165" s="2" t="s">
        <v>105</v>
      </c>
      <c r="I165" s="2">
        <f t="shared" si="70"/>
        <v>8.6342959280290188</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v>
      </c>
      <c r="X165" s="2">
        <f t="shared" si="69"/>
        <v>0</v>
      </c>
      <c r="Y165" s="2">
        <f t="shared" si="69"/>
        <v>0</v>
      </c>
      <c r="Z165" s="2">
        <f t="shared" si="69"/>
        <v>0.57561972853526788</v>
      </c>
      <c r="AA165" s="2">
        <f t="shared" si="69"/>
        <v>0.57561972853526788</v>
      </c>
      <c r="AB165" s="2">
        <f t="shared" si="69"/>
        <v>0.57561972853526788</v>
      </c>
      <c r="AC165" s="2">
        <f t="shared" si="72"/>
        <v>0.57561972853526788</v>
      </c>
      <c r="AD165" s="2">
        <f t="shared" si="72"/>
        <v>0.57561972853526788</v>
      </c>
      <c r="AE165" s="2">
        <f t="shared" si="72"/>
        <v>0.57561972853526788</v>
      </c>
      <c r="AF165" s="2">
        <f t="shared" si="72"/>
        <v>0.57561972853526788</v>
      </c>
      <c r="AG165" s="2">
        <f t="shared" si="72"/>
        <v>0.57561972853526788</v>
      </c>
      <c r="AH165" s="2">
        <f t="shared" si="72"/>
        <v>0.57561972853526788</v>
      </c>
      <c r="AI165" s="2">
        <f t="shared" si="72"/>
        <v>0.57561972853526788</v>
      </c>
      <c r="AJ165" s="2">
        <f t="shared" si="72"/>
        <v>0.57561972853526788</v>
      </c>
      <c r="AK165" s="2">
        <f t="shared" si="72"/>
        <v>0.57561972853526788</v>
      </c>
      <c r="AL165" s="2">
        <f t="shared" si="72"/>
        <v>0.57561972853526788</v>
      </c>
      <c r="AM165" s="2">
        <f t="shared" si="72"/>
        <v>0.57561972853526788</v>
      </c>
      <c r="AN165" s="2">
        <f t="shared" si="72"/>
        <v>0.57561972853526788</v>
      </c>
      <c r="AO165" s="2">
        <f t="shared" si="72"/>
        <v>0</v>
      </c>
      <c r="AP165" s="2">
        <f t="shared" si="72"/>
        <v>0</v>
      </c>
      <c r="AQ165" s="57">
        <f t="shared" si="72"/>
        <v>0</v>
      </c>
      <c r="AR165" s="2">
        <f t="shared" si="72"/>
        <v>0</v>
      </c>
      <c r="AS165" s="2">
        <f t="shared" si="73"/>
        <v>0</v>
      </c>
      <c r="AT165" s="2">
        <f t="shared" si="73"/>
        <v>0</v>
      </c>
      <c r="AU165" s="2">
        <f t="shared" si="73"/>
        <v>0</v>
      </c>
      <c r="AV165" s="2">
        <f t="shared" si="73"/>
        <v>0</v>
      </c>
      <c r="AW165" s="2"/>
    </row>
    <row r="166" spans="5:49" ht="15" outlineLevel="1">
      <c r="E166" s="44">
        <f t="shared" si="66"/>
        <v>36981</v>
      </c>
      <c r="G166" s="2" t="s">
        <v>105</v>
      </c>
      <c r="I166" s="2">
        <f t="shared" si="70"/>
        <v>7.0912335625829162</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v>
      </c>
      <c r="X166" s="2">
        <f t="shared" si="69"/>
        <v>0</v>
      </c>
      <c r="Y166" s="2">
        <f t="shared" si="69"/>
        <v>0</v>
      </c>
      <c r="Z166" s="2">
        <f t="shared" si="69"/>
        <v>0.4727489041721944</v>
      </c>
      <c r="AA166" s="2">
        <f t="shared" si="69"/>
        <v>0.4727489041721944</v>
      </c>
      <c r="AB166" s="2">
        <f t="shared" si="69"/>
        <v>0.4727489041721944</v>
      </c>
      <c r="AC166" s="2">
        <f t="shared" si="72"/>
        <v>0.4727489041721944</v>
      </c>
      <c r="AD166" s="2">
        <f t="shared" si="72"/>
        <v>0.4727489041721944</v>
      </c>
      <c r="AE166" s="2">
        <f t="shared" si="72"/>
        <v>0.4727489041721944</v>
      </c>
      <c r="AF166" s="2">
        <f t="shared" si="72"/>
        <v>0.4727489041721944</v>
      </c>
      <c r="AG166" s="2">
        <f t="shared" si="72"/>
        <v>0.4727489041721944</v>
      </c>
      <c r="AH166" s="2">
        <f t="shared" si="72"/>
        <v>0.4727489041721944</v>
      </c>
      <c r="AI166" s="2">
        <f t="shared" si="72"/>
        <v>0.4727489041721944</v>
      </c>
      <c r="AJ166" s="2">
        <f t="shared" si="72"/>
        <v>0.4727489041721944</v>
      </c>
      <c r="AK166" s="2">
        <f t="shared" si="72"/>
        <v>0.4727489041721944</v>
      </c>
      <c r="AL166" s="2">
        <f t="shared" si="72"/>
        <v>0.4727489041721944</v>
      </c>
      <c r="AM166" s="2">
        <f t="shared" si="72"/>
        <v>0.4727489041721944</v>
      </c>
      <c r="AN166" s="2">
        <f t="shared" si="72"/>
        <v>0.4727489041721944</v>
      </c>
      <c r="AO166" s="2">
        <f t="shared" si="72"/>
        <v>0</v>
      </c>
      <c r="AP166" s="2">
        <f t="shared" si="72"/>
        <v>0</v>
      </c>
      <c r="AQ166" s="57">
        <f t="shared" si="72"/>
        <v>0</v>
      </c>
      <c r="AR166" s="2">
        <f t="shared" si="72"/>
        <v>0</v>
      </c>
      <c r="AS166" s="2">
        <f t="shared" si="73"/>
        <v>0</v>
      </c>
      <c r="AT166" s="2">
        <f t="shared" si="73"/>
        <v>0</v>
      </c>
      <c r="AU166" s="2">
        <f t="shared" si="73"/>
        <v>0</v>
      </c>
      <c r="AV166" s="2">
        <f t="shared" si="73"/>
        <v>0</v>
      </c>
      <c r="AW166" s="2"/>
    </row>
    <row r="167" spans="5:49" ht="15" outlineLevel="1">
      <c r="E167" s="44">
        <f t="shared" si="66"/>
        <v>37346</v>
      </c>
      <c r="G167" s="2" t="s">
        <v>105</v>
      </c>
      <c r="I167" s="2">
        <f t="shared" si="70"/>
        <v>5.9902157369447089</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0.3993477157963139</v>
      </c>
      <c r="AA167" s="2">
        <f t="shared" si="69"/>
        <v>0.3993477157963139</v>
      </c>
      <c r="AB167" s="2">
        <f t="shared" si="69"/>
        <v>0.3993477157963139</v>
      </c>
      <c r="AC167" s="2">
        <f t="shared" si="72"/>
        <v>0.3993477157963139</v>
      </c>
      <c r="AD167" s="2">
        <f t="shared" si="72"/>
        <v>0.3993477157963139</v>
      </c>
      <c r="AE167" s="2">
        <f t="shared" si="72"/>
        <v>0.3993477157963139</v>
      </c>
      <c r="AF167" s="2">
        <f t="shared" si="72"/>
        <v>0.3993477157963139</v>
      </c>
      <c r="AG167" s="2">
        <f t="shared" si="72"/>
        <v>0.3993477157963139</v>
      </c>
      <c r="AH167" s="2">
        <f t="shared" si="72"/>
        <v>0.3993477157963139</v>
      </c>
      <c r="AI167" s="2">
        <f t="shared" si="72"/>
        <v>0.3993477157963139</v>
      </c>
      <c r="AJ167" s="2">
        <f t="shared" si="72"/>
        <v>0.3993477157963139</v>
      </c>
      <c r="AK167" s="2">
        <f t="shared" si="72"/>
        <v>0.3993477157963139</v>
      </c>
      <c r="AL167" s="2">
        <f t="shared" si="72"/>
        <v>0.3993477157963139</v>
      </c>
      <c r="AM167" s="2">
        <f t="shared" si="72"/>
        <v>0.3993477157963139</v>
      </c>
      <c r="AN167" s="2">
        <f t="shared" si="72"/>
        <v>0.3993477157963139</v>
      </c>
      <c r="AO167" s="2">
        <f t="shared" si="72"/>
        <v>0</v>
      </c>
      <c r="AP167" s="2">
        <f t="shared" si="72"/>
        <v>0</v>
      </c>
      <c r="AQ167" s="57">
        <f t="shared" si="72"/>
        <v>0</v>
      </c>
      <c r="AR167" s="2">
        <f t="shared" si="72"/>
        <v>0</v>
      </c>
      <c r="AS167" s="2">
        <f t="shared" si="73"/>
        <v>0</v>
      </c>
      <c r="AT167" s="2">
        <f t="shared" si="73"/>
        <v>0</v>
      </c>
      <c r="AU167" s="2">
        <f t="shared" si="73"/>
        <v>0</v>
      </c>
      <c r="AV167" s="2">
        <f t="shared" si="73"/>
        <v>0</v>
      </c>
      <c r="AW167" s="2"/>
    </row>
    <row r="168" spans="5:49" ht="15" outlineLevel="1">
      <c r="E168" s="44">
        <f t="shared" si="66"/>
        <v>37711</v>
      </c>
      <c r="G168" s="2" t="s">
        <v>105</v>
      </c>
      <c r="I168" s="2">
        <f t="shared" si="70"/>
        <v>3.6878396109906335</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0.24585597406604223</v>
      </c>
      <c r="AA168" s="2">
        <f t="shared" si="69"/>
        <v>0.24585597406604223</v>
      </c>
      <c r="AB168" s="2">
        <f t="shared" si="69"/>
        <v>0.24585597406604223</v>
      </c>
      <c r="AC168" s="2">
        <f t="shared" si="72"/>
        <v>0.24585597406604223</v>
      </c>
      <c r="AD168" s="2">
        <f t="shared" si="72"/>
        <v>0.24585597406604223</v>
      </c>
      <c r="AE168" s="2">
        <f t="shared" si="72"/>
        <v>0.24585597406604223</v>
      </c>
      <c r="AF168" s="2">
        <f t="shared" si="72"/>
        <v>0.24585597406604223</v>
      </c>
      <c r="AG168" s="2">
        <f t="shared" si="72"/>
        <v>0.24585597406604223</v>
      </c>
      <c r="AH168" s="2">
        <f t="shared" si="72"/>
        <v>0.24585597406604223</v>
      </c>
      <c r="AI168" s="2">
        <f t="shared" si="72"/>
        <v>0.24585597406604223</v>
      </c>
      <c r="AJ168" s="2">
        <f t="shared" si="72"/>
        <v>0.24585597406604223</v>
      </c>
      <c r="AK168" s="2">
        <f t="shared" si="72"/>
        <v>0.24585597406604223</v>
      </c>
      <c r="AL168" s="2">
        <f t="shared" si="72"/>
        <v>0.24585597406604223</v>
      </c>
      <c r="AM168" s="2">
        <f t="shared" si="72"/>
        <v>0.24585597406604223</v>
      </c>
      <c r="AN168" s="2">
        <f t="shared" si="72"/>
        <v>0.24585597406604223</v>
      </c>
      <c r="AO168" s="2">
        <f t="shared" si="72"/>
        <v>0</v>
      </c>
      <c r="AP168" s="2">
        <f t="shared" si="72"/>
        <v>0</v>
      </c>
      <c r="AQ168" s="57">
        <f t="shared" si="72"/>
        <v>0</v>
      </c>
      <c r="AR168" s="2">
        <f t="shared" si="72"/>
        <v>0</v>
      </c>
      <c r="AS168" s="2">
        <f t="shared" si="73"/>
        <v>0</v>
      </c>
      <c r="AT168" s="2">
        <f t="shared" si="73"/>
        <v>0</v>
      </c>
      <c r="AU168" s="2">
        <f t="shared" si="73"/>
        <v>0</v>
      </c>
      <c r="AV168" s="2">
        <f t="shared" si="73"/>
        <v>0</v>
      </c>
      <c r="AW168" s="2"/>
    </row>
    <row r="169" spans="5:49" ht="15" outlineLevel="1">
      <c r="E169" s="44">
        <f t="shared" si="66"/>
        <v>38077</v>
      </c>
      <c r="G169" s="2" t="s">
        <v>105</v>
      </c>
      <c r="I169" s="2">
        <f t="shared" si="70"/>
        <v>1.9451785805660067</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0.12967857203773378</v>
      </c>
      <c r="AA169" s="2">
        <f t="shared" si="69"/>
        <v>0.12967857203773378</v>
      </c>
      <c r="AB169" s="2">
        <f t="shared" si="69"/>
        <v>0.12967857203773378</v>
      </c>
      <c r="AC169" s="2">
        <f t="shared" si="72"/>
        <v>0.12967857203773378</v>
      </c>
      <c r="AD169" s="2">
        <f t="shared" si="72"/>
        <v>0.12967857203773378</v>
      </c>
      <c r="AE169" s="2">
        <f t="shared" si="72"/>
        <v>0.12967857203773378</v>
      </c>
      <c r="AF169" s="2">
        <f t="shared" si="72"/>
        <v>0.12967857203773378</v>
      </c>
      <c r="AG169" s="2">
        <f t="shared" si="72"/>
        <v>0.12967857203773378</v>
      </c>
      <c r="AH169" s="2">
        <f t="shared" si="72"/>
        <v>0.12967857203773378</v>
      </c>
      <c r="AI169" s="2">
        <f t="shared" si="72"/>
        <v>0.12967857203773378</v>
      </c>
      <c r="AJ169" s="2">
        <f t="shared" si="72"/>
        <v>0.12967857203773378</v>
      </c>
      <c r="AK169" s="2">
        <f t="shared" si="72"/>
        <v>0.12967857203773378</v>
      </c>
      <c r="AL169" s="2">
        <f t="shared" si="72"/>
        <v>0.12967857203773378</v>
      </c>
      <c r="AM169" s="2">
        <f t="shared" si="72"/>
        <v>0.12967857203773378</v>
      </c>
      <c r="AN169" s="2">
        <f t="shared" si="72"/>
        <v>0.12967857203773378</v>
      </c>
      <c r="AO169" s="2">
        <f t="shared" si="72"/>
        <v>0</v>
      </c>
      <c r="AP169" s="2">
        <f t="shared" si="72"/>
        <v>0</v>
      </c>
      <c r="AQ169" s="57">
        <f t="shared" si="72"/>
        <v>0</v>
      </c>
      <c r="AR169" s="2">
        <f t="shared" si="72"/>
        <v>0</v>
      </c>
      <c r="AS169" s="2">
        <f t="shared" si="73"/>
        <v>0</v>
      </c>
      <c r="AT169" s="2">
        <f t="shared" si="73"/>
        <v>0</v>
      </c>
      <c r="AU169" s="2">
        <f t="shared" si="73"/>
        <v>0</v>
      </c>
      <c r="AV169" s="2">
        <f t="shared" si="73"/>
        <v>0</v>
      </c>
      <c r="AW169" s="2"/>
    </row>
    <row r="170" spans="5:49" ht="15" outlineLevel="1">
      <c r="E170" s="44">
        <f t="shared" si="66"/>
        <v>38442</v>
      </c>
      <c r="G170" s="2" t="s">
        <v>105</v>
      </c>
      <c r="I170" s="2">
        <f t="shared" si="70"/>
        <v>0</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v>
      </c>
      <c r="AB170" s="2">
        <f t="shared" si="69"/>
        <v>0</v>
      </c>
      <c r="AC170" s="2">
        <f t="shared" si="72"/>
        <v>0</v>
      </c>
      <c r="AD170" s="2">
        <f t="shared" si="72"/>
        <v>0</v>
      </c>
      <c r="AE170" s="2">
        <f t="shared" si="72"/>
        <v>0</v>
      </c>
      <c r="AF170" s="2">
        <f t="shared" si="72"/>
        <v>0</v>
      </c>
      <c r="AG170" s="2">
        <f t="shared" si="72"/>
        <v>0</v>
      </c>
      <c r="AH170" s="2">
        <f t="shared" si="72"/>
        <v>0</v>
      </c>
      <c r="AI170" s="2">
        <f t="shared" si="72"/>
        <v>0</v>
      </c>
      <c r="AJ170" s="2">
        <f t="shared" si="72"/>
        <v>0</v>
      </c>
      <c r="AK170" s="2">
        <f t="shared" si="72"/>
        <v>0</v>
      </c>
      <c r="AL170" s="2">
        <f t="shared" si="72"/>
        <v>0</v>
      </c>
      <c r="AM170" s="2">
        <f t="shared" si="72"/>
        <v>0</v>
      </c>
      <c r="AN170" s="2">
        <f t="shared" si="72"/>
        <v>0</v>
      </c>
      <c r="AO170" s="2">
        <f t="shared" si="72"/>
        <v>0</v>
      </c>
      <c r="AP170" s="2">
        <f t="shared" si="72"/>
        <v>0</v>
      </c>
      <c r="AQ170" s="57">
        <f t="shared" si="72"/>
        <v>0</v>
      </c>
      <c r="AR170" s="2">
        <f t="shared" si="72"/>
        <v>0</v>
      </c>
      <c r="AS170" s="2">
        <f t="shared" si="73"/>
        <v>0</v>
      </c>
      <c r="AT170" s="2">
        <f t="shared" si="73"/>
        <v>0</v>
      </c>
      <c r="AU170" s="2">
        <f t="shared" si="73"/>
        <v>0</v>
      </c>
      <c r="AV170" s="2">
        <f t="shared" si="73"/>
        <v>0</v>
      </c>
      <c r="AW170" s="2"/>
    </row>
    <row r="171" spans="5:49" ht="15" outlineLevel="1">
      <c r="E171" s="44">
        <f t="shared" si="66"/>
        <v>38807</v>
      </c>
      <c r="G171" s="2" t="s">
        <v>105</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5" outlineLevel="1">
      <c r="E172" s="44">
        <f t="shared" si="66"/>
        <v>39172</v>
      </c>
      <c r="G172" s="2" t="s">
        <v>105</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5" outlineLevel="1">
      <c r="E173" s="44">
        <f t="shared" si="66"/>
        <v>39538</v>
      </c>
      <c r="G173" s="2" t="s">
        <v>105</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5" outlineLevel="1">
      <c r="E174" s="44">
        <f t="shared" si="66"/>
        <v>39903</v>
      </c>
      <c r="G174" s="2" t="s">
        <v>105</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5" outlineLevel="1">
      <c r="E175" s="44">
        <f t="shared" si="66"/>
        <v>40268</v>
      </c>
      <c r="G175" s="2" t="s">
        <v>105</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5" outlineLevel="1">
      <c r="E176" s="44">
        <f t="shared" si="66"/>
        <v>40633</v>
      </c>
      <c r="G176" s="2" t="s">
        <v>105</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5" outlineLevel="1">
      <c r="E177" s="44">
        <f t="shared" si="66"/>
        <v>40999</v>
      </c>
      <c r="G177" s="2" t="s">
        <v>105</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5" outlineLevel="1">
      <c r="E178" s="44">
        <f t="shared" si="66"/>
        <v>41364</v>
      </c>
      <c r="G178" s="2" t="s">
        <v>105</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5" outlineLevel="1">
      <c r="E179" s="44">
        <f t="shared" si="66"/>
        <v>41729</v>
      </c>
      <c r="G179" s="2" t="s">
        <v>105</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5" outlineLevel="1">
      <c r="E180" s="44">
        <f t="shared" si="66"/>
        <v>42094</v>
      </c>
      <c r="G180" s="2" t="s">
        <v>105</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5" outlineLevel="1">
      <c r="E181" s="44">
        <f t="shared" si="66"/>
        <v>42460</v>
      </c>
      <c r="G181" s="2" t="s">
        <v>105</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5" outlineLevel="1">
      <c r="E182" s="44">
        <f t="shared" si="66"/>
        <v>42825</v>
      </c>
      <c r="G182" s="2" t="s">
        <v>105</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5" outlineLevel="1">
      <c r="E183" s="44">
        <f t="shared" si="66"/>
        <v>43190</v>
      </c>
      <c r="G183" s="2" t="s">
        <v>105</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5" outlineLevel="1">
      <c r="E184" s="44">
        <f t="shared" si="66"/>
        <v>43555</v>
      </c>
      <c r="G184" s="2" t="s">
        <v>105</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5" outlineLevel="1">
      <c r="E185" s="44">
        <f t="shared" si="66"/>
        <v>43921</v>
      </c>
      <c r="G185" s="2" t="s">
        <v>105</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5" outlineLevel="1">
      <c r="E186" s="44">
        <f t="shared" si="66"/>
        <v>44286</v>
      </c>
      <c r="G186" s="2" t="s">
        <v>105</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5" outlineLevel="1">
      <c r="E187" s="44">
        <f t="shared" si="66"/>
        <v>44651</v>
      </c>
      <c r="G187" s="2" t="s">
        <v>105</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5" outlineLevel="1">
      <c r="E188" s="44">
        <f t="shared" si="66"/>
        <v>45016</v>
      </c>
      <c r="G188" s="2" t="s">
        <v>105</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5" outlineLevel="1">
      <c r="E189" s="44">
        <f t="shared" si="66"/>
        <v>45382</v>
      </c>
      <c r="G189" s="2" t="s">
        <v>105</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5" outlineLevel="1">
      <c r="E190" s="44">
        <f t="shared" si="66"/>
        <v>45747</v>
      </c>
      <c r="G190" s="2" t="s">
        <v>105</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5" outlineLevel="1">
      <c r="E191" s="44">
        <f t="shared" si="66"/>
        <v>46112</v>
      </c>
      <c r="G191" s="2" t="s">
        <v>105</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5" outlineLevel="1">
      <c r="E192" s="44">
        <f t="shared" ref="E192:E193" si="79">E102</f>
        <v>46477</v>
      </c>
      <c r="G192" s="2" t="s">
        <v>105</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5" outlineLevel="1">
      <c r="E193" s="44">
        <f t="shared" si="79"/>
        <v>46843</v>
      </c>
      <c r="G193" s="2" t="s">
        <v>105</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0"/>
    </row>
    <row r="195" spans="1:49">
      <c r="AQ195" s="220"/>
    </row>
    <row r="196" spans="1:49" ht="15">
      <c r="A196" s="2"/>
      <c r="B196" s="22" t="s">
        <v>905</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7"/>
      <c r="AR196" s="22"/>
      <c r="AS196" s="22"/>
      <c r="AT196" s="22"/>
      <c r="AU196" s="22"/>
      <c r="AV196" s="22"/>
      <c r="AW196" s="2"/>
    </row>
    <row r="197" spans="1:49" ht="15">
      <c r="B197" s="4" t="s">
        <v>906</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5">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5">
      <c r="B199" s="34"/>
      <c r="C199" s="20" t="s">
        <v>907</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5"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5" outlineLevel="1">
      <c r="B201" s="34"/>
      <c r="C201" s="34"/>
      <c r="D201" s="34"/>
      <c r="E201" s="34" t="s">
        <v>908</v>
      </c>
      <c r="F201" s="34"/>
      <c r="G201" s="7" t="s">
        <v>281</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33.299999999999997</v>
      </c>
      <c r="X201" s="34">
        <f t="shared" si="83"/>
        <v>33.299999999999997</v>
      </c>
      <c r="Y201" s="34">
        <f t="shared" si="83"/>
        <v>33.299999999999997</v>
      </c>
      <c r="Z201" s="34">
        <f t="shared" si="83"/>
        <v>20</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5" outlineLevel="1">
      <c r="B202" s="34"/>
      <c r="C202" s="34"/>
      <c r="D202" s="34"/>
      <c r="E202" s="34" t="s">
        <v>893</v>
      </c>
      <c r="F202" s="34"/>
      <c r="G202" s="7" t="s">
        <v>209</v>
      </c>
      <c r="H202" s="7"/>
      <c r="I202" s="46"/>
      <c r="J202" s="34"/>
      <c r="K202" s="142">
        <f t="shared" ref="K202:AV202" si="84">K$17 * K55 + K$18 * K57</f>
        <v>3.0030030030030033E-2</v>
      </c>
      <c r="L202" s="142">
        <f t="shared" si="84"/>
        <v>3.0030030030030033E-2</v>
      </c>
      <c r="M202" s="142">
        <f t="shared" si="84"/>
        <v>3.0030030030030033E-2</v>
      </c>
      <c r="N202" s="142">
        <f t="shared" si="84"/>
        <v>3.0030030030030033E-2</v>
      </c>
      <c r="O202" s="142">
        <f t="shared" si="84"/>
        <v>3.0030030030030033E-2</v>
      </c>
      <c r="P202" s="142">
        <f t="shared" si="84"/>
        <v>3.0030030030030033E-2</v>
      </c>
      <c r="Q202" s="142">
        <f t="shared" si="84"/>
        <v>3.0030030030030033E-2</v>
      </c>
      <c r="R202" s="142">
        <f t="shared" si="84"/>
        <v>3.0030030030030033E-2</v>
      </c>
      <c r="S202" s="142">
        <f t="shared" si="84"/>
        <v>3.0030030030030033E-2</v>
      </c>
      <c r="T202" s="142">
        <f t="shared" si="84"/>
        <v>3.0030030030030033E-2</v>
      </c>
      <c r="U202" s="142">
        <f t="shared" si="84"/>
        <v>3.0030030030030033E-2</v>
      </c>
      <c r="V202" s="142">
        <f t="shared" si="84"/>
        <v>3.0030030030030033E-2</v>
      </c>
      <c r="W202" s="142">
        <f t="shared" si="84"/>
        <v>3.0030030030030033E-2</v>
      </c>
      <c r="X202" s="142">
        <f t="shared" si="84"/>
        <v>3.0030030030030033E-2</v>
      </c>
      <c r="Y202" s="142">
        <f t="shared" si="84"/>
        <v>3.0030030030030033E-2</v>
      </c>
      <c r="Z202" s="142">
        <f t="shared" si="84"/>
        <v>0.05</v>
      </c>
      <c r="AA202" s="142">
        <f t="shared" si="84"/>
        <v>0.05</v>
      </c>
      <c r="AB202" s="142">
        <f t="shared" si="84"/>
        <v>0.05</v>
      </c>
      <c r="AC202" s="142">
        <f t="shared" si="84"/>
        <v>0.05</v>
      </c>
      <c r="AD202" s="142">
        <f t="shared" si="84"/>
        <v>0.05</v>
      </c>
      <c r="AE202" s="142">
        <f t="shared" si="84"/>
        <v>0.05</v>
      </c>
      <c r="AF202" s="142">
        <f t="shared" si="84"/>
        <v>0.05</v>
      </c>
      <c r="AG202" s="142">
        <f t="shared" si="84"/>
        <v>0.05</v>
      </c>
      <c r="AH202" s="142">
        <f t="shared" si="84"/>
        <v>0.05</v>
      </c>
      <c r="AI202" s="142">
        <f t="shared" si="84"/>
        <v>0.05</v>
      </c>
      <c r="AJ202" s="212">
        <f t="shared" si="84"/>
        <v>4.3243243243243246E-2</v>
      </c>
      <c r="AK202" s="212">
        <f t="shared" si="84"/>
        <v>3.8095238095238099E-2</v>
      </c>
      <c r="AL202" s="212">
        <f t="shared" si="84"/>
        <v>3.4042553191489362E-2</v>
      </c>
      <c r="AM202" s="212">
        <f t="shared" si="84"/>
        <v>3.0769230769230771E-2</v>
      </c>
      <c r="AN202" s="212">
        <f t="shared" si="84"/>
        <v>2.8070175438596492E-2</v>
      </c>
      <c r="AO202" s="212">
        <f>AO$17 * AO55 + AO$18 * AO57</f>
        <v>2.5806451612903226E-2</v>
      </c>
      <c r="AP202" s="212">
        <f t="shared" si="84"/>
        <v>2.3880597014925373E-2</v>
      </c>
      <c r="AQ202" s="227">
        <f t="shared" si="84"/>
        <v>2.2222222222222223E-2</v>
      </c>
      <c r="AR202" s="212">
        <f t="shared" si="84"/>
        <v>2.2222222222222223E-2</v>
      </c>
      <c r="AS202" s="212">
        <f t="shared" si="84"/>
        <v>2.2222222222222223E-2</v>
      </c>
      <c r="AT202" s="212">
        <f t="shared" si="84"/>
        <v>2.2222222222222223E-2</v>
      </c>
      <c r="AU202" s="212">
        <f t="shared" si="84"/>
        <v>2.2222222222222223E-2</v>
      </c>
      <c r="AV202" s="212">
        <f t="shared" si="84"/>
        <v>2.2222222222222223E-2</v>
      </c>
    </row>
    <row r="203" spans="1:49" ht="15"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5">
      <c r="B204" s="34"/>
      <c r="C204" s="34"/>
      <c r="D204" s="34"/>
      <c r="E204" s="34" t="s">
        <v>909</v>
      </c>
      <c r="F204" s="34"/>
      <c r="G204" s="2" t="s">
        <v>105</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6.5813324668791138</v>
      </c>
      <c r="AL204" s="34">
        <f t="shared" si="85"/>
        <v>12.268823929896293</v>
      </c>
      <c r="AM204" s="34">
        <f t="shared" si="85"/>
        <v>16.946307635591459</v>
      </c>
      <c r="AN204" s="34">
        <f t="shared" si="85"/>
        <v>21.18694456275691</v>
      </c>
      <c r="AO204" s="34">
        <f t="shared" si="85"/>
        <v>25.251301891806712</v>
      </c>
      <c r="AP204" s="34">
        <f t="shared" si="85"/>
        <v>28.805736743359386</v>
      </c>
      <c r="AQ204" s="36">
        <f t="shared" si="85"/>
        <v>31.848521740442358</v>
      </c>
      <c r="AR204" s="34">
        <f t="shared" si="85"/>
        <v>34.409114366408978</v>
      </c>
      <c r="AS204" s="34">
        <f t="shared" si="85"/>
        <v>34.409114366408978</v>
      </c>
      <c r="AT204" s="34">
        <f t="shared" si="85"/>
        <v>34.409114366408978</v>
      </c>
      <c r="AU204" s="34">
        <f t="shared" si="85"/>
        <v>34.409114366408978</v>
      </c>
      <c r="AV204" s="34">
        <f t="shared" si="85"/>
        <v>34.409114366408978</v>
      </c>
    </row>
    <row r="205" spans="1:49">
      <c r="AQ205" s="220"/>
    </row>
    <row r="206" spans="1:49" ht="15">
      <c r="A206" s="2"/>
      <c r="B206" s="2"/>
      <c r="C206" s="20" t="s">
        <v>910</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0"/>
    </row>
    <row r="208" spans="1:49" ht="15" outlineLevel="1">
      <c r="E208" s="34" t="s">
        <v>911</v>
      </c>
      <c r="G208" s="2" t="s">
        <v>105</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6.5813324668791138</v>
      </c>
      <c r="AL208" s="2">
        <f t="shared" si="86"/>
        <v>12.268823929896293</v>
      </c>
      <c r="AM208" s="2">
        <f t="shared" si="86"/>
        <v>16.946307635591459</v>
      </c>
      <c r="AN208" s="2">
        <f t="shared" si="86"/>
        <v>21.18694456275691</v>
      </c>
      <c r="AO208" s="2">
        <f t="shared" si="86"/>
        <v>25.251301891806712</v>
      </c>
      <c r="AP208" s="2">
        <f t="shared" si="86"/>
        <v>28.805736743359386</v>
      </c>
      <c r="AQ208" s="57">
        <f t="shared" si="86"/>
        <v>31.848521740442358</v>
      </c>
      <c r="AR208" s="2">
        <f t="shared" si="86"/>
        <v>34.409114366408978</v>
      </c>
      <c r="AS208" s="2">
        <f t="shared" si="86"/>
        <v>34.409114366408978</v>
      </c>
      <c r="AT208" s="2">
        <f t="shared" si="86"/>
        <v>34.409114366408978</v>
      </c>
      <c r="AU208" s="2">
        <f t="shared" si="86"/>
        <v>34.409114366408978</v>
      </c>
      <c r="AV208" s="2">
        <f t="shared" si="86"/>
        <v>34.409114366408978</v>
      </c>
    </row>
    <row r="209" spans="5:49" outlineLevel="1">
      <c r="AQ209" s="220"/>
    </row>
    <row r="210" spans="5:49" ht="15" outlineLevel="1">
      <c r="E210" s="44">
        <f>INDEX($K$4:$AV$4,,COUNT(E$209:E209)+1)</f>
        <v>33328</v>
      </c>
      <c r="G210" s="2" t="s">
        <v>105</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5" outlineLevel="1">
      <c r="E211" s="44">
        <f>INDEX($K$4:$AV$4,,COUNT(E$209:E210)+1)</f>
        <v>33694</v>
      </c>
      <c r="G211" s="2" t="s">
        <v>105</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5" outlineLevel="1">
      <c r="E212" s="44">
        <f>INDEX($K$4:$AV$4,,COUNT(E$209:E211)+1)</f>
        <v>34059</v>
      </c>
      <c r="G212" s="2" t="s">
        <v>105</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5" outlineLevel="1">
      <c r="E213" s="44">
        <f>INDEX($K$4:$AV$4,,COUNT(E$209:E212)+1)</f>
        <v>34424</v>
      </c>
      <c r="G213" s="2" t="s">
        <v>105</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5" outlineLevel="1">
      <c r="E214" s="44">
        <f>INDEX($K$4:$AV$4,,COUNT(E$209:E213)+1)</f>
        <v>34789</v>
      </c>
      <c r="G214" s="2" t="s">
        <v>105</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5" outlineLevel="1">
      <c r="E215" s="44">
        <f>INDEX($K$4:$AV$4,,COUNT(E$209:E214)+1)</f>
        <v>35155</v>
      </c>
      <c r="G215" s="2" t="s">
        <v>105</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5" outlineLevel="1">
      <c r="E216" s="44">
        <f>INDEX($K$4:$AV$4,,COUNT(E$209:E215)+1)</f>
        <v>35520</v>
      </c>
      <c r="G216" s="2" t="s">
        <v>105</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5" outlineLevel="1">
      <c r="E217" s="44">
        <f>INDEX($K$4:$AV$4,,COUNT(E$209:E216)+1)</f>
        <v>35885</v>
      </c>
      <c r="G217" s="2" t="s">
        <v>105</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5" outlineLevel="1">
      <c r="E218" s="44">
        <f>INDEX($K$4:$AV$4,,COUNT(E$209:E217)+1)</f>
        <v>36250</v>
      </c>
      <c r="G218" s="2" t="s">
        <v>105</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5" outlineLevel="1">
      <c r="E219" s="44">
        <f>INDEX($K$4:$AV$4,,COUNT(E$209:E218)+1)</f>
        <v>36616</v>
      </c>
      <c r="G219" s="2" t="s">
        <v>105</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5" outlineLevel="1">
      <c r="E220" s="44">
        <f>INDEX($K$4:$AV$4,,COUNT(E$209:E219)+1)</f>
        <v>36981</v>
      </c>
      <c r="G220" s="2" t="s">
        <v>105</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5" outlineLevel="1">
      <c r="E221" s="44">
        <f>INDEX($K$4:$AV$4,,COUNT(E$209:E220)+1)</f>
        <v>37346</v>
      </c>
      <c r="G221" s="2" t="s">
        <v>105</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5" outlineLevel="1">
      <c r="E222" s="44">
        <f>INDEX($K$4:$AV$4,,COUNT(E$209:E221)+1)</f>
        <v>37711</v>
      </c>
      <c r="G222" s="2" t="s">
        <v>105</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5" outlineLevel="1">
      <c r="E223" s="44">
        <f>INDEX($K$4:$AV$4,,COUNT(E$209:E222)+1)</f>
        <v>38077</v>
      </c>
      <c r="G223" s="2" t="s">
        <v>105</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5" outlineLevel="1">
      <c r="E224" s="44">
        <f>INDEX($K$4:$AV$4,,COUNT(E$209:E223)+1)</f>
        <v>38442</v>
      </c>
      <c r="G224" s="2" t="s">
        <v>105</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5" outlineLevel="1">
      <c r="E225" s="44">
        <f>INDEX($K$4:$AV$4,,COUNT(E$209:E224)+1)</f>
        <v>38807</v>
      </c>
      <c r="G225" s="2" t="s">
        <v>105</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5" outlineLevel="1">
      <c r="E226" s="44">
        <f>INDEX($K$4:$AV$4,,COUNT(E$209:E225)+1)</f>
        <v>39172</v>
      </c>
      <c r="G226" s="2" t="s">
        <v>105</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5" outlineLevel="1">
      <c r="E227" s="44">
        <f>INDEX($K$4:$AV$4,,COUNT(E$209:E226)+1)</f>
        <v>39538</v>
      </c>
      <c r="G227" s="2" t="s">
        <v>105</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5" outlineLevel="1">
      <c r="E228" s="44">
        <f>INDEX($K$4:$AV$4,,COUNT(E$209:E227)+1)</f>
        <v>39903</v>
      </c>
      <c r="G228" s="2" t="s">
        <v>105</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5" outlineLevel="1">
      <c r="E229" s="44">
        <f>INDEX($K$4:$AV$4,,COUNT(E$209:E228)+1)</f>
        <v>40268</v>
      </c>
      <c r="G229" s="2" t="s">
        <v>105</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5" outlineLevel="1">
      <c r="E230" s="44">
        <f>INDEX($K$4:$AV$4,,COUNT(E$209:E229)+1)</f>
        <v>40633</v>
      </c>
      <c r="G230" s="2" t="s">
        <v>105</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5" outlineLevel="1">
      <c r="E231" s="44">
        <f>INDEX($K$4:$AV$4,,COUNT(E$209:E230)+1)</f>
        <v>40999</v>
      </c>
      <c r="G231" s="2" t="s">
        <v>105</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5" outlineLevel="1">
      <c r="E232" s="44">
        <f>INDEX($K$4:$AV$4,,COUNT(E$209:E231)+1)</f>
        <v>41364</v>
      </c>
      <c r="G232" s="2" t="s">
        <v>105</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5" outlineLevel="1">
      <c r="E233" s="44">
        <f>INDEX($K$4:$AV$4,,COUNT(E$209:E232)+1)</f>
        <v>41729</v>
      </c>
      <c r="G233" s="2" t="s">
        <v>105</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5" outlineLevel="1">
      <c r="E234" s="44">
        <f>INDEX($K$4:$AV$4,,COUNT(E$209:E233)+1)</f>
        <v>42094</v>
      </c>
      <c r="G234" s="2" t="s">
        <v>105</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5" outlineLevel="1">
      <c r="E235" s="44">
        <f>INDEX($K$4:$AV$4,,COUNT(E$209:E234)+1)</f>
        <v>42460</v>
      </c>
      <c r="G235" s="2" t="s">
        <v>105</v>
      </c>
      <c r="I235" s="2" cm="1">
        <f t="array" ref="I235">INDEX($K$25:$AV$25,,MATCH(E235,$K$4:$AV$4,0))</f>
        <v>152.1933132965795</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6.5813324668791138</v>
      </c>
      <c r="AL235" s="2">
        <f>IF(AK$4=$E235, $I235*AK$202,0) + IF(AK$4&gt;$E235,MIN(AK235,$I235-SUM($J235:AK235)))</f>
        <v>6.5813324668791138</v>
      </c>
      <c r="AM235" s="2">
        <f>IF(AL$4=$E235, $I235*AL$202,0) + IF(AL$4&gt;$E235,MIN(AL235,$I235-SUM($J235:AL235)))</f>
        <v>6.5813324668791138</v>
      </c>
      <c r="AN235" s="2">
        <f>IF(AM$4=$E235, $I235*AM$202,0) + IF(AM$4&gt;$E235,MIN(AM235,$I235-SUM($J235:AM235)))</f>
        <v>6.5813324668791138</v>
      </c>
      <c r="AO235" s="2">
        <f>IF(AN$4=$E235, $I235*AN$202,0) + IF(AN$4&gt;$E235,MIN(AN235,$I235-SUM($J235:AN235)))</f>
        <v>6.5813324668791138</v>
      </c>
      <c r="AP235" s="2">
        <f>IF(AO$4=$E235, $I235*AO$202,0) + IF(AO$4&gt;$E235,MIN(AO235,$I235-SUM($J235:AO235)))</f>
        <v>6.5813324668791138</v>
      </c>
      <c r="AQ235" s="57">
        <f>IF(AP$4=$E235, $I235*AP$202,0) + IF(AP$4&gt;$E235,MIN(AP235,$I235-SUM($J235:AP235)))</f>
        <v>6.5813324668791138</v>
      </c>
      <c r="AR235" s="2">
        <f>IF(AQ$4=$E235, $I235*AQ$202,0) + IF(AQ$4&gt;$E235,MIN(AQ235,$I235-SUM($J235:AQ235)))</f>
        <v>6.5813324668791138</v>
      </c>
      <c r="AS235" s="2">
        <f>IF(AR$4=$E235, $I235*AR$202,0) + IF(AR$4&gt;$E235,MIN(AR235,$I235-SUM($J235:AR235)))</f>
        <v>6.5813324668791138</v>
      </c>
      <c r="AT235" s="2">
        <f>IF(AS$4=$E235, $I235*AS$202,0) + IF(AS$4&gt;$E235,MIN(AS235,$I235-SUM($J235:AS235)))</f>
        <v>6.5813324668791138</v>
      </c>
      <c r="AU235" s="2">
        <f>IF(AT$4=$E235, $I235*AT$202,0) + IF(AT$4&gt;$E235,MIN(AT235,$I235-SUM($J235:AT235)))</f>
        <v>6.5813324668791138</v>
      </c>
      <c r="AV235" s="2">
        <f>IF(AU$4=$E235, $I235*AU$202,0) + IF(AU$4&gt;$E235,MIN(AU235,$I235-SUM($J235:AU235)))</f>
        <v>6.5813324668791138</v>
      </c>
      <c r="AW235" s="2"/>
    </row>
    <row r="236" spans="5:49" ht="15" outlineLevel="1">
      <c r="E236" s="44">
        <f>INDEX($K$4:$AV$4,,COUNT(E$209:E235)+1)</f>
        <v>42825</v>
      </c>
      <c r="G236" s="2" t="s">
        <v>105</v>
      </c>
      <c r="I236" s="2" cm="1">
        <f t="array" ref="I236">INDEX($K$25:$AV$25,,MATCH(E236,$K$4:$AV$4,0))</f>
        <v>149.29665090420096</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5.6874914630171798</v>
      </c>
      <c r="AM236" s="2">
        <f>IF(AL$4=$E236, $I236*AL$202,0) + IF(AL$4&gt;$E236,MIN(AL236,$I236-SUM($J236:AL236)))</f>
        <v>5.6874914630171798</v>
      </c>
      <c r="AN236" s="2">
        <f>IF(AM$4=$E236, $I236*AM$202,0) + IF(AM$4&gt;$E236,MIN(AM236,$I236-SUM($J236:AM236)))</f>
        <v>5.6874914630171798</v>
      </c>
      <c r="AO236" s="2">
        <f>IF(AN$4=$E236, $I236*AN$202,0) + IF(AN$4&gt;$E236,MIN(AN236,$I236-SUM($J236:AN236)))</f>
        <v>5.6874914630171798</v>
      </c>
      <c r="AP236" s="2">
        <f>IF(AO$4=$E236, $I236*AO$202,0) + IF(AO$4&gt;$E236,MIN(AO236,$I236-SUM($J236:AO236)))</f>
        <v>5.6874914630171798</v>
      </c>
      <c r="AQ236" s="57">
        <f>IF(AP$4=$E236, $I236*AP$202,0) + IF(AP$4&gt;$E236,MIN(AP236,$I236-SUM($J236:AP236)))</f>
        <v>5.6874914630171798</v>
      </c>
      <c r="AR236" s="2">
        <f>IF(AQ$4=$E236, $I236*AQ$202,0) + IF(AQ$4&gt;$E236,MIN(AQ236,$I236-SUM($J236:AQ236)))</f>
        <v>5.6874914630171798</v>
      </c>
      <c r="AS236" s="2">
        <f>IF(AR$4=$E236, $I236*AR$202,0) + IF(AR$4&gt;$E236,MIN(AR236,$I236-SUM($J236:AR236)))</f>
        <v>5.6874914630171798</v>
      </c>
      <c r="AT236" s="2">
        <f>IF(AS$4=$E236, $I236*AS$202,0) + IF(AS$4&gt;$E236,MIN(AS236,$I236-SUM($J236:AS236)))</f>
        <v>5.6874914630171798</v>
      </c>
      <c r="AU236" s="2">
        <f>IF(AT$4=$E236, $I236*AT$202,0) + IF(AT$4&gt;$E236,MIN(AT236,$I236-SUM($J236:AT236)))</f>
        <v>5.6874914630171798</v>
      </c>
      <c r="AV236" s="2">
        <f>IF(AU$4=$E236, $I236*AU$202,0) + IF(AU$4&gt;$E236,MIN(AU236,$I236-SUM($J236:AU236)))</f>
        <v>5.6874914630171798</v>
      </c>
      <c r="AW236" s="2"/>
    </row>
    <row r="237" spans="5:49" ht="15" outlineLevel="1">
      <c r="E237" s="44">
        <f>INDEX($K$4:$AV$4,,COUNT(E$209:E236)+1)</f>
        <v>43190</v>
      </c>
      <c r="G237" s="2" t="s">
        <v>105</v>
      </c>
      <c r="I237" s="2" cm="1">
        <f t="array" ref="I237">INDEX($K$25:$AV$25,,MATCH(E237,$K$4:$AV$4,0))</f>
        <v>137.40108385479559</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4.6774837056951686</v>
      </c>
      <c r="AN237" s="2">
        <f>IF(AM$4=$E237, $I237*AM$202,0) + IF(AM$4&gt;$E237,MIN(AM237,$I237-SUM($J237:AM237)))</f>
        <v>4.6774837056951686</v>
      </c>
      <c r="AO237" s="2">
        <f>IF(AN$4=$E237, $I237*AN$202,0) + IF(AN$4&gt;$E237,MIN(AN237,$I237-SUM($J237:AN237)))</f>
        <v>4.6774837056951686</v>
      </c>
      <c r="AP237" s="2">
        <f>IF(AO$4=$E237, $I237*AO$202,0) + IF(AO$4&gt;$E237,MIN(AO237,$I237-SUM($J237:AO237)))</f>
        <v>4.6774837056951686</v>
      </c>
      <c r="AQ237" s="57">
        <f>IF(AP$4=$E237, $I237*AP$202,0) + IF(AP$4&gt;$E237,MIN(AP237,$I237-SUM($J237:AP237)))</f>
        <v>4.6774837056951686</v>
      </c>
      <c r="AR237" s="2">
        <f>IF(AQ$4=$E237, $I237*AQ$202,0) + IF(AQ$4&gt;$E237,MIN(AQ237,$I237-SUM($J237:AQ237)))</f>
        <v>4.6774837056951686</v>
      </c>
      <c r="AS237" s="2">
        <f>IF(AR$4=$E237, $I237*AR$202,0) + IF(AR$4&gt;$E237,MIN(AR237,$I237-SUM($J237:AR237)))</f>
        <v>4.6774837056951686</v>
      </c>
      <c r="AT237" s="2">
        <f>IF(AS$4=$E237, $I237*AS$202,0) + IF(AS$4&gt;$E237,MIN(AS237,$I237-SUM($J237:AS237)))</f>
        <v>4.6774837056951686</v>
      </c>
      <c r="AU237" s="2">
        <f>IF(AT$4=$E237, $I237*AT$202,0) + IF(AT$4&gt;$E237,MIN(AT237,$I237-SUM($J237:AT237)))</f>
        <v>4.6774837056951686</v>
      </c>
      <c r="AV237" s="2">
        <f>IF(AU$4=$E237, $I237*AU$202,0) + IF(AU$4&gt;$E237,MIN(AU237,$I237-SUM($J237:AU237)))</f>
        <v>4.6774837056951686</v>
      </c>
      <c r="AW237" s="2"/>
    </row>
    <row r="238" spans="5:49" ht="15" outlineLevel="1">
      <c r="E238" s="44">
        <f>INDEX($K$4:$AV$4,,COUNT(E$209:E237)+1)</f>
        <v>43555</v>
      </c>
      <c r="G238" s="2" t="s">
        <v>105</v>
      </c>
      <c r="I238" s="2" cm="1">
        <f t="array" ref="I238">INDEX($K$25:$AV$25,,MATCH(E238,$K$4:$AV$4,0))</f>
        <v>137.82070013287711</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4.2406369271654496</v>
      </c>
      <c r="AO238" s="2">
        <f>IF(AN$4=$E238, $I238*AN$202,0) + IF(AN$4&gt;$E238,MIN(AN238,$I238-SUM($J238:AN238)))</f>
        <v>4.2406369271654496</v>
      </c>
      <c r="AP238" s="2">
        <f>IF(AO$4=$E238, $I238*AO$202,0) + IF(AO$4&gt;$E238,MIN(AO238,$I238-SUM($J238:AO238)))</f>
        <v>4.2406369271654496</v>
      </c>
      <c r="AQ238" s="57">
        <f>IF(AP$4=$E238, $I238*AP$202,0) + IF(AP$4&gt;$E238,MIN(AP238,$I238-SUM($J238:AP238)))</f>
        <v>4.2406369271654496</v>
      </c>
      <c r="AR238" s="2">
        <f>IF(AQ$4=$E238, $I238*AQ$202,0) + IF(AQ$4&gt;$E238,MIN(AQ238,$I238-SUM($J238:AQ238)))</f>
        <v>4.2406369271654496</v>
      </c>
      <c r="AS238" s="2">
        <f>IF(AR$4=$E238, $I238*AR$202,0) + IF(AR$4&gt;$E238,MIN(AR238,$I238-SUM($J238:AR238)))</f>
        <v>4.2406369271654496</v>
      </c>
      <c r="AT238" s="2">
        <f>IF(AS$4=$E238, $I238*AS$202,0) + IF(AS$4&gt;$E238,MIN(AS238,$I238-SUM($J238:AS238)))</f>
        <v>4.2406369271654496</v>
      </c>
      <c r="AU238" s="2">
        <f>IF(AT$4=$E238, $I238*AT$202,0) + IF(AT$4&gt;$E238,MIN(AT238,$I238-SUM($J238:AT238)))</f>
        <v>4.2406369271654496</v>
      </c>
      <c r="AV238" s="2">
        <f>IF(AU$4=$E238, $I238*AU$202,0) + IF(AU$4&gt;$E238,MIN(AU238,$I238-SUM($J238:AU238)))</f>
        <v>4.2406369271654496</v>
      </c>
      <c r="AW238" s="2"/>
    </row>
    <row r="239" spans="5:49" ht="15" outlineLevel="1">
      <c r="E239" s="44">
        <f>INDEX($K$4:$AV$4,,COUNT(E$209:E238)+1)</f>
        <v>43921</v>
      </c>
      <c r="G239" s="2" t="s">
        <v>105</v>
      </c>
      <c r="I239" s="2" cm="1">
        <f t="array" ref="I239">INDEX($K$25:$AV$25,,MATCH(E239,$K$4:$AV$4,0))</f>
        <v>144.79272984739924</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4.0643573290498036</v>
      </c>
      <c r="AP239" s="2">
        <f>IF(AO$4=$E239, $I239*AO$202,0) + IF(AO$4&gt;$E239,MIN(AO239,$I239-SUM($J239:AO239)))</f>
        <v>4.0643573290498036</v>
      </c>
      <c r="AQ239" s="57">
        <f>IF(AP$4=$E239, $I239*AP$202,0) + IF(AP$4&gt;$E239,MIN(AP239,$I239-SUM($J239:AP239)))</f>
        <v>4.0643573290498036</v>
      </c>
      <c r="AR239" s="2">
        <f>IF(AQ$4=$E239, $I239*AQ$202,0) + IF(AQ$4&gt;$E239,MIN(AQ239,$I239-SUM($J239:AQ239)))</f>
        <v>4.0643573290498036</v>
      </c>
      <c r="AS239" s="2">
        <f>IF(AR$4=$E239, $I239*AR$202,0) + IF(AR$4&gt;$E239,MIN(AR239,$I239-SUM($J239:AR239)))</f>
        <v>4.0643573290498036</v>
      </c>
      <c r="AT239" s="2">
        <f>IF(AS$4=$E239, $I239*AS$202,0) + IF(AS$4&gt;$E239,MIN(AS239,$I239-SUM($J239:AS239)))</f>
        <v>4.0643573290498036</v>
      </c>
      <c r="AU239" s="2">
        <f>IF(AT$4=$E239, $I239*AT$202,0) + IF(AT$4&gt;$E239,MIN(AT239,$I239-SUM($J239:AT239)))</f>
        <v>4.0643573290498036</v>
      </c>
      <c r="AV239" s="2">
        <f>IF(AU$4=$E239, $I239*AU$202,0) + IF(AU$4&gt;$E239,MIN(AU239,$I239-SUM($J239:AU239)))</f>
        <v>4.0643573290498036</v>
      </c>
      <c r="AW239" s="2"/>
    </row>
    <row r="240" spans="5:49" ht="15" outlineLevel="1">
      <c r="E240" s="44">
        <f>INDEX($K$4:$AV$4,,COUNT(E$209:E239)+1)</f>
        <v>44286</v>
      </c>
      <c r="G240" s="2" t="s">
        <v>105</v>
      </c>
      <c r="I240" s="2" cm="1">
        <f t="array" ref="I240">INDEX($K$25:$AV$25,,MATCH(E240,$K$4:$AV$4,0))</f>
        <v>137.73435049766616</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3.5544348515526751</v>
      </c>
      <c r="AQ240" s="57">
        <f>IF(AP$4=$E240, $I240*AP$202,0) + IF(AP$4&gt;$E240,MIN(AP240,$I240-SUM($J240:AP240)))</f>
        <v>3.5544348515526751</v>
      </c>
      <c r="AR240" s="2">
        <f>IF(AQ$4=$E240, $I240*AQ$202,0) + IF(AQ$4&gt;$E240,MIN(AQ240,$I240-SUM($J240:AQ240)))</f>
        <v>3.5544348515526751</v>
      </c>
      <c r="AS240" s="2">
        <f>IF(AR$4=$E240, $I240*AR$202,0) + IF(AR$4&gt;$E240,MIN(AR240,$I240-SUM($J240:AR240)))</f>
        <v>3.5544348515526751</v>
      </c>
      <c r="AT240" s="2">
        <f>IF(AS$4=$E240, $I240*AS$202,0) + IF(AS$4&gt;$E240,MIN(AS240,$I240-SUM($J240:AS240)))</f>
        <v>3.5544348515526751</v>
      </c>
      <c r="AU240" s="2">
        <f>IF(AT$4=$E240, $I240*AT$202,0) + IF(AT$4&gt;$E240,MIN(AT240,$I240-SUM($J240:AT240)))</f>
        <v>3.5544348515526751</v>
      </c>
      <c r="AV240" s="2">
        <f>IF(AU$4=$E240, $I240*AU$202,0) + IF(AU$4&gt;$E240,MIN(AU240,$I240-SUM($J240:AU240)))</f>
        <v>3.5544348515526751</v>
      </c>
      <c r="AW240" s="2"/>
    </row>
    <row r="241" spans="1:49" ht="15" outlineLevel="1">
      <c r="E241" s="44">
        <f>INDEX($K$4:$AV$4,,COUNT(E$209:E240)+1)</f>
        <v>44651</v>
      </c>
      <c r="G241" s="2" t="s">
        <v>105</v>
      </c>
      <c r="I241" s="2" cm="1">
        <f t="array" ref="I241">INDEX($K$25:$AV$25,,MATCH(E241,$K$4:$AV$4,0))</f>
        <v>127.41662175284937</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3.0427849970829701</v>
      </c>
      <c r="AR241" s="2">
        <f>IF(AQ$4=$E241, $I241*AQ$202,0) + IF(AQ$4&gt;$E241,MIN(AQ241,$I241-SUM($J241:AQ241)))</f>
        <v>3.0427849970829701</v>
      </c>
      <c r="AS241" s="2">
        <f>IF(AR$4=$E241, $I241*AR$202,0) + IF(AR$4&gt;$E241,MIN(AR241,$I241-SUM($J241:AR241)))</f>
        <v>3.0427849970829701</v>
      </c>
      <c r="AT241" s="2">
        <f>IF(AS$4=$E241, $I241*AS$202,0) + IF(AS$4&gt;$E241,MIN(AS241,$I241-SUM($J241:AS241)))</f>
        <v>3.0427849970829701</v>
      </c>
      <c r="AU241" s="2">
        <f>IF(AT$4=$E241, $I241*AT$202,0) + IF(AT$4&gt;$E241,MIN(AT241,$I241-SUM($J241:AT241)))</f>
        <v>3.0427849970829701</v>
      </c>
      <c r="AV241" s="2">
        <f>IF(AU$4=$E241, $I241*AU$202,0) + IF(AU$4&gt;$E241,MIN(AU241,$I241-SUM($J241:AU241)))</f>
        <v>3.0427849970829701</v>
      </c>
      <c r="AW241" s="2"/>
    </row>
    <row r="242" spans="1:49" ht="15" outlineLevel="1">
      <c r="E242" s="44">
        <f>INDEX($K$4:$AV$4,,COUNT(E$209:E241)+1)</f>
        <v>45016</v>
      </c>
      <c r="G242" s="2" t="s">
        <v>105</v>
      </c>
      <c r="I242" s="2" cm="1">
        <f t="array" ref="I242">INDEX($K$25:$AV$25,,MATCH(E242,$K$4:$AV$4,0))</f>
        <v>115.22666816849804</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2.5605926259666232</v>
      </c>
      <c r="AS242" s="2">
        <f>IF(AR$4=$E242, $I242*AR$202,0) + IF(AR$4&gt;$E242,MIN(AR242,$I242-SUM($J242:AR242)))</f>
        <v>2.5605926259666232</v>
      </c>
      <c r="AT242" s="2">
        <f>IF(AS$4=$E242, $I242*AS$202,0) + IF(AS$4&gt;$E242,MIN(AS242,$I242-SUM($J242:AS242)))</f>
        <v>2.5605926259666232</v>
      </c>
      <c r="AU242" s="2">
        <f>IF(AT$4=$E242, $I242*AT$202,0) + IF(AT$4&gt;$E242,MIN(AT242,$I242-SUM($J242:AT242)))</f>
        <v>2.5605926259666232</v>
      </c>
      <c r="AV242" s="2">
        <f>IF(AU$4=$E242, $I242*AU$202,0) + IF(AU$4&gt;$E242,MIN(AU242,$I242-SUM($J242:AU242)))</f>
        <v>2.5605926259666232</v>
      </c>
      <c r="AW242" s="2"/>
    </row>
    <row r="243" spans="1:49" ht="15" outlineLevel="1">
      <c r="E243" s="44">
        <f>INDEX($K$4:$AV$4,,COUNT(E$209:E242)+1)</f>
        <v>45382</v>
      </c>
      <c r="G243" s="2" t="s">
        <v>105</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5" outlineLevel="1">
      <c r="E244" s="44">
        <f>INDEX($K$4:$AV$4,,COUNT(E$209:E243)+1)</f>
        <v>45747</v>
      </c>
      <c r="G244" s="2" t="s">
        <v>105</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5" outlineLevel="1">
      <c r="E245" s="44">
        <f>INDEX($K$4:$AV$4,,COUNT(E$209:E244)+1)</f>
        <v>46112</v>
      </c>
      <c r="G245" s="2" t="s">
        <v>105</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5" outlineLevel="1">
      <c r="E246" s="44">
        <f>INDEX($K$4:$AV$4,,COUNT(E$209:E245)+1)</f>
        <v>46477</v>
      </c>
      <c r="G246" s="2" t="s">
        <v>105</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5" outlineLevel="1">
      <c r="E247" s="44">
        <f>INDEX($K$4:$AV$4,,COUNT(E$209:E246)+1)</f>
        <v>46843</v>
      </c>
      <c r="G247" s="2" t="s">
        <v>105</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5" outlineLevel="1">
      <c r="E248" s="44"/>
      <c r="I248" s="2"/>
      <c r="AQ248" s="220"/>
    </row>
    <row r="249" spans="1:49">
      <c r="AQ249" s="220"/>
    </row>
    <row r="250" spans="1:49" ht="15">
      <c r="A250" s="2"/>
      <c r="B250" s="22" t="s">
        <v>912</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7"/>
      <c r="AR250" s="22"/>
      <c r="AS250" s="22"/>
      <c r="AT250" s="22"/>
      <c r="AU250" s="22"/>
      <c r="AV250" s="22"/>
      <c r="AW250" s="2"/>
    </row>
    <row r="251" spans="1:49" outlineLevel="1">
      <c r="AQ251" s="220"/>
    </row>
    <row r="252" spans="1:49" ht="15" outlineLevel="1">
      <c r="E252" s="34" t="s">
        <v>913</v>
      </c>
      <c r="F252" s="34"/>
      <c r="G252" s="7" t="s">
        <v>281</v>
      </c>
      <c r="H252" s="7"/>
      <c r="I252" s="250">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5" outlineLevel="1">
      <c r="E253" s="34" t="s">
        <v>914</v>
      </c>
      <c r="F253" s="34"/>
      <c r="G253" s="7" t="s">
        <v>209</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0</v>
      </c>
      <c r="X253" s="145">
        <f t="shared" si="87"/>
        <v>0</v>
      </c>
      <c r="Y253" s="145">
        <f t="shared" si="87"/>
        <v>0</v>
      </c>
      <c r="Z253" s="145">
        <f t="shared" si="87"/>
        <v>2.2222222222222223E-2</v>
      </c>
      <c r="AA253" s="145">
        <f t="shared" si="87"/>
        <v>2.2222222222222223E-2</v>
      </c>
      <c r="AB253" s="145">
        <f t="shared" si="87"/>
        <v>2.2222222222222223E-2</v>
      </c>
      <c r="AC253" s="145">
        <f t="shared" si="87"/>
        <v>2.2222222222222223E-2</v>
      </c>
      <c r="AD253" s="145">
        <f t="shared" si="87"/>
        <v>2.2222222222222223E-2</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5">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5"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5">
      <c r="E255" s="44" t="s">
        <v>915</v>
      </c>
      <c r="G255" s="2" t="s">
        <v>105</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3.3594686890795429</v>
      </c>
      <c r="AT255" s="2">
        <f t="shared" si="88"/>
        <v>7.4419315585518486</v>
      </c>
      <c r="AU255" s="2">
        <f t="shared" si="88"/>
        <v>11.577977251909541</v>
      </c>
      <c r="AV255" s="2">
        <f t="shared" si="88"/>
        <v>15.708178832826388</v>
      </c>
    </row>
    <row r="256" spans="1:49">
      <c r="AQ256" s="220"/>
    </row>
    <row r="257" spans="1:49" ht="15">
      <c r="A257" s="2"/>
      <c r="B257" s="2"/>
      <c r="C257" s="28" t="s">
        <v>916</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5" outlineLevel="1">
      <c r="E258" s="34"/>
      <c r="I258" s="2"/>
      <c r="AQ258" s="220"/>
    </row>
    <row r="259" spans="1:49" ht="15" outlineLevel="1">
      <c r="E259" s="34" t="s">
        <v>917</v>
      </c>
      <c r="G259" s="34" t="s">
        <v>209</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0</v>
      </c>
      <c r="X259" s="145">
        <f t="shared" si="89"/>
        <v>0</v>
      </c>
      <c r="Y259" s="145">
        <f t="shared" si="89"/>
        <v>0</v>
      </c>
      <c r="Z259" s="145">
        <f t="shared" si="89"/>
        <v>2.2222222222222223E-2</v>
      </c>
      <c r="AA259" s="145">
        <f t="shared" si="89"/>
        <v>2.2222222222222223E-2</v>
      </c>
      <c r="AB259" s="145">
        <f t="shared" si="89"/>
        <v>2.2222222222222223E-2</v>
      </c>
      <c r="AC259" s="145">
        <f t="shared" si="89"/>
        <v>2.2222222222222223E-2</v>
      </c>
      <c r="AD259" s="145">
        <f t="shared" si="89"/>
        <v>2.2222222222222223E-2</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5">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5" outlineLevel="1">
      <c r="E260" s="34"/>
      <c r="I260" s="2"/>
      <c r="AQ260" s="220"/>
    </row>
    <row r="261" spans="1:49" ht="15" outlineLevel="1">
      <c r="E261" s="34" t="s">
        <v>911</v>
      </c>
      <c r="G261" s="2" t="s">
        <v>105</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3.3594686890795429</v>
      </c>
      <c r="AT261" s="2">
        <f t="shared" si="90"/>
        <v>7.4419315585518486</v>
      </c>
      <c r="AU261" s="2">
        <f t="shared" si="90"/>
        <v>11.577977251909541</v>
      </c>
      <c r="AV261" s="2">
        <f t="shared" si="90"/>
        <v>15.708178832826388</v>
      </c>
    </row>
    <row r="262" spans="1:49" ht="15" outlineLevel="1">
      <c r="K262" s="2"/>
      <c r="AQ262" s="220"/>
    </row>
    <row r="263" spans="1:49" ht="15" outlineLevel="1">
      <c r="D263" s="45"/>
      <c r="E263" s="44">
        <f>INDEX($K$4:$AV$4,,COUNT(E$262:E262)+1)</f>
        <v>33328</v>
      </c>
      <c r="G263" s="2" t="s">
        <v>105</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5" outlineLevel="1">
      <c r="D264" s="45"/>
      <c r="E264" s="44">
        <f>INDEX($K$4:$AV$4,,COUNT(E$262:E263)+1)</f>
        <v>33694</v>
      </c>
      <c r="G264" s="2" t="s">
        <v>105</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5" outlineLevel="1">
      <c r="D265" s="45"/>
      <c r="E265" s="44">
        <f>INDEX($K$4:$AV$4,,COUNT(E$262:E264)+1)</f>
        <v>34059</v>
      </c>
      <c r="G265" s="2" t="s">
        <v>105</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5" outlineLevel="1">
      <c r="D266" s="45"/>
      <c r="E266" s="44">
        <f>INDEX($K$4:$AV$4,,COUNT(E$262:E265)+1)</f>
        <v>34424</v>
      </c>
      <c r="G266" s="2" t="s">
        <v>105</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5" outlineLevel="1">
      <c r="D267" s="45"/>
      <c r="E267" s="44">
        <f>INDEX($K$4:$AV$4,,COUNT(E$262:E266)+1)</f>
        <v>34789</v>
      </c>
      <c r="G267" s="2" t="s">
        <v>105</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5" outlineLevel="1">
      <c r="D268" s="45"/>
      <c r="E268" s="44">
        <f>INDEX($K$4:$AV$4,,COUNT(E$262:E267)+1)</f>
        <v>35155</v>
      </c>
      <c r="G268" s="2" t="s">
        <v>105</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5" outlineLevel="1">
      <c r="D269" s="45"/>
      <c r="E269" s="44">
        <f>INDEX($K$4:$AV$4,,COUNT(E$262:E268)+1)</f>
        <v>35520</v>
      </c>
      <c r="G269" s="2" t="s">
        <v>105</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5" outlineLevel="1">
      <c r="D270" s="45"/>
      <c r="E270" s="44">
        <f>INDEX($K$4:$AV$4,,COUNT(E$262:E269)+1)</f>
        <v>35885</v>
      </c>
      <c r="G270" s="2" t="s">
        <v>105</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5" outlineLevel="1">
      <c r="D271" s="45"/>
      <c r="E271" s="44">
        <f>INDEX($K$4:$AV$4,,COUNT(E$262:E270)+1)</f>
        <v>36250</v>
      </c>
      <c r="G271" s="2" t="s">
        <v>105</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5" outlineLevel="1">
      <c r="D272" s="45"/>
      <c r="E272" s="44">
        <f>INDEX($K$4:$AV$4,,COUNT(E$262:E271)+1)</f>
        <v>36616</v>
      </c>
      <c r="G272" s="2" t="s">
        <v>105</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5" outlineLevel="1">
      <c r="D273" s="45"/>
      <c r="E273" s="44">
        <f>INDEX($K$4:$AV$4,,COUNT(E$262:E272)+1)</f>
        <v>36981</v>
      </c>
      <c r="G273" s="2" t="s">
        <v>105</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5" outlineLevel="1">
      <c r="D274" s="45"/>
      <c r="E274" s="44">
        <f>INDEX($K$4:$AV$4,,COUNT(E$262:E273)+1)</f>
        <v>37346</v>
      </c>
      <c r="G274" s="2" t="s">
        <v>105</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5" outlineLevel="1">
      <c r="D275" s="45"/>
      <c r="E275" s="44">
        <f>INDEX($K$4:$AV$4,,COUNT(E$262:E274)+1)</f>
        <v>37711</v>
      </c>
      <c r="G275" s="2" t="s">
        <v>105</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5" outlineLevel="1">
      <c r="D276" s="45"/>
      <c r="E276" s="44">
        <f>INDEX($K$4:$AV$4,,COUNT(E$262:E275)+1)</f>
        <v>38077</v>
      </c>
      <c r="G276" s="2" t="s">
        <v>105</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5" outlineLevel="1">
      <c r="D277" s="45"/>
      <c r="E277" s="44">
        <f>INDEX($K$4:$AV$4,,COUNT(E$262:E276)+1)</f>
        <v>38442</v>
      </c>
      <c r="G277" s="2" t="s">
        <v>105</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5" outlineLevel="1">
      <c r="D278" s="45"/>
      <c r="E278" s="44">
        <f>INDEX($K$4:$AV$4,,COUNT(E$262:E277)+1)</f>
        <v>38807</v>
      </c>
      <c r="G278" s="2" t="s">
        <v>105</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5" outlineLevel="1">
      <c r="D279" s="45"/>
      <c r="E279" s="44">
        <f>INDEX($K$4:$AV$4,,COUNT(E$262:E278)+1)</f>
        <v>39172</v>
      </c>
      <c r="G279" s="2" t="s">
        <v>105</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5" outlineLevel="1">
      <c r="D280" s="45"/>
      <c r="E280" s="44">
        <f>INDEX($K$4:$AV$4,,COUNT(E$262:E279)+1)</f>
        <v>39538</v>
      </c>
      <c r="G280" s="2" t="s">
        <v>105</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5" outlineLevel="1">
      <c r="D281" s="45"/>
      <c r="E281" s="44">
        <f>INDEX($K$4:$AV$4,,COUNT(E$262:E280)+1)</f>
        <v>39903</v>
      </c>
      <c r="G281" s="2" t="s">
        <v>105</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5" outlineLevel="1">
      <c r="D282" s="45"/>
      <c r="E282" s="44">
        <f>INDEX($K$4:$AV$4,,COUNT(E$262:E281)+1)</f>
        <v>40268</v>
      </c>
      <c r="G282" s="2" t="s">
        <v>105</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5" outlineLevel="1">
      <c r="D283" s="45"/>
      <c r="E283" s="44">
        <f>INDEX($K$4:$AV$4,,COUNT(E$262:E282)+1)</f>
        <v>40633</v>
      </c>
      <c r="G283" s="2" t="s">
        <v>105</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5" outlineLevel="1">
      <c r="D284" s="45"/>
      <c r="E284" s="44">
        <f>INDEX($K$4:$AV$4,,COUNT(E$262:E283)+1)</f>
        <v>40999</v>
      </c>
      <c r="G284" s="2" t="s">
        <v>105</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5" outlineLevel="1">
      <c r="D285" s="45"/>
      <c r="E285" s="44">
        <f>INDEX($K$4:$AV$4,,COUNT(E$262:E284)+1)</f>
        <v>41364</v>
      </c>
      <c r="G285" s="2" t="s">
        <v>105</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5" outlineLevel="1">
      <c r="D286" s="45"/>
      <c r="E286" s="44">
        <f>INDEX($K$4:$AV$4,,COUNT(E$262:E285)+1)</f>
        <v>41729</v>
      </c>
      <c r="G286" s="2" t="s">
        <v>105</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5" outlineLevel="1">
      <c r="D287" s="45"/>
      <c r="E287" s="44">
        <f>INDEX($K$4:$AV$4,,COUNT(E$262:E286)+1)</f>
        <v>42094</v>
      </c>
      <c r="G287" s="2" t="s">
        <v>105</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5" outlineLevel="1">
      <c r="D288" s="45"/>
      <c r="E288" s="44">
        <f>INDEX($K$4:$AV$4,,COUNT(E$262:E287)+1)</f>
        <v>42460</v>
      </c>
      <c r="G288" s="2" t="s">
        <v>105</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5" outlineLevel="1">
      <c r="D289" s="45"/>
      <c r="E289" s="44">
        <f>INDEX($K$4:$AV$4,,COUNT(E$262:E288)+1)</f>
        <v>42825</v>
      </c>
      <c r="G289" s="2" t="s">
        <v>105</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5" outlineLevel="1">
      <c r="D290" s="45"/>
      <c r="E290" s="44">
        <f>INDEX($K$4:$AV$4,,COUNT(E$262:E289)+1)</f>
        <v>43190</v>
      </c>
      <c r="G290" s="2" t="s">
        <v>105</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5" outlineLevel="1">
      <c r="D291" s="45"/>
      <c r="E291" s="44">
        <f>INDEX($K$4:$AV$4,,COUNT(E$262:E290)+1)</f>
        <v>43555</v>
      </c>
      <c r="G291" s="2" t="s">
        <v>105</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5" outlineLevel="1">
      <c r="D292" s="45"/>
      <c r="E292" s="44">
        <f>INDEX($K$4:$AV$4,,COUNT(E$262:E291)+1)</f>
        <v>43921</v>
      </c>
      <c r="G292" s="2" t="s">
        <v>105</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5" outlineLevel="1">
      <c r="D293" s="45"/>
      <c r="E293" s="44">
        <f>INDEX($K$4:$AV$4,,COUNT(E$262:E292)+1)</f>
        <v>44286</v>
      </c>
      <c r="G293" s="2" t="s">
        <v>105</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5" outlineLevel="1">
      <c r="D294" s="45"/>
      <c r="E294" s="44">
        <f>INDEX($K$4:$AV$4,,COUNT(E$262:E293)+1)</f>
        <v>44651</v>
      </c>
      <c r="G294" s="2" t="s">
        <v>105</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5" outlineLevel="1">
      <c r="D295" s="45"/>
      <c r="E295" s="44">
        <f>INDEX($K$4:$AV$4,,COUNT(E$262:E294)+1)</f>
        <v>45016</v>
      </c>
      <c r="G295" s="2" t="s">
        <v>105</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5" outlineLevel="1">
      <c r="D296" s="45"/>
      <c r="E296" s="44">
        <f>INDEX($K$4:$AV$4,,COUNT(E$262:E295)+1)</f>
        <v>45382</v>
      </c>
      <c r="G296" s="2" t="s">
        <v>105</v>
      </c>
      <c r="I296" s="2" cm="1">
        <f t="array" ref="I296">INDEX($K$26:$AV$26,,MATCH(E296,$K$4:$AV$4,0))</f>
        <v>151.17609100857942</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3.3594686890795429</v>
      </c>
      <c r="AT296" s="2">
        <f>IF(AS$4=$E296, $I296*AS$259,0) + IF(AS$4&gt;$E296,MIN(AS296,$I296-SUM($J296:AS296)))</f>
        <v>3.3594686890795429</v>
      </c>
      <c r="AU296" s="2">
        <f>IF(AT$4=$E296, $I296*AT$259,0) + IF(AT$4&gt;$E296,MIN(AT296,$I296-SUM($J296:AT296)))</f>
        <v>3.3594686890795429</v>
      </c>
      <c r="AV296" s="2">
        <f>IF(AU$4=$E296, $I296*AU$259,0) + IF(AU$4&gt;$E296,MIN(AU296,$I296-SUM($J296:AU296)))</f>
        <v>3.3594686890795429</v>
      </c>
      <c r="AW296" s="2"/>
    </row>
    <row r="297" spans="1:49" ht="15" outlineLevel="1">
      <c r="D297" s="45"/>
      <c r="E297" s="44">
        <f>INDEX($K$4:$AV$4,,COUNT(E$262:E296)+1)</f>
        <v>45747</v>
      </c>
      <c r="G297" s="2" t="s">
        <v>105</v>
      </c>
      <c r="I297" s="2" cm="1">
        <f t="array" ref="I297">INDEX($K$26:$AV$26,,MATCH(E297,$K$4:$AV$4,0))</f>
        <v>183.71082912625371</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4.0824628694723053</v>
      </c>
      <c r="AU297" s="2">
        <f>IF(AT$4=$E297, $I297*AT$259,0) + IF(AT$4&gt;$E297,MIN(AT297,$I297-SUM($J297:AT297)))</f>
        <v>4.0824628694723053</v>
      </c>
      <c r="AV297" s="2">
        <f>IF(AU$4=$E297, $I297*AU$259,0) + IF(AU$4&gt;$E297,MIN(AU297,$I297-SUM($J297:AU297)))</f>
        <v>4.0824628694723053</v>
      </c>
      <c r="AW297" s="2"/>
    </row>
    <row r="298" spans="1:49" ht="15" outlineLevel="1">
      <c r="D298" s="45"/>
      <c r="E298" s="44">
        <f>INDEX($K$4:$AV$4,,COUNT(E$262:E297)+1)</f>
        <v>46112</v>
      </c>
      <c r="G298" s="2" t="s">
        <v>105</v>
      </c>
      <c r="I298" s="2" cm="1">
        <f t="array" ref="I298">INDEX($K$26:$AV$26,,MATCH(E298,$K$4:$AV$4,0))</f>
        <v>186.12205620109611</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4.1360456933576915</v>
      </c>
      <c r="AV298" s="2">
        <f>IF(AU$4=$E298, $I298*AU$259,0) + IF(AU$4&gt;$E298,MIN(AU298,$I298-SUM($J298:AU298)))</f>
        <v>4.1360456933576915</v>
      </c>
      <c r="AW298" s="2"/>
    </row>
    <row r="299" spans="1:49" ht="15" outlineLevel="1">
      <c r="D299" s="45"/>
      <c r="E299" s="44">
        <f>INDEX($K$4:$AV$4,,COUNT(E$262:E298)+1)</f>
        <v>46477</v>
      </c>
      <c r="G299" s="2" t="s">
        <v>105</v>
      </c>
      <c r="I299" s="2" cm="1">
        <f t="array" ref="I299">INDEX($K$26:$AV$26,,MATCH(E299,$K$4:$AV$4,0))</f>
        <v>185.85907114125808</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4.1302015809168466</v>
      </c>
      <c r="AW299" s="2"/>
    </row>
    <row r="300" spans="1:49" ht="15" outlineLevel="1">
      <c r="D300" s="45"/>
      <c r="E300" s="44">
        <f>INDEX($K$4:$AV$4,,COUNT(E$262:E299)+1)</f>
        <v>46843</v>
      </c>
      <c r="G300" s="2" t="s">
        <v>105</v>
      </c>
      <c r="I300" s="2" cm="1">
        <f t="array" ref="I300">INDEX($K$26:$AV$26,,MATCH(E300,$K$4:$AV$4,0))</f>
        <v>170.79684263602633</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5">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5">
      <c r="A302" s="2"/>
      <c r="B302" s="37" t="s">
        <v>79</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5">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5">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113" priority="18" operator="equal">
      <formula>FALSE()</formula>
    </cfRule>
  </conditionalFormatting>
  <conditionalFormatting sqref="K252:AV255">
    <cfRule type="cellIs" dxfId="112" priority="7" operator="equal">
      <formula>FALSE()</formula>
    </cfRule>
  </conditionalFormatting>
  <conditionalFormatting sqref="K259:AV259">
    <cfRule type="cellIs" dxfId="111" priority="1" operator="equal">
      <formula>FALSE()</formula>
    </cfRule>
  </conditionalFormatting>
  <conditionalFormatting sqref="AM2">
    <cfRule type="expression" dxfId="110" priority="2">
      <formula>mac_sensitivity=2</formula>
    </cfRule>
    <cfRule type="expression" dxfId="109" priority="3">
      <formula>mac_sensitivity=1</formula>
    </cfRule>
  </conditionalFormatting>
  <conditionalFormatting sqref="AM3">
    <cfRule type="expression" dxfId="108"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10" bestFit="1" customWidth="1"/>
    <col min="37" max="48" width="9.625" customWidth="1"/>
    <col min="49" max="49" width="3" customWidth="1"/>
    <col min="50" max="16384" width="9" hidden="1"/>
  </cols>
  <sheetData>
    <row r="1" spans="1:49" ht="19.5">
      <c r="A1" s="195" t="s">
        <v>918</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NPgN</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530</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0"/>
      <c r="AW7" s="2"/>
    </row>
    <row r="8" spans="1:49" ht="15">
      <c r="A8" s="2"/>
      <c r="B8" s="2"/>
      <c r="C8" s="20" t="s">
        <v>919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5">
      <c r="A9" s="2"/>
      <c r="B9" s="2"/>
      <c r="C9" s="4" t="s">
        <v>920</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10" t="s">
        <v>921</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5">
      <c r="E12" s="47" t="s">
        <v>599</v>
      </c>
      <c r="G12" s="21" t="s">
        <v>249</v>
      </c>
      <c r="H12" s="48"/>
      <c r="AJ12" s="49"/>
      <c r="AK12" s="49"/>
      <c r="AL12" s="49"/>
      <c r="AM12" s="49"/>
      <c r="AN12" s="49"/>
      <c r="AO12" s="49"/>
      <c r="AP12" s="49"/>
      <c r="AQ12" s="214"/>
      <c r="AR12" s="49">
        <f>InputSummary!AR182</f>
        <v>3.97335776E-2</v>
      </c>
      <c r="AS12" s="49">
        <f>InputSummary!AS182</f>
        <v>4.1370183200000001E-2</v>
      </c>
      <c r="AT12" s="49">
        <f>InputSummary!AT182</f>
        <v>4.1450170800000005E-2</v>
      </c>
      <c r="AU12" s="49">
        <f>InputSummary!AU182</f>
        <v>4.15681044E-2</v>
      </c>
      <c r="AV12" s="49">
        <f>InputSummary!AV182</f>
        <v>4.1755693600000005E-2</v>
      </c>
      <c r="AW12" s="48"/>
    </row>
    <row r="13" spans="1:49" s="21" customFormat="1" ht="15">
      <c r="E13" s="41" t="s">
        <v>922</v>
      </c>
      <c r="G13" s="21" t="s">
        <v>100</v>
      </c>
      <c r="H13" s="48"/>
      <c r="AJ13" s="121"/>
      <c r="AK13" s="121"/>
      <c r="AL13" s="121"/>
      <c r="AM13" s="121"/>
      <c r="AN13" s="121"/>
      <c r="AO13" s="121"/>
      <c r="AP13" s="121"/>
      <c r="AQ13" s="231"/>
      <c r="AR13" s="121">
        <f t="shared" ref="AR13:AU13" si="0">1 / (1 + AR12)</f>
        <v>0.96178484714159518</v>
      </c>
      <c r="AS13" s="121">
        <f t="shared" si="0"/>
        <v>0.96027331695548013</v>
      </c>
      <c r="AT13" s="121">
        <f t="shared" si="0"/>
        <v>0.96019956406732399</v>
      </c>
      <c r="AU13" s="121">
        <f t="shared" si="0"/>
        <v>0.96009084358055918</v>
      </c>
      <c r="AV13" s="121">
        <f>1 / (1 + AV12)</f>
        <v>0.95991795978987671</v>
      </c>
      <c r="AW13" s="48"/>
    </row>
    <row r="14" spans="1:49" s="21" customFormat="1" ht="15">
      <c r="E14" s="41"/>
      <c r="H14" s="48"/>
      <c r="AJ14" s="13"/>
      <c r="AK14" s="13"/>
      <c r="AL14" s="13"/>
      <c r="AM14" s="13"/>
      <c r="AN14" s="13"/>
      <c r="AO14" s="13"/>
      <c r="AP14" s="13"/>
      <c r="AQ14" s="50"/>
      <c r="AR14" s="13"/>
      <c r="AS14" s="13"/>
      <c r="AT14" s="13"/>
      <c r="AU14" s="13"/>
      <c r="AV14" s="13"/>
      <c r="AW14" s="48"/>
    </row>
    <row r="15" spans="1:49" s="21" customFormat="1" ht="15">
      <c r="E15" s="41" t="s">
        <v>923</v>
      </c>
      <c r="G15" s="2" t="s">
        <v>105</v>
      </c>
      <c r="H15" s="48"/>
      <c r="AJ15" s="7"/>
      <c r="AK15" s="7"/>
      <c r="AL15" s="7"/>
      <c r="AM15" s="7"/>
      <c r="AN15" s="7"/>
      <c r="AO15" s="7"/>
      <c r="AP15" s="7"/>
      <c r="AQ15" s="65"/>
      <c r="AR15" s="7">
        <f t="shared" ref="AR15:AU15" si="1">AR46</f>
        <v>1526.3444167298512</v>
      </c>
      <c r="AS15" s="7">
        <f t="shared" si="1"/>
        <v>1600.1218742867916</v>
      </c>
      <c r="AT15" s="7">
        <f t="shared" si="1"/>
        <v>1676.7908188005997</v>
      </c>
      <c r="AU15" s="7">
        <f t="shared" si="1"/>
        <v>1754.453302430037</v>
      </c>
      <c r="AV15" s="7">
        <f>AV46</f>
        <v>1818.5624265051385</v>
      </c>
      <c r="AW15" s="48"/>
    </row>
    <row r="16" spans="1:49" s="21" customFormat="1" ht="15">
      <c r="E16" s="41"/>
      <c r="G16" s="2"/>
      <c r="H16" s="48"/>
      <c r="AJ16" s="7"/>
      <c r="AK16" s="7"/>
      <c r="AL16" s="7"/>
      <c r="AM16" s="7"/>
      <c r="AN16" s="7"/>
      <c r="AO16" s="7"/>
      <c r="AP16" s="7"/>
      <c r="AQ16" s="65"/>
      <c r="AR16" s="7"/>
      <c r="AS16" s="7"/>
      <c r="AT16" s="7"/>
      <c r="AU16" s="7"/>
      <c r="AV16" s="7"/>
      <c r="AW16" s="48"/>
    </row>
    <row r="17" spans="1:49" s="21" customFormat="1" ht="15">
      <c r="E17" s="47" t="s">
        <v>924</v>
      </c>
      <c r="G17" s="2" t="s">
        <v>105</v>
      </c>
      <c r="H17" s="48"/>
      <c r="AJ17" s="461"/>
      <c r="AK17" s="461"/>
      <c r="AL17" s="461"/>
      <c r="AM17" s="461"/>
      <c r="AN17" s="461"/>
      <c r="AO17" s="461"/>
      <c r="AP17" s="461"/>
      <c r="AQ17" s="386"/>
      <c r="AR17" s="461">
        <f t="shared" ref="AR17:AU17" si="2">AR13 * AR15</f>
        <v>1468.0149315299473</v>
      </c>
      <c r="AS17" s="461">
        <f t="shared" si="2"/>
        <v>1536.5543397543972</v>
      </c>
      <c r="AT17" s="461">
        <f t="shared" si="2"/>
        <v>1610.0538132444271</v>
      </c>
      <c r="AU17" s="461">
        <f t="shared" si="2"/>
        <v>1684.4345511527522</v>
      </c>
      <c r="AV17" s="461">
        <f>AV13 * AV15</f>
        <v>1745.6707342013401</v>
      </c>
      <c r="AW17" s="48"/>
    </row>
    <row r="18" spans="1:49" s="21" customFormat="1" ht="15">
      <c r="E18" s="41"/>
      <c r="H18" s="48"/>
      <c r="AJ18" s="8"/>
      <c r="AK18" s="8"/>
      <c r="AL18" s="8"/>
      <c r="AM18" s="8"/>
      <c r="AN18" s="8"/>
      <c r="AO18" s="8"/>
      <c r="AP18" s="8"/>
      <c r="AQ18" s="9"/>
      <c r="AR18" s="8"/>
      <c r="AS18" s="8"/>
      <c r="AT18" s="8"/>
      <c r="AU18" s="8"/>
      <c r="AV18" s="8"/>
      <c r="AW18" s="48"/>
    </row>
    <row r="19" spans="1:49" s="21" customFormat="1" ht="15">
      <c r="D19" s="10" t="s">
        <v>925</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5">
      <c r="E20" s="41" t="s">
        <v>926</v>
      </c>
      <c r="G20" s="2" t="s">
        <v>105</v>
      </c>
      <c r="H20" s="48"/>
      <c r="AJ20" s="7"/>
      <c r="AK20" s="7"/>
      <c r="AL20" s="7"/>
      <c r="AM20" s="7"/>
      <c r="AN20" s="7"/>
      <c r="AO20" s="7"/>
      <c r="AP20" s="7"/>
      <c r="AQ20" s="65"/>
      <c r="AR20" s="7">
        <f>AR43</f>
        <v>1486.6124877543512</v>
      </c>
      <c r="AS20" s="7">
        <f t="shared" ref="AS20:AV20" si="3">AS43</f>
        <v>1526.3444167298512</v>
      </c>
      <c r="AT20" s="7">
        <f t="shared" si="3"/>
        <v>1600.1218742867916</v>
      </c>
      <c r="AU20" s="7">
        <f t="shared" si="3"/>
        <v>1676.7908188005997</v>
      </c>
      <c r="AV20" s="7">
        <f t="shared" si="3"/>
        <v>1754.453302430037</v>
      </c>
      <c r="AW20" s="48"/>
    </row>
    <row r="21" spans="1:49" s="21" customFormat="1" ht="15">
      <c r="E21" s="41" t="s">
        <v>924</v>
      </c>
      <c r="G21" s="2" t="s">
        <v>105</v>
      </c>
      <c r="H21" s="48"/>
      <c r="AJ21" s="7"/>
      <c r="AK21" s="7"/>
      <c r="AL21" s="7"/>
      <c r="AM21" s="7"/>
      <c r="AN21" s="7"/>
      <c r="AO21" s="7"/>
      <c r="AP21" s="7"/>
      <c r="AQ21" s="65"/>
      <c r="AR21" s="7">
        <f>AR17</f>
        <v>1468.0149315299473</v>
      </c>
      <c r="AS21" s="7">
        <f t="shared" ref="AS21:AV21" si="4">AS17</f>
        <v>1536.5543397543972</v>
      </c>
      <c r="AT21" s="7">
        <f t="shared" si="4"/>
        <v>1610.0538132444271</v>
      </c>
      <c r="AU21" s="7">
        <f t="shared" si="4"/>
        <v>1684.4345511527522</v>
      </c>
      <c r="AV21" s="7">
        <f t="shared" si="4"/>
        <v>1745.6707342013401</v>
      </c>
      <c r="AW21" s="48"/>
    </row>
    <row r="22" spans="1:49" s="21" customFormat="1" ht="15">
      <c r="E22" s="47"/>
      <c r="H22" s="48"/>
      <c r="AJ22" s="7"/>
      <c r="AK22" s="7"/>
      <c r="AL22" s="7"/>
      <c r="AM22" s="7"/>
      <c r="AN22" s="7"/>
      <c r="AO22" s="7"/>
      <c r="AP22" s="7"/>
      <c r="AQ22" s="65"/>
      <c r="AR22" s="7"/>
      <c r="AS22" s="7"/>
      <c r="AT22" s="7"/>
      <c r="AU22" s="7"/>
      <c r="AV22" s="7"/>
      <c r="AW22" s="48"/>
    </row>
    <row r="23" spans="1:49" s="21" customFormat="1" ht="15">
      <c r="E23" s="47" t="s">
        <v>925</v>
      </c>
      <c r="G23" s="2" t="s">
        <v>105</v>
      </c>
      <c r="H23" s="48"/>
      <c r="AJ23" s="461"/>
      <c r="AK23" s="461"/>
      <c r="AL23" s="461"/>
      <c r="AM23" s="461"/>
      <c r="AN23" s="461"/>
      <c r="AO23" s="461"/>
      <c r="AP23" s="461"/>
      <c r="AQ23" s="386"/>
      <c r="AR23" s="461">
        <f t="shared" ref="AR23:AU23" si="5">AVERAGE(AR20:AR21)</f>
        <v>1477.3137096421492</v>
      </c>
      <c r="AS23" s="461">
        <f t="shared" si="5"/>
        <v>1531.4493782421241</v>
      </c>
      <c r="AT23" s="461">
        <f t="shared" si="5"/>
        <v>1605.0878437656093</v>
      </c>
      <c r="AU23" s="461">
        <f t="shared" si="5"/>
        <v>1680.6126849766761</v>
      </c>
      <c r="AV23" s="461">
        <f>AVERAGE(AV20:AV21)</f>
        <v>1750.0620183156884</v>
      </c>
      <c r="AW23" s="48"/>
    </row>
    <row r="24" spans="1:49" s="21" customFormat="1" ht="15">
      <c r="E24" s="47"/>
      <c r="H24" s="48"/>
      <c r="AJ24" s="8"/>
      <c r="AK24" s="8"/>
      <c r="AL24" s="8"/>
      <c r="AM24" s="8"/>
      <c r="AN24" s="8"/>
      <c r="AO24" s="8"/>
      <c r="AP24" s="8"/>
      <c r="AQ24" s="9"/>
      <c r="AR24" s="8"/>
      <c r="AS24" s="8"/>
      <c r="AT24" s="8"/>
      <c r="AU24" s="8"/>
      <c r="AV24" s="8"/>
      <c r="AW24" s="48"/>
    </row>
    <row r="25" spans="1:49" s="21" customFormat="1" ht="15">
      <c r="C25" s="20" t="s">
        <v>927</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5">
      <c r="E26" s="47"/>
      <c r="H26" s="48"/>
      <c r="AJ26" s="8"/>
      <c r="AK26" s="8"/>
      <c r="AL26" s="8"/>
      <c r="AM26" s="8"/>
      <c r="AN26" s="8"/>
      <c r="AO26" s="8"/>
      <c r="AP26" s="8"/>
      <c r="AQ26" s="9"/>
      <c r="AR26" s="8"/>
      <c r="AS26" s="8"/>
      <c r="AT26" s="8"/>
      <c r="AU26" s="8"/>
      <c r="AV26" s="8"/>
      <c r="AW26" s="48"/>
    </row>
    <row r="27" spans="1:49" s="21" customFormat="1" ht="15">
      <c r="E27" s="47" t="s">
        <v>925</v>
      </c>
      <c r="G27" s="2" t="s">
        <v>105</v>
      </c>
      <c r="H27" s="48"/>
      <c r="AJ27" s="7"/>
      <c r="AK27" s="7"/>
      <c r="AL27" s="7"/>
      <c r="AM27" s="7"/>
      <c r="AN27" s="7"/>
      <c r="AO27" s="7"/>
      <c r="AP27" s="7"/>
      <c r="AQ27" s="65"/>
      <c r="AR27" s="7">
        <f t="shared" ref="AR27:AU27" si="6">AR23</f>
        <v>1477.3137096421492</v>
      </c>
      <c r="AS27" s="7">
        <f t="shared" si="6"/>
        <v>1531.4493782421241</v>
      </c>
      <c r="AT27" s="7">
        <f t="shared" si="6"/>
        <v>1605.0878437656093</v>
      </c>
      <c r="AU27" s="7">
        <f t="shared" si="6"/>
        <v>1680.6126849766761</v>
      </c>
      <c r="AV27" s="7">
        <f>AV23</f>
        <v>1750.0620183156884</v>
      </c>
      <c r="AW27" s="48"/>
    </row>
    <row r="28" spans="1:49" s="21" customFormat="1" ht="15">
      <c r="E28" s="47" t="s">
        <v>599</v>
      </c>
      <c r="G28" s="21" t="s">
        <v>249</v>
      </c>
      <c r="H28" s="48"/>
      <c r="AJ28" s="185"/>
      <c r="AK28" s="185"/>
      <c r="AL28" s="185"/>
      <c r="AM28" s="185"/>
      <c r="AN28" s="185"/>
      <c r="AO28" s="185"/>
      <c r="AP28" s="185"/>
      <c r="AQ28" s="190"/>
      <c r="AR28" s="185">
        <f>AR12</f>
        <v>3.97335776E-2</v>
      </c>
      <c r="AS28" s="185">
        <f>AS12</f>
        <v>4.1370183200000001E-2</v>
      </c>
      <c r="AT28" s="185">
        <f>AT12</f>
        <v>4.1450170800000005E-2</v>
      </c>
      <c r="AU28" s="185">
        <f>AU12</f>
        <v>4.15681044E-2</v>
      </c>
      <c r="AV28" s="185">
        <f>AV12</f>
        <v>4.1755693600000005E-2</v>
      </c>
      <c r="AW28" s="48"/>
    </row>
    <row r="29" spans="1:49" s="21" customFormat="1" ht="15">
      <c r="E29" s="47"/>
      <c r="H29" s="48"/>
      <c r="AJ29" s="7"/>
      <c r="AK29" s="7"/>
      <c r="AL29" s="7"/>
      <c r="AM29" s="7"/>
      <c r="AN29" s="7"/>
      <c r="AO29" s="7"/>
      <c r="AP29" s="7"/>
      <c r="AQ29" s="65"/>
      <c r="AR29" s="7"/>
      <c r="AS29" s="7"/>
      <c r="AT29" s="7"/>
      <c r="AU29" s="7"/>
      <c r="AV29" s="7"/>
      <c r="AW29" s="48"/>
    </row>
    <row r="30" spans="1:49" s="21" customFormat="1" ht="15">
      <c r="E30" s="47" t="s">
        <v>530</v>
      </c>
      <c r="G30" s="2" t="s">
        <v>105</v>
      </c>
      <c r="H30" s="48"/>
      <c r="AJ30" s="538"/>
      <c r="AK30" s="538"/>
      <c r="AL30" s="538"/>
      <c r="AM30" s="538"/>
      <c r="AN30" s="538"/>
      <c r="AO30" s="538"/>
      <c r="AP30" s="538"/>
      <c r="AQ30" s="385"/>
      <c r="AR30" s="538">
        <f t="shared" ref="AR30:AU30" si="7">AR27 * AR28</f>
        <v>58.698958921610206</v>
      </c>
      <c r="AS30" s="538">
        <f t="shared" si="7"/>
        <v>63.356341339402768</v>
      </c>
      <c r="AT30" s="538">
        <f t="shared" si="7"/>
        <v>66.53116527308822</v>
      </c>
      <c r="AU30" s="538">
        <f t="shared" si="7"/>
        <v>69.85988354507478</v>
      </c>
      <c r="AV30" s="538">
        <f>AV27 * AV28</f>
        <v>73.075053417787487</v>
      </c>
      <c r="AW30" s="48"/>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5">
      <c r="B32" s="51" t="s">
        <v>274</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5">
      <c r="B33" s="4" t="s">
        <v>928</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5">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5">
      <c r="C35" s="28" t="s">
        <v>929</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5">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5">
      <c r="B37" s="34"/>
      <c r="C37" s="34"/>
      <c r="D37" s="34"/>
      <c r="E37" s="34" t="s">
        <v>930</v>
      </c>
      <c r="F37" s="34"/>
      <c r="G37" s="2" t="s">
        <v>550</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5">
      <c r="C38" s="55"/>
      <c r="E38" s="41"/>
      <c r="J38" s="42"/>
      <c r="K38" s="42"/>
      <c r="L38" s="42"/>
      <c r="M38" s="42"/>
      <c r="N38" s="42"/>
      <c r="O38" s="42"/>
      <c r="P38" s="42"/>
      <c r="Q38" s="42"/>
      <c r="R38" s="42"/>
      <c r="S38" s="42"/>
      <c r="T38" s="42"/>
      <c r="U38" s="42"/>
      <c r="V38" s="42"/>
      <c r="W38" s="42"/>
      <c r="X38" s="42"/>
      <c r="Y38" s="42"/>
      <c r="Z38" s="42"/>
      <c r="AQ38" s="57"/>
    </row>
    <row r="39" spans="2:48" s="2" customFormat="1" ht="15">
      <c r="C39" s="28" t="s">
        <v>931</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5">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5">
      <c r="C41" s="73"/>
      <c r="E41" s="74" t="s">
        <v>932</v>
      </c>
      <c r="G41" s="2" t="s">
        <v>105</v>
      </c>
      <c r="J41" s="75"/>
      <c r="K41" s="75"/>
      <c r="L41" s="75"/>
      <c r="M41" s="75"/>
      <c r="N41" s="75"/>
      <c r="O41" s="75"/>
      <c r="P41" s="75"/>
      <c r="Q41" s="75"/>
      <c r="R41" s="75"/>
      <c r="S41" s="75"/>
      <c r="T41" s="75"/>
      <c r="U41" s="75"/>
      <c r="V41" s="75"/>
      <c r="W41" s="75"/>
      <c r="X41" s="75"/>
      <c r="Y41" s="75"/>
      <c r="Z41" s="75"/>
      <c r="AJ41" s="72">
        <f t="shared" ref="AJ41:AV41" si="8">(AJ55 - AJ63 - AJ73) * AJ$37</f>
        <v>1357.6034012245436</v>
      </c>
      <c r="AK41" s="72">
        <f t="shared" si="8"/>
        <v>0</v>
      </c>
      <c r="AL41" s="72">
        <f t="shared" si="8"/>
        <v>0</v>
      </c>
      <c r="AM41" s="72">
        <f t="shared" si="8"/>
        <v>0</v>
      </c>
      <c r="AN41" s="72">
        <f t="shared" si="8"/>
        <v>0</v>
      </c>
      <c r="AO41" s="72">
        <f t="shared" si="8"/>
        <v>0</v>
      </c>
      <c r="AP41" s="72">
        <f t="shared" si="8"/>
        <v>0</v>
      </c>
      <c r="AQ41" s="223">
        <f t="shared" si="8"/>
        <v>0</v>
      </c>
      <c r="AR41" s="72">
        <f t="shared" si="8"/>
        <v>0</v>
      </c>
      <c r="AS41" s="72">
        <f t="shared" si="8"/>
        <v>0</v>
      </c>
      <c r="AT41" s="72">
        <f t="shared" si="8"/>
        <v>0</v>
      </c>
      <c r="AU41" s="72">
        <f t="shared" si="8"/>
        <v>0</v>
      </c>
      <c r="AV41" s="72">
        <f t="shared" si="8"/>
        <v>0</v>
      </c>
    </row>
    <row r="42" spans="2:48" s="2" customFormat="1" ht="15">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5">
      <c r="D43" s="180"/>
      <c r="E43" s="56" t="s">
        <v>933</v>
      </c>
      <c r="G43" s="2" t="s">
        <v>105</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1357.6034012245436</v>
      </c>
      <c r="AK43" s="2">
        <f t="shared" si="9"/>
        <v>1387.738759712905</v>
      </c>
      <c r="AL43" s="2">
        <f t="shared" si="9"/>
        <v>1412.2767708730996</v>
      </c>
      <c r="AM43" s="2">
        <f t="shared" si="9"/>
        <v>1423.3902217105133</v>
      </c>
      <c r="AN43" s="2">
        <f t="shared" si="9"/>
        <v>1434.0616208310757</v>
      </c>
      <c r="AO43" s="2">
        <f t="shared" si="9"/>
        <v>1451.5331369769472</v>
      </c>
      <c r="AP43" s="2">
        <f t="shared" si="9"/>
        <v>1472.9263677197764</v>
      </c>
      <c r="AQ43" s="57">
        <f t="shared" si="9"/>
        <v>1484.8861205360483</v>
      </c>
      <c r="AR43" s="2">
        <f t="shared" si="9"/>
        <v>1486.6124877543512</v>
      </c>
      <c r="AS43" s="2">
        <f t="shared" si="9"/>
        <v>1526.3444167298512</v>
      </c>
      <c r="AT43" s="2">
        <f t="shared" si="9"/>
        <v>1600.1218742867916</v>
      </c>
      <c r="AU43" s="2">
        <f t="shared" si="9"/>
        <v>1676.7908188005997</v>
      </c>
      <c r="AV43" s="2">
        <f t="shared" si="9"/>
        <v>1754.453302430037</v>
      </c>
    </row>
    <row r="44" spans="2:48" s="2" customFormat="1" ht="15">
      <c r="E44" s="56" t="s">
        <v>934</v>
      </c>
      <c r="G44" s="2" t="s">
        <v>105</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152.1933132965795</v>
      </c>
      <c r="AK44" s="30">
        <f t="shared" si="10"/>
        <v>149.29665090420096</v>
      </c>
      <c r="AL44" s="30">
        <f t="shared" si="10"/>
        <v>137.40108385479559</v>
      </c>
      <c r="AM44" s="30">
        <f t="shared" si="10"/>
        <v>137.82070013287711</v>
      </c>
      <c r="AN44" s="30">
        <f t="shared" si="10"/>
        <v>144.79272984739924</v>
      </c>
      <c r="AO44" s="30">
        <f t="shared" si="10"/>
        <v>137.73435049766616</v>
      </c>
      <c r="AP44" s="30">
        <f t="shared" si="10"/>
        <v>127.41662175284937</v>
      </c>
      <c r="AQ44" s="218">
        <f t="shared" si="10"/>
        <v>115.22666816849804</v>
      </c>
      <c r="AR44" s="30">
        <f t="shared" ref="AR44:AV44" si="11">AR57</f>
        <v>151.17609100857942</v>
      </c>
      <c r="AS44" s="30">
        <f t="shared" si="11"/>
        <v>183.71082912625371</v>
      </c>
      <c r="AT44" s="30">
        <f t="shared" si="11"/>
        <v>186.12205620109611</v>
      </c>
      <c r="AU44" s="30">
        <f t="shared" si="11"/>
        <v>185.85907114125808</v>
      </c>
      <c r="AV44" s="30">
        <f t="shared" si="11"/>
        <v>170.79684263602633</v>
      </c>
    </row>
    <row r="45" spans="2:48" s="2" customFormat="1" ht="15">
      <c r="E45" s="56" t="s">
        <v>935</v>
      </c>
      <c r="G45" s="2" t="s">
        <v>105</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-122.05795480821823</v>
      </c>
      <c r="AK45" s="30">
        <f t="shared" si="12"/>
        <v>-124.7586397440064</v>
      </c>
      <c r="AL45" s="30">
        <f t="shared" si="12"/>
        <v>-126.28763301738198</v>
      </c>
      <c r="AM45" s="30">
        <f t="shared" si="12"/>
        <v>-127.14930101231468</v>
      </c>
      <c r="AN45" s="30">
        <f t="shared" si="12"/>
        <v>-127.32121370152787</v>
      </c>
      <c r="AO45" s="30">
        <f t="shared" si="12"/>
        <v>-116.34111975483691</v>
      </c>
      <c r="AP45" s="30">
        <f t="shared" si="12"/>
        <v>-115.45686893657734</v>
      </c>
      <c r="AQ45" s="218">
        <f t="shared" si="12"/>
        <v>-113.50030095019517</v>
      </c>
      <c r="AR45" s="30">
        <f t="shared" ref="AR45:AV45" si="13">-AR65</f>
        <v>-111.44416203307952</v>
      </c>
      <c r="AS45" s="30">
        <f t="shared" si="13"/>
        <v>-109.93337156931337</v>
      </c>
      <c r="AT45" s="30">
        <f t="shared" si="13"/>
        <v>-109.453111687288</v>
      </c>
      <c r="AU45" s="30">
        <f t="shared" si="13"/>
        <v>-108.19658751182081</v>
      </c>
      <c r="AV45" s="30">
        <f t="shared" si="13"/>
        <v>-106.68771856092478</v>
      </c>
    </row>
    <row r="46" spans="2:48" s="2" customFormat="1" ht="15">
      <c r="E46" s="56" t="s">
        <v>923</v>
      </c>
      <c r="G46" s="2" t="s">
        <v>105</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6">
        <f t="shared" ref="AJ46:AV46" si="14">SUM(AJ43:AJ45)</f>
        <v>1387.738759712905</v>
      </c>
      <c r="AK46" s="526">
        <f t="shared" si="14"/>
        <v>1412.2767708730996</v>
      </c>
      <c r="AL46" s="526">
        <f t="shared" si="14"/>
        <v>1423.3902217105133</v>
      </c>
      <c r="AM46" s="526">
        <f t="shared" si="14"/>
        <v>1434.0616208310757</v>
      </c>
      <c r="AN46" s="526">
        <f t="shared" si="14"/>
        <v>1451.5331369769472</v>
      </c>
      <c r="AO46" s="526">
        <f t="shared" si="14"/>
        <v>1472.9263677197764</v>
      </c>
      <c r="AP46" s="526">
        <f t="shared" si="14"/>
        <v>1484.8861205360483</v>
      </c>
      <c r="AQ46" s="531">
        <f t="shared" si="14"/>
        <v>1486.6124877543512</v>
      </c>
      <c r="AR46" s="526">
        <f t="shared" si="14"/>
        <v>1526.3444167298512</v>
      </c>
      <c r="AS46" s="526">
        <f t="shared" si="14"/>
        <v>1600.1218742867916</v>
      </c>
      <c r="AT46" s="526">
        <f t="shared" si="14"/>
        <v>1676.7908188005997</v>
      </c>
      <c r="AU46" s="526">
        <f t="shared" si="14"/>
        <v>1754.453302430037</v>
      </c>
      <c r="AV46" s="526">
        <f t="shared" si="14"/>
        <v>1818.5624265051385</v>
      </c>
    </row>
    <row r="47" spans="2:48" s="2" customFormat="1" ht="15">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5">
      <c r="C48" s="28" t="s">
        <v>936</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5">
      <c r="C49" s="4" t="s">
        <v>937</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5">
      <c r="C50" s="4" t="s">
        <v>938</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5">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5">
      <c r="D52" s="60" t="s">
        <v>939</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5">
      <c r="A53" s="7"/>
      <c r="E53" s="74" t="s">
        <v>932</v>
      </c>
      <c r="G53" s="2" t="s">
        <v>105</v>
      </c>
      <c r="J53" s="42"/>
      <c r="AJ53" s="79">
        <f>Depn!AJ45</f>
        <v>2599.433218968974</v>
      </c>
      <c r="AK53" s="79">
        <f>Depn!AK45</f>
        <v>0</v>
      </c>
      <c r="AL53" s="79">
        <f>Depn!AL45</f>
        <v>0</v>
      </c>
      <c r="AM53" s="79">
        <f>Depn!AM45</f>
        <v>0</v>
      </c>
      <c r="AN53" s="79">
        <f>Depn!AN45</f>
        <v>0</v>
      </c>
      <c r="AO53" s="79">
        <f>Depn!AO45</f>
        <v>0</v>
      </c>
      <c r="AP53" s="79">
        <f>Depn!AP45</f>
        <v>0</v>
      </c>
      <c r="AQ53" s="217">
        <f>Depn!AQ45</f>
        <v>0</v>
      </c>
      <c r="AR53" s="79">
        <f>Depn!AR45</f>
        <v>0</v>
      </c>
      <c r="AS53" s="79">
        <f>Depn!AS45</f>
        <v>0</v>
      </c>
      <c r="AT53" s="79">
        <f>Depn!AT45</f>
        <v>0</v>
      </c>
      <c r="AU53" s="79">
        <f>Depn!AU45</f>
        <v>0</v>
      </c>
      <c r="AV53" s="79">
        <f>Depn!AV45</f>
        <v>0</v>
      </c>
    </row>
    <row r="54" spans="1:48" s="7" customFormat="1" ht="15">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5">
      <c r="D55" s="2"/>
      <c r="E55" s="56" t="s">
        <v>940</v>
      </c>
      <c r="F55" s="2"/>
      <c r="G55" s="2" t="s">
        <v>105</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2599.433218968974</v>
      </c>
      <c r="AK55" s="2">
        <f t="shared" si="15"/>
        <v>2751.6265322655536</v>
      </c>
      <c r="AL55" s="2">
        <f t="shared" si="15"/>
        <v>2900.9231831697543</v>
      </c>
      <c r="AM55" s="2">
        <f t="shared" si="15"/>
        <v>3038.32426702455</v>
      </c>
      <c r="AN55" s="2">
        <f t="shared" si="15"/>
        <v>3176.1449671574269</v>
      </c>
      <c r="AO55" s="2">
        <f t="shared" si="15"/>
        <v>3320.9376970048261</v>
      </c>
      <c r="AP55" s="2">
        <f t="shared" si="15"/>
        <v>3458.6720475024922</v>
      </c>
      <c r="AQ55" s="57">
        <f t="shared" si="15"/>
        <v>3586.0886692553418</v>
      </c>
      <c r="AR55" s="2">
        <f t="shared" si="15"/>
        <v>3701.31533742384</v>
      </c>
      <c r="AS55" s="2">
        <f t="shared" si="15"/>
        <v>3852.4914284324195</v>
      </c>
      <c r="AT55" s="2">
        <f t="shared" si="15"/>
        <v>4036.2022575586734</v>
      </c>
      <c r="AU55" s="2">
        <f t="shared" si="15"/>
        <v>4222.3243137597692</v>
      </c>
      <c r="AV55" s="2">
        <f t="shared" si="15"/>
        <v>4408.1833849010272</v>
      </c>
    </row>
    <row r="56" spans="1:48" s="7" customFormat="1" ht="15">
      <c r="E56" s="56" t="s">
        <v>941</v>
      </c>
      <c r="F56" s="2"/>
      <c r="G56" s="2" t="s">
        <v>105</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2599.433218968974</v>
      </c>
      <c r="AK56" s="432">
        <f t="shared" si="16"/>
        <v>2751.6265322655536</v>
      </c>
      <c r="AL56" s="432">
        <f t="shared" si="16"/>
        <v>2900.9231831697543</v>
      </c>
      <c r="AM56" s="432">
        <f t="shared" si="16"/>
        <v>3038.32426702455</v>
      </c>
      <c r="AN56" s="432">
        <f t="shared" si="16"/>
        <v>3176.1449671574269</v>
      </c>
      <c r="AO56" s="432">
        <f t="shared" si="16"/>
        <v>3320.9376970048261</v>
      </c>
      <c r="AP56" s="432">
        <f t="shared" si="16"/>
        <v>3458.6720475024922</v>
      </c>
      <c r="AQ56" s="534">
        <f t="shared" si="16"/>
        <v>3586.0886692553418</v>
      </c>
      <c r="AR56" s="432">
        <f t="shared" si="16"/>
        <v>3701.31533742384</v>
      </c>
      <c r="AS56" s="432">
        <f t="shared" si="16"/>
        <v>3852.4914284324195</v>
      </c>
      <c r="AT56" s="432">
        <f t="shared" si="16"/>
        <v>4036.2022575586734</v>
      </c>
      <c r="AU56" s="432">
        <f t="shared" si="16"/>
        <v>4222.3243137597692</v>
      </c>
      <c r="AV56" s="432">
        <f t="shared" si="16"/>
        <v>4408.1833849010272</v>
      </c>
    </row>
    <row r="57" spans="1:48" s="7" customFormat="1" ht="15">
      <c r="E57" s="56" t="s">
        <v>934</v>
      </c>
      <c r="F57" s="2"/>
      <c r="G57" s="2" t="s">
        <v>105</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152.1933132965795</v>
      </c>
      <c r="AK57" s="8">
        <f>Depn!AK27</f>
        <v>149.29665090420096</v>
      </c>
      <c r="AL57" s="8">
        <f>Depn!AL27</f>
        <v>137.40108385479559</v>
      </c>
      <c r="AM57" s="8">
        <f>Depn!AM27</f>
        <v>137.82070013287711</v>
      </c>
      <c r="AN57" s="8">
        <f>Depn!AN27</f>
        <v>144.79272984739924</v>
      </c>
      <c r="AO57" s="8">
        <f>Depn!AO27</f>
        <v>137.73435049766616</v>
      </c>
      <c r="AP57" s="8">
        <f>Depn!AP27</f>
        <v>127.41662175284937</v>
      </c>
      <c r="AQ57" s="9">
        <f>Depn!AQ27</f>
        <v>115.22666816849804</v>
      </c>
      <c r="AR57" s="8">
        <f>Depn!AR27</f>
        <v>151.17609100857942</v>
      </c>
      <c r="AS57" s="8">
        <f>Depn!AS27</f>
        <v>183.71082912625371</v>
      </c>
      <c r="AT57" s="8">
        <f>Depn!AT27</f>
        <v>186.12205620109611</v>
      </c>
      <c r="AU57" s="8">
        <f>Depn!AU27</f>
        <v>185.85907114125808</v>
      </c>
      <c r="AV57" s="8">
        <f>Depn!AV27</f>
        <v>170.79684263602633</v>
      </c>
    </row>
    <row r="58" spans="1:48" s="7" customFormat="1" ht="15">
      <c r="E58" s="56" t="s">
        <v>942</v>
      </c>
      <c r="G58" s="2" t="s">
        <v>105</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2751.6265322655536</v>
      </c>
      <c r="AK58" s="431">
        <f t="shared" si="17"/>
        <v>2900.9231831697543</v>
      </c>
      <c r="AL58" s="431">
        <f t="shared" si="17"/>
        <v>3038.32426702455</v>
      </c>
      <c r="AM58" s="431">
        <f t="shared" si="17"/>
        <v>3176.1449671574269</v>
      </c>
      <c r="AN58" s="431">
        <f t="shared" si="17"/>
        <v>3320.9376970048261</v>
      </c>
      <c r="AO58" s="431">
        <f t="shared" si="17"/>
        <v>3458.6720475024922</v>
      </c>
      <c r="AP58" s="431">
        <f t="shared" si="17"/>
        <v>3586.0886692553418</v>
      </c>
      <c r="AQ58" s="533">
        <f t="shared" si="17"/>
        <v>3701.31533742384</v>
      </c>
      <c r="AR58" s="431">
        <f t="shared" si="17"/>
        <v>3852.4914284324195</v>
      </c>
      <c r="AS58" s="431">
        <f t="shared" si="17"/>
        <v>4036.2022575586734</v>
      </c>
      <c r="AT58" s="431">
        <f t="shared" si="17"/>
        <v>4222.3243137597692</v>
      </c>
      <c r="AU58" s="431">
        <f t="shared" si="17"/>
        <v>4408.1833849010272</v>
      </c>
      <c r="AV58" s="431">
        <f t="shared" si="17"/>
        <v>4578.9802275370539</v>
      </c>
    </row>
    <row r="59" spans="1:48" s="7" customFormat="1" ht="15">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5">
      <c r="D60" s="66" t="s">
        <v>886</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5">
      <c r="A61" s="7"/>
      <c r="E61" s="74" t="s">
        <v>943</v>
      </c>
      <c r="G61" s="2" t="s">
        <v>105</v>
      </c>
      <c r="J61" s="42"/>
      <c r="AJ61" s="79">
        <f>Depn!AJ46</f>
        <v>1216.3101961495033</v>
      </c>
      <c r="AK61" s="79">
        <f>Depn!AK46</f>
        <v>0</v>
      </c>
      <c r="AL61" s="79">
        <f>Depn!AL46</f>
        <v>0</v>
      </c>
      <c r="AM61" s="79">
        <f>Depn!AM46</f>
        <v>0</v>
      </c>
      <c r="AN61" s="79">
        <f>Depn!AN46</f>
        <v>0</v>
      </c>
      <c r="AO61" s="79">
        <f>Depn!AO46</f>
        <v>0</v>
      </c>
      <c r="AP61" s="79">
        <f>Depn!AP46</f>
        <v>0</v>
      </c>
      <c r="AQ61" s="217">
        <f>Depn!AQ46</f>
        <v>0</v>
      </c>
      <c r="AR61" s="79">
        <f>Depn!AR46</f>
        <v>0</v>
      </c>
      <c r="AS61" s="79">
        <f>Depn!AS46</f>
        <v>0</v>
      </c>
      <c r="AT61" s="79">
        <f>Depn!AT46</f>
        <v>0</v>
      </c>
      <c r="AU61" s="79">
        <f>Depn!AU46</f>
        <v>0</v>
      </c>
      <c r="AV61" s="79">
        <f>Depn!AV46</f>
        <v>0</v>
      </c>
    </row>
    <row r="62" spans="1:48" s="7" customFormat="1" ht="15">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5">
      <c r="D63" s="2"/>
      <c r="E63" s="56" t="s">
        <v>940</v>
      </c>
      <c r="F63" s="2"/>
      <c r="G63" s="2" t="s">
        <v>105</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1216.3101961495033</v>
      </c>
      <c r="AK63" s="2">
        <f t="shared" si="18"/>
        <v>1338.3681509577216</v>
      </c>
      <c r="AL63" s="2">
        <f t="shared" si="18"/>
        <v>1463.1267907017279</v>
      </c>
      <c r="AM63" s="2">
        <f t="shared" si="18"/>
        <v>1589.4144237191099</v>
      </c>
      <c r="AN63" s="2">
        <f t="shared" si="18"/>
        <v>1716.5637247314246</v>
      </c>
      <c r="AO63" s="2">
        <f t="shared" si="18"/>
        <v>1843.8849384329524</v>
      </c>
      <c r="AP63" s="2">
        <f t="shared" si="18"/>
        <v>1960.2260581877892</v>
      </c>
      <c r="AQ63" s="57">
        <f t="shared" si="18"/>
        <v>2075.6829271243664</v>
      </c>
      <c r="AR63" s="2">
        <f t="shared" si="18"/>
        <v>2189.1832280745616</v>
      </c>
      <c r="AS63" s="2">
        <f t="shared" si="18"/>
        <v>2300.6273901076411</v>
      </c>
      <c r="AT63" s="2">
        <f t="shared" si="18"/>
        <v>2410.5607616769544</v>
      </c>
      <c r="AU63" s="2">
        <f t="shared" si="18"/>
        <v>2520.0138733642425</v>
      </c>
      <c r="AV63" s="2">
        <f t="shared" si="18"/>
        <v>2628.2104608760633</v>
      </c>
    </row>
    <row r="64" spans="1:48" s="7" customFormat="1" ht="15">
      <c r="E64" s="56" t="s">
        <v>941</v>
      </c>
      <c r="G64" s="2" t="s">
        <v>105</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1216.3101961495033</v>
      </c>
      <c r="AK64" s="432">
        <f t="shared" si="19"/>
        <v>1338.3681509577216</v>
      </c>
      <c r="AL64" s="432">
        <f t="shared" si="19"/>
        <v>1463.1267907017279</v>
      </c>
      <c r="AM64" s="432">
        <f t="shared" si="19"/>
        <v>1589.4144237191099</v>
      </c>
      <c r="AN64" s="432">
        <f t="shared" si="19"/>
        <v>1716.5637247314246</v>
      </c>
      <c r="AO64" s="432">
        <f t="shared" si="19"/>
        <v>1843.8849384329524</v>
      </c>
      <c r="AP64" s="432">
        <f t="shared" si="19"/>
        <v>1960.2260581877892</v>
      </c>
      <c r="AQ64" s="534">
        <f t="shared" si="19"/>
        <v>2075.6829271243664</v>
      </c>
      <c r="AR64" s="432">
        <f t="shared" si="19"/>
        <v>2189.1832280745616</v>
      </c>
      <c r="AS64" s="432">
        <f t="shared" si="19"/>
        <v>2300.6273901076411</v>
      </c>
      <c r="AT64" s="432">
        <f t="shared" si="19"/>
        <v>2410.5607616769544</v>
      </c>
      <c r="AU64" s="432">
        <f t="shared" si="19"/>
        <v>2520.0138733642425</v>
      </c>
      <c r="AV64" s="432">
        <f t="shared" si="19"/>
        <v>2628.2104608760633</v>
      </c>
    </row>
    <row r="65" spans="1:48" s="7" customFormat="1" ht="15">
      <c r="E65" s="56" t="s">
        <v>935</v>
      </c>
      <c r="G65" s="2" t="s">
        <v>105</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122.05795480821823</v>
      </c>
      <c r="AK65" s="8">
        <f>SUM(Depn!AK29:AK31)</f>
        <v>124.7586397440064</v>
      </c>
      <c r="AL65" s="8">
        <f>SUM(Depn!AL29:AL31)</f>
        <v>126.28763301738198</v>
      </c>
      <c r="AM65" s="8">
        <f>SUM(Depn!AM29:AM31)</f>
        <v>127.14930101231468</v>
      </c>
      <c r="AN65" s="8">
        <f>SUM(Depn!AN29:AN31)</f>
        <v>127.32121370152787</v>
      </c>
      <c r="AO65" s="8">
        <f>SUM(Depn!AO29:AO31)</f>
        <v>116.34111975483691</v>
      </c>
      <c r="AP65" s="8">
        <f>SUM(Depn!AP29:AP31)</f>
        <v>115.45686893657734</v>
      </c>
      <c r="AQ65" s="9">
        <f>SUM(Depn!AQ29:AQ31)</f>
        <v>113.50030095019517</v>
      </c>
      <c r="AR65" s="8">
        <f>SUM(Depn!AR29:AR31)</f>
        <v>111.44416203307952</v>
      </c>
      <c r="AS65" s="8">
        <f>SUM(Depn!AS29:AS31)</f>
        <v>109.93337156931337</v>
      </c>
      <c r="AT65" s="8">
        <f>SUM(Depn!AT29:AT31)</f>
        <v>109.453111687288</v>
      </c>
      <c r="AU65" s="8">
        <f>SUM(Depn!AU29:AU31)</f>
        <v>108.19658751182081</v>
      </c>
      <c r="AV65" s="8">
        <f>SUM(Depn!AV29:AV31)</f>
        <v>106.68771856092478</v>
      </c>
    </row>
    <row r="66" spans="1:48" s="7" customFormat="1" ht="15">
      <c r="E66" s="56" t="s">
        <v>942</v>
      </c>
      <c r="G66" s="2" t="s">
        <v>105</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1338.3681509577216</v>
      </c>
      <c r="AK66" s="431">
        <f t="shared" si="20"/>
        <v>1463.1267907017279</v>
      </c>
      <c r="AL66" s="431">
        <f t="shared" si="20"/>
        <v>1589.4144237191099</v>
      </c>
      <c r="AM66" s="431">
        <f t="shared" si="20"/>
        <v>1716.5637247314246</v>
      </c>
      <c r="AN66" s="431">
        <f t="shared" si="20"/>
        <v>1843.8849384329524</v>
      </c>
      <c r="AO66" s="431">
        <f t="shared" si="20"/>
        <v>1960.2260581877892</v>
      </c>
      <c r="AP66" s="431">
        <f t="shared" si="20"/>
        <v>2075.6829271243664</v>
      </c>
      <c r="AQ66" s="533">
        <f t="shared" si="20"/>
        <v>2189.1832280745616</v>
      </c>
      <c r="AR66" s="431">
        <f t="shared" si="20"/>
        <v>2300.6273901076411</v>
      </c>
      <c r="AS66" s="431">
        <f t="shared" si="20"/>
        <v>2410.5607616769544</v>
      </c>
      <c r="AT66" s="431">
        <f t="shared" si="20"/>
        <v>2520.0138733642425</v>
      </c>
      <c r="AU66" s="431">
        <f t="shared" si="20"/>
        <v>2628.2104608760633</v>
      </c>
      <c r="AV66" s="431">
        <f t="shared" si="20"/>
        <v>2734.8981794369879</v>
      </c>
    </row>
    <row r="67" spans="1:48" s="7" customFormat="1" ht="15">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5">
      <c r="D68" s="62" t="s">
        <v>944</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5">
      <c r="D69" s="2"/>
      <c r="E69" s="41" t="s">
        <v>945</v>
      </c>
      <c r="G69" s="2" t="s">
        <v>105</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1551.8640383247784</v>
      </c>
      <c r="AS69" s="461">
        <f>AS58 - AS66</f>
        <v>1625.641495881719</v>
      </c>
      <c r="AT69" s="461">
        <f>AT58 - AT66</f>
        <v>1702.3104403955267</v>
      </c>
      <c r="AU69" s="461">
        <f>AU58 - AU66</f>
        <v>1779.972924024964</v>
      </c>
      <c r="AV69" s="461">
        <f>AV58 - AV66</f>
        <v>1844.082048100066</v>
      </c>
    </row>
    <row r="70" spans="1:48" s="7" customFormat="1" ht="15">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5">
      <c r="C71" s="28" t="s">
        <v>946</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5">
      <c r="E72" s="41"/>
      <c r="J72" s="42"/>
      <c r="K72" s="42"/>
      <c r="L72" s="42"/>
      <c r="M72" s="42"/>
      <c r="N72" s="42"/>
      <c r="O72" s="42"/>
      <c r="P72" s="42"/>
      <c r="Q72" s="42"/>
      <c r="R72" s="42"/>
      <c r="S72" s="42"/>
      <c r="T72" s="42"/>
      <c r="U72" s="42"/>
      <c r="V72" s="42"/>
      <c r="W72" s="42"/>
      <c r="X72" s="42"/>
      <c r="Y72" s="42"/>
      <c r="Z72" s="42"/>
      <c r="AQ72" s="57"/>
    </row>
    <row r="73" spans="1:48" s="2" customFormat="1" ht="15">
      <c r="E73" s="41" t="s">
        <v>275</v>
      </c>
      <c r="G73" s="2" t="s">
        <v>105</v>
      </c>
      <c r="I73" s="8">
        <f>InputSummary!I219</f>
        <v>25.519621594927063</v>
      </c>
      <c r="J73" s="42"/>
      <c r="K73" s="42"/>
      <c r="L73" s="42"/>
      <c r="M73" s="42"/>
      <c r="N73" s="42"/>
      <c r="O73" s="42"/>
      <c r="P73" s="42"/>
      <c r="Q73" s="42"/>
      <c r="R73" s="42"/>
      <c r="S73" s="42"/>
      <c r="T73" s="42"/>
      <c r="U73" s="42"/>
      <c r="V73" s="42"/>
      <c r="W73" s="42"/>
      <c r="X73" s="42"/>
      <c r="Y73" s="42"/>
      <c r="Z73" s="42"/>
      <c r="AJ73" s="2">
        <f>AJ$37*$I73</f>
        <v>25.519621594927063</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5">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5">
      <c r="A75" s="2"/>
      <c r="B75" s="37" t="s">
        <v>79</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107" priority="1">
      <formula>mac_sensitivity=2</formula>
    </cfRule>
    <cfRule type="expression" dxfId="106" priority="2">
      <formula>mac_sensitivity=1</formula>
    </cfRule>
  </conditionalFormatting>
  <conditionalFormatting sqref="AM3">
    <cfRule type="expression" dxfId="105"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2.xml>��< ? x m l   v e r s i o n = " 1 . 0 "   e n c o d i n g = " u t f - 1 6 " ? > < D a t a M a s h u p   x m l n s = " h t t p : / / s c h e m a s . m i c r o s o f t . c o m / D a t a M a s h u p " > A A A A A A w D A A B Q S w M E F A A C A A g A T 3 s e V x z I d W 6 l A A A A 9 g A A A B I A H A B D b 2 5 m a W c v U G F j a 2 F n Z S 5 4 b W w g o h g A K K A U A A A A A A A A A A A A A A A A A A A A A A A A A A A A h Y + 9 D o I w G E V f h X S n P 8 i g 5 K M k O r h I Y m J i X J t S o R G K o c X y b g 4 + k q 8 g R l E 3 x 3 v u G e 6 9 X 2 + Q D U 0 d X F R n d W t S x D B F g T K y L b Q p U 9 S 7 Y z h H G Y e t k C d R q m C U j U 0 G W 6 S o c u 6 c E O K 9 x 3 6 G 2 6 4 k E a W M H P L N T l a q E e g j 6 / 9 y q I 1 1 w k i F O O x f Y 3 i E G V v g m M a Y A p k g 5 N p 8 h W j c + 2 x / I K z 6 2 v W d 4 s q E 6 y W Q K Q J 5 f + A P U E s D B B Q A A g A I A E 9 7 H l d 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B P e x 5 X K I p H u A 4 A A A A R A A A A E w A c A E Z v c m 1 1 b G F z L 1 N l Y 3 R p b 2 4 x L m 0 g o h g A K K A U A A A A A A A A A A A A A A A A A A A A A A A A A A A A K 0 5 N L s n M z 1 M I h t C G 1 g B Q S w E C L Q A U A A I A C A B P e x 5 X H M h 1 b q U A A A D 2 A A A A E g A A A A A A A A A A A A A A A A A A A A A A Q 2 9 u Z m l n L 1 B h Y 2 t h Z 2 U u e G 1 s U E s B A i 0 A F A A C A A g A T 3 s e V 1 N y O C y b A A A A 4 Q A A A B M A A A A A A A A A A A A A A A A A 8 Q A A A F t D b 2 5 0 Z W 5 0 X 1 R 5 c G V z X S 5 4 b W x Q S w E C L Q A U A A I A C A B P e x 5 X 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J g 0 4 N P k p N 5 P u 2 9 F e 3 D n L 9 A A A A A A A g A A A A A A A 2 Y A A M A A A A A Q A A A A j r Q 5 2 F K M 7 x v X i b j c I u / s / g A A A A A E g A A A o A A A A B A A A A A Q G J e + E w t S p w h H H b M E O Z C G U A A A A M D i T E Y U 6 J s k M o U Z g o A G Q B P 2 G I m e g N v R C b U L d s b M + G I c Y 2 K 7 Y 6 i F z 3 1 T p 2 Y S h m 4 x T 5 j U M x m I b O N d M d / m y r i q w o 3 C M I 1 q b 6 x I u P 1 v 5 / / i o S U C F A A A A M K b h P / P 5 i V O R z j p M y N V w X k U y b y / < / D a t a M a s h u p > 
</file>

<file path=customXml/itemProps1.xml><?xml version="1.0" encoding="utf-8"?>
<ds:datastoreItem xmlns:ds="http://schemas.openxmlformats.org/officeDocument/2006/customXml" ds:itemID="{51DB1738-50F6-4DD9-B2C2-1D88F8C49C75}">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A092E8BC-996F-4634-A148-0F059D409F4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2023-12-06T10:25:38Z</dcterms:created>
  <dcterms:modified xsi:type="dcterms:W3CDTF">2023-12-21T16:20:44Z</dcterms:modified>
  <cp:category/>
  <cp:contentStatus/>
</cp:coreProperties>
</file>