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60" windowWidth="15645" windowHeight="8505" tabRatio="847"/>
  </bookViews>
  <sheets>
    <sheet name="RFPR cover" sheetId="13" r:id="rId1"/>
    <sheet name="Data" sheetId="28" r:id="rId2"/>
    <sheet name="Content &amp; Version Control" sheetId="21" r:id="rId3"/>
    <sheet name="R1 - RoRE" sheetId="1" r:id="rId4"/>
    <sheet name="R2 - Revenue" sheetId="4" r:id="rId5"/>
    <sheet name="R3 - Rec to totex" sheetId="15" r:id="rId6"/>
    <sheet name="R4 - Totex" sheetId="2" r:id="rId7"/>
    <sheet name="R5 - Output Incentives" sheetId="5" r:id="rId8"/>
    <sheet name="R6 - Innovation" sheetId="3" r:id="rId9"/>
    <sheet name="R7 - Financing" sheetId="17" r:id="rId10"/>
    <sheet name="R8 - Net Debt" sheetId="27" r:id="rId11"/>
    <sheet name="R9 - RAV" sheetId="10" r:id="rId12"/>
    <sheet name="R10 - Tax" sheetId="29" r:id="rId13"/>
    <sheet name="R11 - Dividends" sheetId="11" r:id="rId14"/>
    <sheet name="R12 - Pensions" sheetId="19" r:id="rId15"/>
    <sheet name="R13 - Other Activities " sheetId="20" r:id="rId16"/>
  </sheets>
  <externalReferences>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2">#REF!</definedName>
    <definedName name="ANIA" localSheetId="10">#REF!</definedName>
    <definedName name="ANIA">#REF!</definedName>
    <definedName name="AR" localSheetId="12">#REF!</definedName>
    <definedName name="AR" localSheetId="10">#REF!</definedName>
    <definedName name="AR">#REF!</definedName>
    <definedName name="ARCMt">'[1]R4 Licence Condition Values'!$G$32:$N$32</definedName>
    <definedName name="ARtDR5">'[1]R5 Input Page'!$E$48:$F$48</definedName>
    <definedName name="AUM">'[1]R5 Input Page'!$G$133:$N$133</definedName>
    <definedName name="BM" localSheetId="12">#REF!</definedName>
    <definedName name="BM" localSheetId="10">#REF!</definedName>
    <definedName name="BM">#REF!</definedName>
    <definedName name="BMt_2">'[1]R5 Input Page'!$E$65:$F$65</definedName>
    <definedName name="Bond_or_Loan_Type_List">[2]!Bond_or_loan_type_table[[#All],[Column1]]</definedName>
    <definedName name="BPC">'[1]R5 Input Page'!$G$123:$N$123</definedName>
    <definedName name="BR" localSheetId="12">#REF!</definedName>
    <definedName name="BR" localSheetId="10">#REF!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2">#REF!</definedName>
    <definedName name="CIIS" localSheetId="10">#REF!</definedName>
    <definedName name="CIIS">#REF!</definedName>
    <definedName name="CIM">'[1]R5 Input Page'!$G$71:$N$71</definedName>
    <definedName name="CM" localSheetId="12">#REF!</definedName>
    <definedName name="CM" localSheetId="10">#REF!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2">#REF!</definedName>
    <definedName name="CMLISt" localSheetId="10">#REF!</definedName>
    <definedName name="CMLISt">#REF!</definedName>
    <definedName name="CMP" localSheetId="12">#REF!</definedName>
    <definedName name="CMP" localSheetId="10">#REF!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2">#REF!</definedName>
    <definedName name="CS" localSheetId="10">#REF!</definedName>
    <definedName name="CS">#REF!</definedName>
    <definedName name="CSA" localSheetId="12">#REF!</definedName>
    <definedName name="CSA" localSheetId="10">#REF!</definedName>
    <definedName name="CSA">#REF!</definedName>
    <definedName name="CSADt">'[1]R4 Licence Condition Values'!$G$25:$N$25</definedName>
    <definedName name="CSAUt">'[1]R4 Licence Condition Values'!$G$19:$N$19</definedName>
    <definedName name="CSB" localSheetId="12">#REF!</definedName>
    <definedName name="CSB" localSheetId="10">#REF!</definedName>
    <definedName name="CSB">#REF!</definedName>
    <definedName name="CSBDt">'[1]R4 Licence Condition Values'!$G$28:$N$28</definedName>
    <definedName name="CSBUt">'[1]R4 Licence Condition Values'!$G$21:$N$21</definedName>
    <definedName name="CSC" localSheetId="12">#REF!</definedName>
    <definedName name="CSC" localSheetId="10">#REF!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2">#REF!</definedName>
    <definedName name="ICE" localSheetId="10">#REF!</definedName>
    <definedName name="ICE">#REF!</definedName>
    <definedName name="ICEO">'[1]R5 Input Page'!$G$106:$N$106</definedName>
    <definedName name="IP" localSheetId="12">#REF!</definedName>
    <definedName name="IP" localSheetId="10">#REF!</definedName>
    <definedName name="IP">#REF!</definedName>
    <definedName name="IQ" localSheetId="12">#REF!</definedName>
    <definedName name="IQ" localSheetId="10">#REF!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2">#REF!</definedName>
    <definedName name="LCN" localSheetId="10">#REF!</definedName>
    <definedName name="LCN">#REF!</definedName>
    <definedName name="LCN1t">'[1]R5 Input Page'!$G$129:$N$129</definedName>
    <definedName name="LCN2t">'[1]R5 Input Page'!$G$128:$N$128</definedName>
    <definedName name="LDR" localSheetId="12">#REF!</definedName>
    <definedName name="LDR" localSheetId="10">#REF!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2">#REF!</definedName>
    <definedName name="NIA" localSheetId="10">#REF!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2">'Content &amp; Version Control'!$A$1:$H$19</definedName>
    <definedName name="_xlnm.Print_Area" localSheetId="13">'R11 - Dividends'!$A$1:$L$15</definedName>
    <definedName name="_xlnm.Print_Area" localSheetId="14">'R12 - Pensions'!$A$1:$K$40</definedName>
    <definedName name="_xlnm.Print_Area" localSheetId="4">'R2 - Revenue'!$A$1:$L$71</definedName>
    <definedName name="_xlnm.Print_Area" localSheetId="5">'R3 - Rec to totex'!$A$1:$K$83</definedName>
    <definedName name="_xlnm.Print_Area" localSheetId="6">'R4 - Totex'!$A$1:$N$165</definedName>
    <definedName name="_xlnm.Print_Area" localSheetId="7">'R5 - Output Incentives'!$A$1:$L$114</definedName>
    <definedName name="_xlnm.Print_Area" localSheetId="8">'R6 - Innovation'!$A$1:$L$28</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2">#REF!</definedName>
    <definedName name="QA" localSheetId="10">#REF!</definedName>
    <definedName name="QA">#REF!</definedName>
    <definedName name="QB" localSheetId="12">#REF!</definedName>
    <definedName name="QB" localSheetId="10">#REF!</definedName>
    <definedName name="QB">#REF!</definedName>
    <definedName name="QC" localSheetId="12">#REF!</definedName>
    <definedName name="QC" localSheetId="10">#REF!</definedName>
    <definedName name="QC">#REF!</definedName>
    <definedName name="QD" localSheetId="12">#REF!</definedName>
    <definedName name="QD" localSheetId="10">#REF!</definedName>
    <definedName name="QD">#REF!</definedName>
    <definedName name="QZ" localSheetId="12">#REF!</definedName>
    <definedName name="QZ" localSheetId="10">#REF!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2">#REF!</definedName>
    <definedName name="REV" localSheetId="10">#REF!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2">#REF!</definedName>
    <definedName name="SWE" localSheetId="10">#REF!</definedName>
    <definedName name="SWE">#REF!</definedName>
    <definedName name="SWPD">'[1]R5 Input Page'!$G$99:$N$99</definedName>
    <definedName name="SWPM">'[1]R5 Input Page'!$G$98:$N$98</definedName>
    <definedName name="TA" localSheetId="12">#REF!</definedName>
    <definedName name="TA" localSheetId="10">#REF!</definedName>
    <definedName name="TA">#REF!</definedName>
    <definedName name="TAP" localSheetId="12">#REF!</definedName>
    <definedName name="TAP" localSheetId="10">#REF!</definedName>
    <definedName name="TAP">#REF!</definedName>
    <definedName name="TAUt">'[1]R4 Licence Condition Values'!$G$36:$N$36</definedName>
    <definedName name="TB">'[1]R8 Pass-Through Items'!$G$46:$N$46</definedName>
    <definedName name="TBd" localSheetId="12">#REF!</definedName>
    <definedName name="TBd" localSheetId="10">#REF!</definedName>
    <definedName name="TBd">#REF!</definedName>
    <definedName name="TBP" localSheetId="12">#REF!</definedName>
    <definedName name="TBP" localSheetId="10">#REF!</definedName>
    <definedName name="TBP">#REF!</definedName>
    <definedName name="TBUt">'[1]R4 Licence Condition Values'!$G$39:$N$39</definedName>
    <definedName name="TCA" localSheetId="12">#REF!</definedName>
    <definedName name="TCA" localSheetId="10">#REF!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2">#REF!</definedName>
    <definedName name="TCB" localSheetId="10">#REF!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2">#REF!</definedName>
    <definedName name="TQA" localSheetId="10">#REF!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2">#REF!</definedName>
    <definedName name="TQB" localSheetId="10">#REF!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2">#REF!</definedName>
    <definedName name="TRT" localSheetId="10">#REF!</definedName>
    <definedName name="TRT">#REF!</definedName>
    <definedName name="TRU" localSheetId="12">#REF!</definedName>
    <definedName name="TRU" localSheetId="10">#REF!</definedName>
    <definedName name="TRU">#REF!</definedName>
    <definedName name="TTC" localSheetId="12">#REF!</definedName>
    <definedName name="TTC" localSheetId="10">#REF!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29" l="1"/>
  <c r="K25" i="2" l="1"/>
  <c r="G20" i="10" l="1"/>
  <c r="F20" i="10"/>
  <c r="E20" i="10"/>
  <c r="D20" i="10"/>
  <c r="I20" i="10" l="1"/>
  <c r="H20" i="10"/>
  <c r="K20" i="10" l="1"/>
  <c r="J20" i="10"/>
  <c r="K86" i="29" l="1"/>
  <c r="J86" i="29"/>
  <c r="I86" i="29"/>
  <c r="H86" i="29"/>
  <c r="B21" i="1" l="1"/>
  <c r="B3" i="1" l="1"/>
  <c r="E63" i="29" l="1"/>
  <c r="F63" i="29"/>
  <c r="G63" i="29"/>
  <c r="D63" i="29"/>
  <c r="M47" i="17" l="1"/>
  <c r="K21" i="20" l="1"/>
  <c r="J21" i="20"/>
  <c r="I21" i="20"/>
  <c r="H21" i="20"/>
  <c r="G21" i="20"/>
  <c r="F21" i="20"/>
  <c r="E21" i="20"/>
  <c r="D21" i="20"/>
  <c r="K16" i="20"/>
  <c r="J16" i="20"/>
  <c r="I16" i="20"/>
  <c r="H16" i="20"/>
  <c r="G16" i="20"/>
  <c r="F16" i="20"/>
  <c r="E16" i="20"/>
  <c r="D16" i="20"/>
  <c r="K14" i="20"/>
  <c r="J14" i="20"/>
  <c r="I14" i="20"/>
  <c r="H14" i="20"/>
  <c r="G14" i="20"/>
  <c r="F14" i="20"/>
  <c r="E14" i="20"/>
  <c r="D14" i="20"/>
  <c r="A3" i="20"/>
  <c r="A2" i="20"/>
  <c r="K19" i="19"/>
  <c r="J19" i="19"/>
  <c r="I19" i="19"/>
  <c r="H19" i="19"/>
  <c r="G19" i="19"/>
  <c r="F19" i="19"/>
  <c r="E19" i="19"/>
  <c r="D19" i="19"/>
  <c r="A3" i="19"/>
  <c r="A2" i="19"/>
  <c r="K13" i="11"/>
  <c r="J13" i="11"/>
  <c r="I13" i="11"/>
  <c r="H13" i="11"/>
  <c r="G13" i="11"/>
  <c r="F13" i="11"/>
  <c r="E13" i="11"/>
  <c r="D13" i="11"/>
  <c r="B3" i="11"/>
  <c r="A3" i="11"/>
  <c r="A2" i="11"/>
  <c r="K81" i="29"/>
  <c r="J81" i="29"/>
  <c r="I81" i="29"/>
  <c r="H81" i="29"/>
  <c r="G81" i="29"/>
  <c r="F81" i="29"/>
  <c r="E81" i="29"/>
  <c r="D81" i="29"/>
  <c r="K75" i="29"/>
  <c r="J75" i="29"/>
  <c r="I75" i="29"/>
  <c r="H75" i="29"/>
  <c r="G75" i="29"/>
  <c r="F75" i="29"/>
  <c r="E75" i="29"/>
  <c r="D75" i="29"/>
  <c r="K19" i="29"/>
  <c r="J19" i="29"/>
  <c r="I19" i="29"/>
  <c r="H19" i="29"/>
  <c r="G19" i="29"/>
  <c r="F19" i="29"/>
  <c r="E19" i="29"/>
  <c r="D19" i="29"/>
  <c r="A3" i="29"/>
  <c r="A2" i="29"/>
  <c r="K31" i="10"/>
  <c r="J31" i="10"/>
  <c r="I31" i="10"/>
  <c r="H31" i="10"/>
  <c r="G31" i="10"/>
  <c r="F31" i="10"/>
  <c r="E31" i="10"/>
  <c r="D31" i="10"/>
  <c r="K28" i="10"/>
  <c r="J28" i="10"/>
  <c r="I28" i="10"/>
  <c r="H28" i="10"/>
  <c r="G28" i="10"/>
  <c r="F28" i="10"/>
  <c r="E28" i="10"/>
  <c r="D28" i="10"/>
  <c r="K24" i="10"/>
  <c r="J24" i="10"/>
  <c r="I24" i="10"/>
  <c r="H24" i="10"/>
  <c r="G24" i="10"/>
  <c r="F24" i="10"/>
  <c r="E24" i="10"/>
  <c r="D24" i="10"/>
  <c r="K21" i="10"/>
  <c r="J21" i="10"/>
  <c r="I21" i="10"/>
  <c r="H21" i="10"/>
  <c r="G21" i="10"/>
  <c r="F21" i="10"/>
  <c r="E21" i="10"/>
  <c r="D21" i="10"/>
  <c r="D18" i="10"/>
  <c r="A3" i="10"/>
  <c r="A2" i="10"/>
  <c r="I8" i="27"/>
  <c r="K52" i="27"/>
  <c r="J52" i="27"/>
  <c r="I52" i="27"/>
  <c r="H52" i="27"/>
  <c r="G52" i="27"/>
  <c r="F52" i="27"/>
  <c r="E52" i="27"/>
  <c r="D52" i="27"/>
  <c r="B3" i="27"/>
  <c r="A3" i="27"/>
  <c r="A2" i="27"/>
  <c r="J55" i="17"/>
  <c r="M53" i="17"/>
  <c r="M52" i="17"/>
  <c r="M51" i="17"/>
  <c r="M50" i="17"/>
  <c r="M49" i="17"/>
  <c r="M48" i="17"/>
  <c r="G55" i="17"/>
  <c r="F55" i="17"/>
  <c r="E55" i="17"/>
  <c r="L6" i="17"/>
  <c r="B3" i="17"/>
  <c r="A3" i="17"/>
  <c r="A2" i="17"/>
  <c r="K17" i="3"/>
  <c r="J17" i="3"/>
  <c r="I17" i="3"/>
  <c r="I18" i="4" s="1"/>
  <c r="G17" i="3"/>
  <c r="G18" i="4" s="1"/>
  <c r="F17" i="3"/>
  <c r="F18" i="4" s="1"/>
  <c r="E17" i="3"/>
  <c r="D17" i="3"/>
  <c r="K12" i="3"/>
  <c r="K17" i="4" s="1"/>
  <c r="J12" i="3"/>
  <c r="I12" i="3"/>
  <c r="I17" i="4" s="1"/>
  <c r="G12" i="3"/>
  <c r="G17" i="4" s="1"/>
  <c r="F12" i="3"/>
  <c r="E12" i="3"/>
  <c r="D12" i="3"/>
  <c r="B3" i="3"/>
  <c r="A3" i="3"/>
  <c r="A2" i="3"/>
  <c r="A111" i="5"/>
  <c r="A110" i="5"/>
  <c r="A109" i="5"/>
  <c r="A108" i="5"/>
  <c r="A107" i="5"/>
  <c r="A106" i="5"/>
  <c r="A105" i="5"/>
  <c r="I102" i="5"/>
  <c r="I15" i="4" s="1"/>
  <c r="H102" i="5"/>
  <c r="H15" i="4" s="1"/>
  <c r="G102" i="5"/>
  <c r="F102" i="5"/>
  <c r="E102" i="5"/>
  <c r="D102" i="5"/>
  <c r="D15" i="4" s="1"/>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G61" i="5"/>
  <c r="F61" i="5"/>
  <c r="E61" i="5"/>
  <c r="D61" i="5"/>
  <c r="A61" i="5"/>
  <c r="K57" i="5"/>
  <c r="J57" i="5"/>
  <c r="I57" i="5"/>
  <c r="G57" i="5"/>
  <c r="F57" i="5"/>
  <c r="E57" i="5"/>
  <c r="D57" i="5"/>
  <c r="A57" i="5"/>
  <c r="K53" i="5"/>
  <c r="J53" i="5"/>
  <c r="I53" i="5"/>
  <c r="G53" i="5"/>
  <c r="F53" i="5"/>
  <c r="E53" i="5"/>
  <c r="D53" i="5"/>
  <c r="A53" i="5"/>
  <c r="K49" i="5"/>
  <c r="J49" i="5"/>
  <c r="I49" i="5"/>
  <c r="G49" i="5"/>
  <c r="F49" i="5"/>
  <c r="E49" i="5"/>
  <c r="D49" i="5"/>
  <c r="A49" i="5"/>
  <c r="A45" i="5"/>
  <c r="A44" i="5"/>
  <c r="A43" i="5"/>
  <c r="A42" i="5"/>
  <c r="A41" i="5"/>
  <c r="A40" i="5"/>
  <c r="A39" i="5"/>
  <c r="A25" i="5"/>
  <c r="A24" i="5"/>
  <c r="A23" i="5"/>
  <c r="A22" i="5"/>
  <c r="A21" i="5"/>
  <c r="K18" i="5"/>
  <c r="J18" i="5"/>
  <c r="I18" i="5"/>
  <c r="G18" i="5"/>
  <c r="F18" i="5"/>
  <c r="E18" i="5"/>
  <c r="D18" i="5"/>
  <c r="M17" i="5"/>
  <c r="M16" i="5"/>
  <c r="M15"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G28" i="2"/>
  <c r="F28" i="2"/>
  <c r="E28" i="2"/>
  <c r="D28" i="2"/>
  <c r="M27" i="2"/>
  <c r="M26" i="2"/>
  <c r="M24" i="2"/>
  <c r="M23" i="2"/>
  <c r="M22" i="2"/>
  <c r="K16" i="2"/>
  <c r="J16" i="2"/>
  <c r="I16" i="2"/>
  <c r="H16" i="2"/>
  <c r="G16" i="2"/>
  <c r="F16" i="2"/>
  <c r="E16" i="2"/>
  <c r="D16" i="2"/>
  <c r="K14" i="2"/>
  <c r="J14" i="2"/>
  <c r="I14" i="2"/>
  <c r="H14" i="2"/>
  <c r="G14" i="2"/>
  <c r="F14" i="2"/>
  <c r="E14" i="2"/>
  <c r="D14" i="2"/>
  <c r="M13" i="2"/>
  <c r="M12" i="2"/>
  <c r="L6" i="2"/>
  <c r="A3" i="2"/>
  <c r="A2" i="2"/>
  <c r="K80" i="15"/>
  <c r="J80" i="15"/>
  <c r="K78" i="15"/>
  <c r="J78" i="15"/>
  <c r="I78" i="15"/>
  <c r="H78" i="15"/>
  <c r="G78" i="15"/>
  <c r="F78" i="15"/>
  <c r="E78" i="15"/>
  <c r="D78" i="15"/>
  <c r="K48" i="15"/>
  <c r="J48" i="15"/>
  <c r="K46" i="15"/>
  <c r="J46" i="15"/>
  <c r="I46" i="15"/>
  <c r="H46" i="15"/>
  <c r="G46" i="15"/>
  <c r="F46" i="15"/>
  <c r="E46" i="15"/>
  <c r="D46" i="15"/>
  <c r="K23" i="15"/>
  <c r="J23" i="15"/>
  <c r="K18" i="15"/>
  <c r="J18" i="15"/>
  <c r="I18" i="15"/>
  <c r="I23" i="15" s="1"/>
  <c r="H18" i="15"/>
  <c r="H23" i="15" s="1"/>
  <c r="G18" i="15"/>
  <c r="G23" i="15" s="1"/>
  <c r="F18" i="15"/>
  <c r="F23" i="15" s="1"/>
  <c r="E18" i="15"/>
  <c r="E23" i="15" s="1"/>
  <c r="D18" i="15"/>
  <c r="D23" i="15" s="1"/>
  <c r="A3" i="15"/>
  <c r="A2" i="15"/>
  <c r="K68" i="4"/>
  <c r="J68" i="4"/>
  <c r="K66" i="4"/>
  <c r="J66" i="4"/>
  <c r="K64" i="4"/>
  <c r="J64" i="4"/>
  <c r="H64" i="4"/>
  <c r="G64" i="4"/>
  <c r="F64" i="4"/>
  <c r="E64" i="4"/>
  <c r="D64" i="4"/>
  <c r="K45" i="4"/>
  <c r="J45" i="4"/>
  <c r="H45" i="4"/>
  <c r="G45" i="4"/>
  <c r="G66" i="4" s="1"/>
  <c r="G68" i="4" s="1"/>
  <c r="F45" i="4"/>
  <c r="F66" i="4" s="1"/>
  <c r="F68" i="4" s="1"/>
  <c r="E45" i="4"/>
  <c r="E66" i="4" s="1"/>
  <c r="E68" i="4" s="1"/>
  <c r="D45" i="4"/>
  <c r="K28" i="4"/>
  <c r="J28" i="4"/>
  <c r="K18" i="4"/>
  <c r="J18" i="4"/>
  <c r="E18" i="4"/>
  <c r="D18" i="4"/>
  <c r="J17" i="4"/>
  <c r="F17" i="4"/>
  <c r="E17" i="4"/>
  <c r="D17" i="4"/>
  <c r="G15" i="4"/>
  <c r="F15" i="4"/>
  <c r="E15" i="4"/>
  <c r="K14" i="4"/>
  <c r="J14" i="4"/>
  <c r="I14" i="4"/>
  <c r="G14" i="4"/>
  <c r="F14" i="4"/>
  <c r="E14" i="4"/>
  <c r="D14" i="4"/>
  <c r="A3" i="4"/>
  <c r="A2" i="4"/>
  <c r="B42" i="1"/>
  <c r="B39" i="1"/>
  <c r="B38" i="1"/>
  <c r="B37" i="1"/>
  <c r="B31" i="1"/>
  <c r="B30" i="1"/>
  <c r="B23" i="1"/>
  <c r="B22" i="1"/>
  <c r="B20" i="1"/>
  <c r="B19" i="1"/>
  <c r="B18" i="1"/>
  <c r="B12" i="1"/>
  <c r="B11" i="1"/>
  <c r="M6" i="1"/>
  <c r="A3" i="1"/>
  <c r="A2" i="1"/>
  <c r="A3" i="21"/>
  <c r="A2" i="21"/>
  <c r="E202" i="28"/>
  <c r="B202" i="28"/>
  <c r="E192" i="28"/>
  <c r="B192" i="28"/>
  <c r="F156" i="28" s="1"/>
  <c r="E182" i="28"/>
  <c r="B182" i="28"/>
  <c r="F159" i="28"/>
  <c r="F158" i="28"/>
  <c r="F155"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C14" i="13" s="1"/>
  <c r="C42" i="2" s="1"/>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I43" i="28"/>
  <c r="E42" i="28"/>
  <c r="F42" i="28" s="1"/>
  <c r="F38" i="28"/>
  <c r="G38" i="28" s="1"/>
  <c r="H38" i="28" s="1"/>
  <c r="I38" i="28" s="1"/>
  <c r="J38" i="28" s="1"/>
  <c r="E38" i="28"/>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I55" i="17" l="1"/>
  <c r="I48" i="15"/>
  <c r="E31" i="2"/>
  <c r="K55" i="17"/>
  <c r="F48" i="15"/>
  <c r="F80" i="15" s="1"/>
  <c r="E48" i="15"/>
  <c r="E80" i="15" s="1"/>
  <c r="D48" i="15"/>
  <c r="D80" i="15" s="1"/>
  <c r="G48" i="15"/>
  <c r="G80" i="15" s="1"/>
  <c r="H48" i="15"/>
  <c r="I26" i="4"/>
  <c r="I28" i="4" s="1"/>
  <c r="D29" i="10"/>
  <c r="M14" i="2"/>
  <c r="F31" i="2"/>
  <c r="G42" i="28"/>
  <c r="H42" i="28" s="1"/>
  <c r="I42" i="28" s="1"/>
  <c r="J42" i="28" s="1"/>
  <c r="F26" i="28"/>
  <c r="E156" i="28"/>
  <c r="M69" i="5"/>
  <c r="M73" i="5"/>
  <c r="M65" i="5"/>
  <c r="J18" i="2"/>
  <c r="H55" i="17"/>
  <c r="I28" i="17"/>
  <c r="I30" i="17" s="1"/>
  <c r="I33" i="17" s="1"/>
  <c r="J28" i="17"/>
  <c r="J30" i="17" s="1"/>
  <c r="J33" i="17" s="1"/>
  <c r="K8" i="27"/>
  <c r="F28" i="17"/>
  <c r="F30" i="17" s="1"/>
  <c r="F33" i="17" s="1"/>
  <c r="E28" i="17"/>
  <c r="E30" i="17" s="1"/>
  <c r="E33" i="17" s="1"/>
  <c r="G28" i="17"/>
  <c r="G30" i="17" s="1"/>
  <c r="G33" i="17" s="1"/>
  <c r="D23" i="27"/>
  <c r="D42" i="27" s="1"/>
  <c r="H8" i="27"/>
  <c r="F26" i="4"/>
  <c r="F28" i="4" s="1"/>
  <c r="E26" i="4"/>
  <c r="E28" i="4" s="1"/>
  <c r="G26" i="4"/>
  <c r="G28" i="4" s="1"/>
  <c r="D26" i="4"/>
  <c r="D28" i="4" s="1"/>
  <c r="D19" i="2"/>
  <c r="G19" i="2"/>
  <c r="D66" i="4"/>
  <c r="D68" i="4" s="1"/>
  <c r="I83" i="29"/>
  <c r="I87" i="29" s="1"/>
  <c r="F83" i="29"/>
  <c r="F87" i="29" s="1"/>
  <c r="J83" i="29"/>
  <c r="J87" i="29" s="1"/>
  <c r="E83" i="29"/>
  <c r="E87" i="29" s="1"/>
  <c r="G83" i="29"/>
  <c r="G87" i="29" s="1"/>
  <c r="K83" i="29"/>
  <c r="K87" i="29" s="1"/>
  <c r="D83" i="29"/>
  <c r="D87" i="29" s="1"/>
  <c r="H83" i="29"/>
  <c r="H87" i="29" s="1"/>
  <c r="I59" i="2"/>
  <c r="K46" i="2"/>
  <c r="G18" i="2"/>
  <c r="K18" i="2"/>
  <c r="G30" i="2"/>
  <c r="F47" i="2"/>
  <c r="G31" i="2"/>
  <c r="E46" i="2"/>
  <c r="E62" i="2" s="1"/>
  <c r="I46" i="2"/>
  <c r="I62" i="2" s="1"/>
  <c r="E59" i="2"/>
  <c r="E6" i="15"/>
  <c r="D5" i="15"/>
  <c r="E154" i="28"/>
  <c r="E159" i="28"/>
  <c r="C51" i="1"/>
  <c r="C55" i="1"/>
  <c r="C61" i="1"/>
  <c r="C11" i="4"/>
  <c r="J59" i="29"/>
  <c r="F59" i="29"/>
  <c r="J42" i="10"/>
  <c r="F42" i="10"/>
  <c r="I65" i="27"/>
  <c r="E65" i="27"/>
  <c r="H58" i="27"/>
  <c r="D58" i="27"/>
  <c r="J62" i="17"/>
  <c r="F62" i="17"/>
  <c r="I59" i="29"/>
  <c r="E59" i="29"/>
  <c r="I42" i="10"/>
  <c r="E42" i="10"/>
  <c r="H65" i="27"/>
  <c r="D65" i="27"/>
  <c r="K58" i="27"/>
  <c r="G58" i="27"/>
  <c r="I62" i="17"/>
  <c r="E62" i="17"/>
  <c r="H59" i="29"/>
  <c r="D59" i="29"/>
  <c r="H42" i="10"/>
  <c r="D42" i="10"/>
  <c r="K65" i="27"/>
  <c r="G65" i="27"/>
  <c r="J58" i="27"/>
  <c r="F58" i="27"/>
  <c r="H62" i="17"/>
  <c r="D62" i="17"/>
  <c r="J65" i="27"/>
  <c r="E58" i="27"/>
  <c r="K42" i="10"/>
  <c r="F65" i="27"/>
  <c r="K62" i="17"/>
  <c r="K59" i="29"/>
  <c r="G42" i="10"/>
  <c r="G62" i="17"/>
  <c r="G59"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99" i="29"/>
  <c r="C87" i="29"/>
  <c r="C81" i="29"/>
  <c r="C74" i="29"/>
  <c r="C47" i="10"/>
  <c r="C29" i="10"/>
  <c r="C25" i="10"/>
  <c r="C21" i="10"/>
  <c r="C17" i="10"/>
  <c r="C16" i="10"/>
  <c r="C61" i="27"/>
  <c r="C90" i="17"/>
  <c r="C79" i="17"/>
  <c r="C28" i="3"/>
  <c r="C19" i="19"/>
  <c r="C96" i="29"/>
  <c r="C86" i="29"/>
  <c r="C80" i="29"/>
  <c r="C73" i="29"/>
  <c r="C51" i="10"/>
  <c r="C46" i="10"/>
  <c r="C28" i="10"/>
  <c r="C24" i="10"/>
  <c r="C20" i="10"/>
  <c r="C11" i="10"/>
  <c r="C88" i="17"/>
  <c r="C70" i="17"/>
  <c r="C18" i="19"/>
  <c r="C102" i="29"/>
  <c r="C94" i="29"/>
  <c r="C85" i="29"/>
  <c r="C79" i="29"/>
  <c r="C66" i="29"/>
  <c r="C50" i="10"/>
  <c r="C45" i="10"/>
  <c r="C27" i="10"/>
  <c r="C23" i="10"/>
  <c r="C19" i="10"/>
  <c r="C63" i="27"/>
  <c r="C86" i="17"/>
  <c r="C69" i="17"/>
  <c r="C17" i="19"/>
  <c r="C84" i="29"/>
  <c r="C54" i="29"/>
  <c r="C49" i="10"/>
  <c r="C26" i="10"/>
  <c r="C80" i="17"/>
  <c r="C69" i="5"/>
  <c r="C53" i="5"/>
  <c r="C43" i="5"/>
  <c r="C39" i="5"/>
  <c r="C17" i="5"/>
  <c r="C16" i="5"/>
  <c r="C15" i="5"/>
  <c r="C14" i="5"/>
  <c r="C13" i="5"/>
  <c r="C12" i="5"/>
  <c r="C11" i="5"/>
  <c r="C75" i="29"/>
  <c r="C22" i="10"/>
  <c r="C101" i="29"/>
  <c r="C18" i="10"/>
  <c r="C62" i="27"/>
  <c r="C73" i="5"/>
  <c r="C61" i="5"/>
  <c r="C92"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14" i="2"/>
  <c r="C63" i="1"/>
  <c r="C59" i="1"/>
  <c r="C56" i="2"/>
  <c r="C41" i="2"/>
  <c r="C34" i="2"/>
  <c r="C31" i="2"/>
  <c r="C30" i="2"/>
  <c r="C26" i="2"/>
  <c r="C12" i="4"/>
  <c r="C62" i="1"/>
  <c r="C58" i="1"/>
  <c r="C49" i="1"/>
  <c r="B51" i="28"/>
  <c r="B38" i="2" s="1"/>
  <c r="B116" i="2" s="1"/>
  <c r="E152" i="28"/>
  <c r="B153" i="28" s="1"/>
  <c r="E155" i="28"/>
  <c r="C52" i="1"/>
  <c r="C57" i="1"/>
  <c r="D30" i="2"/>
  <c r="D31" i="2"/>
  <c r="D18" i="2"/>
  <c r="H18" i="2"/>
  <c r="C18" i="2"/>
  <c r="H19" i="2"/>
  <c r="C27" i="2"/>
  <c r="E19" i="2"/>
  <c r="I19" i="2"/>
  <c r="G58" i="2"/>
  <c r="G59" i="2"/>
  <c r="K58" i="2"/>
  <c r="K59" i="2"/>
  <c r="K63" i="2" s="1"/>
  <c r="G46" i="2"/>
  <c r="G62" i="2" s="1"/>
  <c r="G47" i="2"/>
  <c r="G63" i="2" s="1"/>
  <c r="E18" i="2"/>
  <c r="I18" i="2"/>
  <c r="F19" i="2"/>
  <c r="J19" i="2"/>
  <c r="E30" i="2"/>
  <c r="D59" i="2"/>
  <c r="D46" i="2"/>
  <c r="H59" i="2"/>
  <c r="H46" i="2"/>
  <c r="H62" i="2" s="1"/>
  <c r="H47" i="2"/>
  <c r="F18" i="2"/>
  <c r="K19" i="2"/>
  <c r="F30" i="2"/>
  <c r="D47" i="2"/>
  <c r="D58" i="2"/>
  <c r="E47" i="2"/>
  <c r="I47" i="2"/>
  <c r="E23" i="27"/>
  <c r="E42" i="27" s="1"/>
  <c r="E44" i="27" s="1"/>
  <c r="E48" i="27" s="1"/>
  <c r="F47" i="27" s="1"/>
  <c r="F23" i="27"/>
  <c r="F42" i="27" s="1"/>
  <c r="E8" i="27"/>
  <c r="F8" i="27"/>
  <c r="K23" i="27"/>
  <c r="K42" i="27" s="1"/>
  <c r="G23" i="27"/>
  <c r="G42" i="27" s="1"/>
  <c r="H23" i="27"/>
  <c r="H42" i="27" s="1"/>
  <c r="G8" i="27"/>
  <c r="D55" i="17"/>
  <c r="E35" i="2" l="1"/>
  <c r="J23" i="27"/>
  <c r="J42" i="27" s="1"/>
  <c r="J44" i="27" s="1"/>
  <c r="I80" i="15"/>
  <c r="F35" i="2"/>
  <c r="K28" i="17"/>
  <c r="K30" i="17" s="1"/>
  <c r="K33" i="17" s="1"/>
  <c r="M46" i="17"/>
  <c r="H28" i="17"/>
  <c r="H30" i="17" s="1"/>
  <c r="H33" i="17" s="1"/>
  <c r="H80" i="15"/>
  <c r="D50" i="15"/>
  <c r="E16" i="10"/>
  <c r="E18" i="10" s="1"/>
  <c r="E29" i="10" s="1"/>
  <c r="I63" i="2"/>
  <c r="D28" i="17"/>
  <c r="D30" i="17" s="1"/>
  <c r="D33" i="17" s="1"/>
  <c r="D44" i="27"/>
  <c r="D48" i="27" s="1"/>
  <c r="E47" i="27" s="1"/>
  <c r="E54" i="27" s="1"/>
  <c r="F44" i="27"/>
  <c r="F48" i="27" s="1"/>
  <c r="G47" i="27" s="1"/>
  <c r="G35" i="2"/>
  <c r="G70" i="2" s="1"/>
  <c r="K62" i="2"/>
  <c r="K64" i="2" s="1"/>
  <c r="G34" i="2"/>
  <c r="G69" i="2" s="1"/>
  <c r="I64" i="2"/>
  <c r="F63" i="2"/>
  <c r="F70" i="2" s="1"/>
  <c r="M58" i="2"/>
  <c r="M59" i="2"/>
  <c r="E63" i="2"/>
  <c r="E64" i="2" s="1"/>
  <c r="D78" i="2"/>
  <c r="E6" i="2"/>
  <c r="D5" i="2"/>
  <c r="D77" i="2"/>
  <c r="E6" i="27"/>
  <c r="D5" i="27"/>
  <c r="D5" i="20"/>
  <c r="E6" i="20"/>
  <c r="F6" i="15"/>
  <c r="E5" i="15"/>
  <c r="E50" i="15" s="1"/>
  <c r="F34" i="2"/>
  <c r="D5" i="1"/>
  <c r="E6" i="1"/>
  <c r="E6" i="29"/>
  <c r="E5" i="29" s="1"/>
  <c r="D22" i="29"/>
  <c r="E6" i="10"/>
  <c r="E5" i="10" s="1"/>
  <c r="D40" i="10"/>
  <c r="D43" i="10" s="1"/>
  <c r="D47" i="10" s="1"/>
  <c r="D32" i="10"/>
  <c r="D36" i="10"/>
  <c r="D63" i="2"/>
  <c r="M47" i="2"/>
  <c r="G64" i="2"/>
  <c r="D34" i="2"/>
  <c r="M18" i="2"/>
  <c r="H63" i="2"/>
  <c r="D62" i="2"/>
  <c r="M46" i="2"/>
  <c r="E34"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K44" i="27"/>
  <c r="J8" i="27"/>
  <c r="I23" i="27"/>
  <c r="I42" i="27" s="1"/>
  <c r="G44" i="27"/>
  <c r="G48" i="27" s="1"/>
  <c r="H47" i="27" s="1"/>
  <c r="H44" i="27"/>
  <c r="E26" i="28"/>
  <c r="F27" i="28"/>
  <c r="M55" i="17"/>
  <c r="E5" i="17"/>
  <c r="F6" i="17"/>
  <c r="F16" i="10" l="1"/>
  <c r="F18" i="10" s="1"/>
  <c r="F29" i="10" s="1"/>
  <c r="D63" i="27"/>
  <c r="H48" i="27"/>
  <c r="I47" i="27" s="1"/>
  <c r="J48" i="27"/>
  <c r="K47" i="27" s="1"/>
  <c r="K48" i="27"/>
  <c r="D54" i="27"/>
  <c r="D39" i="17"/>
  <c r="D65" i="17" s="1"/>
  <c r="F54" i="27"/>
  <c r="G36" i="2"/>
  <c r="G49" i="1"/>
  <c r="D45" i="10"/>
  <c r="D49" i="10" s="1"/>
  <c r="D46" i="10"/>
  <c r="D65" i="1" s="1"/>
  <c r="F64" i="2"/>
  <c r="F49" i="1"/>
  <c r="E49" i="1"/>
  <c r="J64" i="2"/>
  <c r="E70" i="2"/>
  <c r="G71" i="2"/>
  <c r="D79" i="2"/>
  <c r="D50" i="1" s="1"/>
  <c r="D70" i="2"/>
  <c r="D49" i="1"/>
  <c r="D42" i="5"/>
  <c r="D41" i="5"/>
  <c r="B49" i="5"/>
  <c r="B82" i="5"/>
  <c r="B39" i="5"/>
  <c r="B51" i="1" s="1"/>
  <c r="B94" i="5"/>
  <c r="B65" i="5"/>
  <c r="B43" i="5"/>
  <c r="B55" i="1" s="1"/>
  <c r="M63" i="2"/>
  <c r="E78" i="2"/>
  <c r="E77" i="2"/>
  <c r="E5" i="2"/>
  <c r="F6" i="2"/>
  <c r="E33" i="28"/>
  <c r="D36" i="28"/>
  <c r="E39" i="17" s="1"/>
  <c r="D35" i="28"/>
  <c r="E34" i="10" s="1"/>
  <c r="E38" i="10" s="1"/>
  <c r="E56" i="27" s="1"/>
  <c r="D34" i="28"/>
  <c r="D32" i="28"/>
  <c r="F6" i="11"/>
  <c r="E5" i="11"/>
  <c r="F6" i="4"/>
  <c r="E5" i="4"/>
  <c r="B97" i="5"/>
  <c r="B44" i="5"/>
  <c r="B69" i="5"/>
  <c r="B91" i="5"/>
  <c r="B61" i="5"/>
  <c r="B42" i="5"/>
  <c r="B54" i="1" s="1"/>
  <c r="M62" i="2"/>
  <c r="D64" i="2"/>
  <c r="D69" i="2"/>
  <c r="D36" i="2"/>
  <c r="F6" i="29"/>
  <c r="F5" i="29" s="1"/>
  <c r="E22" i="29"/>
  <c r="H64" i="2"/>
  <c r="D35" i="10"/>
  <c r="D52"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D45" i="5"/>
  <c r="D44" i="5"/>
  <c r="D39" i="5"/>
  <c r="F6" i="3"/>
  <c r="E5" i="3"/>
  <c r="B85" i="5"/>
  <c r="B40" i="5"/>
  <c r="B52" i="1" s="1"/>
  <c r="B53" i="5"/>
  <c r="B100" i="5"/>
  <c r="B73" i="5"/>
  <c r="B45" i="5"/>
  <c r="E36" i="2"/>
  <c r="E69" i="2"/>
  <c r="D56" i="27"/>
  <c r="F69" i="2"/>
  <c r="F71" i="2" s="1"/>
  <c r="F36" i="2"/>
  <c r="F6" i="20"/>
  <c r="E5" i="20"/>
  <c r="I44" i="27"/>
  <c r="G54" i="27"/>
  <c r="E27" i="28"/>
  <c r="G6" i="17"/>
  <c r="F5" i="17"/>
  <c r="G16" i="10" l="1"/>
  <c r="K54" i="27"/>
  <c r="H54" i="27"/>
  <c r="I48" i="27"/>
  <c r="J47" i="27" s="1"/>
  <c r="J54" i="27" s="1"/>
  <c r="D53" i="10"/>
  <c r="D50" i="10"/>
  <c r="D58" i="10" s="1"/>
  <c r="E71" i="2"/>
  <c r="D54" i="10"/>
  <c r="D43" i="17"/>
  <c r="B33" i="1"/>
  <c r="B14" i="1"/>
  <c r="D46" i="5"/>
  <c r="D51" i="1"/>
  <c r="D13" i="1" s="1"/>
  <c r="G6" i="19"/>
  <c r="F5" i="19"/>
  <c r="G6" i="4"/>
  <c r="F5" i="4"/>
  <c r="E41" i="17"/>
  <c r="E56" i="17" s="1"/>
  <c r="E8" i="20"/>
  <c r="E57" i="1" s="1"/>
  <c r="E35" i="10"/>
  <c r="E14" i="19"/>
  <c r="E52" i="29"/>
  <c r="E86" i="2"/>
  <c r="E28" i="3"/>
  <c r="E56" i="1" s="1"/>
  <c r="E79" i="2"/>
  <c r="B36" i="1"/>
  <c r="B17" i="1"/>
  <c r="D53" i="1"/>
  <c r="D15" i="1" s="1"/>
  <c r="E45" i="10"/>
  <c r="E49" i="10" s="1"/>
  <c r="E80" i="17" s="1"/>
  <c r="E46" i="10"/>
  <c r="E63" i="27"/>
  <c r="D55" i="1"/>
  <c r="D17" i="1" s="1"/>
  <c r="D52" i="1"/>
  <c r="D14" i="1" s="1"/>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99" i="29"/>
  <c r="D101" i="29"/>
  <c r="D23" i="29"/>
  <c r="D47" i="29" s="1"/>
  <c r="D50" i="29" s="1"/>
  <c r="D71" i="2"/>
  <c r="F5" i="11"/>
  <c r="G6" i="11"/>
  <c r="E65" i="17"/>
  <c r="G6" i="3"/>
  <c r="F5" i="3"/>
  <c r="G6" i="27"/>
  <c r="F5" i="27"/>
  <c r="G6" i="10"/>
  <c r="G5" i="10" s="1"/>
  <c r="F32" i="10"/>
  <c r="F40" i="10"/>
  <c r="F43" i="10" s="1"/>
  <c r="F47" i="10" s="1"/>
  <c r="E46" i="5"/>
  <c r="E51" i="1"/>
  <c r="G6" i="29"/>
  <c r="G5" i="29" s="1"/>
  <c r="F22" i="29"/>
  <c r="M64" i="2"/>
  <c r="E36" i="28"/>
  <c r="F39" i="17" s="1"/>
  <c r="E35" i="28"/>
  <c r="F34" i="10" s="1"/>
  <c r="F38" i="10" s="1"/>
  <c r="F56" i="27" s="1"/>
  <c r="E34" i="28"/>
  <c r="E32" i="28"/>
  <c r="F33" i="28"/>
  <c r="B32" i="1"/>
  <c r="B13" i="1"/>
  <c r="D54" i="1"/>
  <c r="D16" i="1" s="1"/>
  <c r="D11" i="1"/>
  <c r="D12" i="1"/>
  <c r="D18" i="1"/>
  <c r="D19" i="1"/>
  <c r="D80" i="17"/>
  <c r="D57" i="10"/>
  <c r="G5" i="17"/>
  <c r="H6" i="17"/>
  <c r="H5" i="17" s="1"/>
  <c r="G18" i="10" l="1"/>
  <c r="G29" i="10" s="1"/>
  <c r="I54" i="27"/>
  <c r="D48" i="1"/>
  <c r="D10" i="1" s="1"/>
  <c r="D20" i="1" s="1"/>
  <c r="D55" i="10"/>
  <c r="D51" i="10"/>
  <c r="E23" i="29"/>
  <c r="E47" i="29" s="1"/>
  <c r="E62" i="29" s="1"/>
  <c r="E43" i="17"/>
  <c r="E86" i="17" s="1"/>
  <c r="F41" i="17"/>
  <c r="F56" i="17" s="1"/>
  <c r="F14" i="19"/>
  <c r="F35" i="10"/>
  <c r="F8" i="20"/>
  <c r="F57" i="1" s="1"/>
  <c r="F86" i="2"/>
  <c r="F28" i="3"/>
  <c r="F56" i="1" s="1"/>
  <c r="F52" i="29"/>
  <c r="F55" i="27"/>
  <c r="F57" i="27"/>
  <c r="H6" i="3"/>
  <c r="G5" i="3"/>
  <c r="D120" i="2"/>
  <c r="I6" i="15"/>
  <c r="H5" i="15"/>
  <c r="E54" i="10"/>
  <c r="E50" i="10"/>
  <c r="E65" i="1"/>
  <c r="H6" i="19"/>
  <c r="G5" i="19"/>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G39" i="17" s="1"/>
  <c r="G65" i="17" s="1"/>
  <c r="F35" i="28"/>
  <c r="G34" i="10" s="1"/>
  <c r="F34" i="28"/>
  <c r="F32" i="28"/>
  <c r="F65" i="17"/>
  <c r="G22" i="29"/>
  <c r="H6" i="29"/>
  <c r="H5" i="29" s="1"/>
  <c r="H6" i="27"/>
  <c r="G5" i="27"/>
  <c r="H6" i="11"/>
  <c r="G5" i="11"/>
  <c r="D54" i="29"/>
  <c r="D92" i="29" s="1"/>
  <c r="D62" i="29"/>
  <c r="D134" i="2"/>
  <c r="H6" i="20"/>
  <c r="G5" i="20"/>
  <c r="G77" i="2"/>
  <c r="G78" i="2"/>
  <c r="H6" i="2"/>
  <c r="G5" i="2"/>
  <c r="E102" i="2"/>
  <c r="E119" i="2"/>
  <c r="E105" i="2"/>
  <c r="E90" i="2"/>
  <c r="E101" i="2"/>
  <c r="E128" i="2"/>
  <c r="E131" i="2"/>
  <c r="E100" i="2"/>
  <c r="E130" i="2"/>
  <c r="E132" i="2"/>
  <c r="E103" i="2"/>
  <c r="E91" i="2"/>
  <c r="E92" i="2" s="1"/>
  <c r="E118" i="2"/>
  <c r="E104" i="2"/>
  <c r="E133" i="2"/>
  <c r="E129" i="2"/>
  <c r="H6" i="10"/>
  <c r="H5" i="10" s="1"/>
  <c r="G40" i="10"/>
  <c r="G43" i="10" s="1"/>
  <c r="D102" i="29"/>
  <c r="D81" i="15"/>
  <c r="D82" i="15"/>
  <c r="F39" i="5"/>
  <c r="F44" i="5"/>
  <c r="H6" i="1"/>
  <c r="G5" i="1"/>
  <c r="E60" i="29"/>
  <c r="E59" i="27"/>
  <c r="D61" i="27"/>
  <c r="D59" i="27"/>
  <c r="D62" i="27"/>
  <c r="D66" i="1" s="1"/>
  <c r="D60" i="29"/>
  <c r="E61" i="27"/>
  <c r="E62" i="27"/>
  <c r="E66" i="1" s="1"/>
  <c r="E50" i="1"/>
  <c r="E99" i="29"/>
  <c r="E101" i="29"/>
  <c r="D59" i="10"/>
  <c r="D86" i="17"/>
  <c r="I6" i="17"/>
  <c r="G32" i="10" l="1"/>
  <c r="G47" i="10"/>
  <c r="G46" i="10" s="1"/>
  <c r="G38" i="10"/>
  <c r="G56" i="27" s="1"/>
  <c r="G55" i="27" s="1"/>
  <c r="H16" i="10"/>
  <c r="H18" i="10" s="1"/>
  <c r="H29" i="10" s="1"/>
  <c r="E32" i="1"/>
  <c r="D58" i="1"/>
  <c r="E64" i="27"/>
  <c r="E63" i="17" s="1"/>
  <c r="D64" i="27"/>
  <c r="D63" i="17" s="1"/>
  <c r="E54" i="29"/>
  <c r="E92" i="29" s="1"/>
  <c r="F43" i="17"/>
  <c r="E55" i="10"/>
  <c r="E120" i="2"/>
  <c r="E125" i="2" s="1"/>
  <c r="G79" i="2"/>
  <c r="G50" i="1" s="1"/>
  <c r="F46" i="5"/>
  <c r="F51" i="1"/>
  <c r="H5" i="1"/>
  <c r="I6" i="1"/>
  <c r="I6" i="10"/>
  <c r="I5" i="10" s="1"/>
  <c r="H40" i="10"/>
  <c r="H43" i="10" s="1"/>
  <c r="E97" i="2"/>
  <c r="E96" i="2"/>
  <c r="E106" i="2"/>
  <c r="E81" i="15"/>
  <c r="E82" i="15"/>
  <c r="G41" i="17"/>
  <c r="G14" i="19"/>
  <c r="G28" i="3"/>
  <c r="G56" i="1" s="1"/>
  <c r="G86" i="2"/>
  <c r="G35" i="10"/>
  <c r="G8" i="20"/>
  <c r="G57" i="1" s="1"/>
  <c r="G52" i="29"/>
  <c r="H5" i="4"/>
  <c r="I6" i="4"/>
  <c r="D109" i="2"/>
  <c r="D108" i="2"/>
  <c r="F57" i="10"/>
  <c r="F80" i="17"/>
  <c r="E15" i="1"/>
  <c r="E17" i="1"/>
  <c r="E11" i="1"/>
  <c r="E16" i="1"/>
  <c r="E18" i="1"/>
  <c r="E14" i="1"/>
  <c r="E19" i="1"/>
  <c r="J6" i="15"/>
  <c r="I5" i="15"/>
  <c r="F101" i="29"/>
  <c r="F99" i="29"/>
  <c r="F53" i="10"/>
  <c r="E13" i="1"/>
  <c r="E31" i="1"/>
  <c r="E12" i="1"/>
  <c r="D34" i="1"/>
  <c r="D31" i="1"/>
  <c r="D30" i="1"/>
  <c r="D33" i="1"/>
  <c r="D38" i="1"/>
  <c r="D29" i="1"/>
  <c r="D36" i="1"/>
  <c r="D32" i="1"/>
  <c r="D37" i="1"/>
  <c r="D35" i="1"/>
  <c r="I6" i="27"/>
  <c r="H5" i="27"/>
  <c r="G40" i="5"/>
  <c r="G46" i="5" s="1"/>
  <c r="D97" i="2"/>
  <c r="D96" i="2"/>
  <c r="F62" i="27"/>
  <c r="F66" i="1" s="1"/>
  <c r="F61" i="27"/>
  <c r="E51" i="10"/>
  <c r="E48" i="1"/>
  <c r="E58" i="10"/>
  <c r="E59" i="10" s="1"/>
  <c r="H5" i="3"/>
  <c r="I6" i="3"/>
  <c r="H5" i="19"/>
  <c r="I6" i="19"/>
  <c r="F59" i="27"/>
  <c r="F60"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102" i="29"/>
  <c r="E36" i="1"/>
  <c r="E33" i="1"/>
  <c r="E35" i="1"/>
  <c r="E30" i="1"/>
  <c r="E34" i="1"/>
  <c r="F23" i="29"/>
  <c r="F47" i="29" s="1"/>
  <c r="F50" i="29" s="1"/>
  <c r="G45" i="10"/>
  <c r="G49" i="10" s="1"/>
  <c r="E38" i="1"/>
  <c r="H78" i="2"/>
  <c r="I6" i="2"/>
  <c r="H77" i="2"/>
  <c r="H5" i="2"/>
  <c r="H5" i="20"/>
  <c r="I6" i="20"/>
  <c r="H33" i="28"/>
  <c r="G32" i="28"/>
  <c r="G35" i="28"/>
  <c r="H34" i="10" s="1"/>
  <c r="G34" i="28"/>
  <c r="G36" i="28"/>
  <c r="H39" i="17" s="1"/>
  <c r="E37" i="1"/>
  <c r="H99" i="5"/>
  <c r="H93" i="5"/>
  <c r="H87" i="5"/>
  <c r="H81" i="5"/>
  <c r="H96" i="5"/>
  <c r="H90" i="5"/>
  <c r="H84" i="5"/>
  <c r="H66" i="5"/>
  <c r="H67" i="5" s="1"/>
  <c r="H43" i="5" s="1"/>
  <c r="H55" i="1" s="1"/>
  <c r="H50" i="5"/>
  <c r="H70" i="5"/>
  <c r="H71" i="5" s="1"/>
  <c r="H58" i="5"/>
  <c r="H74" i="5"/>
  <c r="H75" i="5" s="1"/>
  <c r="H62" i="5"/>
  <c r="H54" i="5"/>
  <c r="H5" i="5"/>
  <c r="I6" i="5"/>
  <c r="F54" i="10"/>
  <c r="F65" i="1"/>
  <c r="F50" i="10"/>
  <c r="F48" i="1" s="1"/>
  <c r="H50" i="15"/>
  <c r="D125" i="2"/>
  <c r="D124" i="2"/>
  <c r="D64" i="29"/>
  <c r="D66" i="29" s="1"/>
  <c r="D94" i="29" s="1"/>
  <c r="J6" i="17"/>
  <c r="L50" i="17" s="1"/>
  <c r="I5" i="17"/>
  <c r="G63" i="27" l="1"/>
  <c r="H32" i="10"/>
  <c r="H38" i="10"/>
  <c r="H56" i="27" s="1"/>
  <c r="H57" i="27" s="1"/>
  <c r="G57" i="27"/>
  <c r="G59" i="27" s="1"/>
  <c r="H47" i="10"/>
  <c r="H46" i="10" s="1"/>
  <c r="F31" i="1"/>
  <c r="I16" i="10"/>
  <c r="I18" i="10" s="1"/>
  <c r="I29" i="10" s="1"/>
  <c r="F12" i="1"/>
  <c r="D66" i="27"/>
  <c r="F64" i="27"/>
  <c r="F63" i="17" s="1"/>
  <c r="E66" i="27"/>
  <c r="D39" i="1"/>
  <c r="E124" i="2"/>
  <c r="G23" i="29"/>
  <c r="G47" i="29" s="1"/>
  <c r="G50" i="29" s="1"/>
  <c r="D140" i="2"/>
  <c r="D141" i="2"/>
  <c r="F92" i="2"/>
  <c r="F97" i="2" s="1"/>
  <c r="F37" i="1"/>
  <c r="D112" i="2"/>
  <c r="D147" i="2" s="1"/>
  <c r="F38" i="1"/>
  <c r="F106" i="2"/>
  <c r="F109" i="2" s="1"/>
  <c r="D113" i="2"/>
  <c r="F102" i="29"/>
  <c r="H65" i="17"/>
  <c r="I33" i="28"/>
  <c r="H32" i="28"/>
  <c r="H35" i="28"/>
  <c r="I34" i="10" s="1"/>
  <c r="H36" i="28"/>
  <c r="I39" i="17" s="1"/>
  <c r="H34" i="28"/>
  <c r="H79" i="2"/>
  <c r="G80" i="17"/>
  <c r="L51" i="17"/>
  <c r="F81" i="15"/>
  <c r="F82" i="15"/>
  <c r="F120" i="2"/>
  <c r="F134" i="2"/>
  <c r="J6" i="19"/>
  <c r="I5" i="19"/>
  <c r="G52" i="1"/>
  <c r="F51" i="10"/>
  <c r="G133" i="2"/>
  <c r="G102" i="2"/>
  <c r="G129" i="2"/>
  <c r="G91" i="2"/>
  <c r="G90" i="2"/>
  <c r="G100" i="2"/>
  <c r="G104" i="2"/>
  <c r="G105" i="2"/>
  <c r="G101" i="2"/>
  <c r="G128" i="2"/>
  <c r="G130" i="2"/>
  <c r="G132" i="2"/>
  <c r="G131" i="2"/>
  <c r="G119" i="2"/>
  <c r="G118" i="2"/>
  <c r="G103" i="2"/>
  <c r="E109" i="2"/>
  <c r="E113" i="2" s="1"/>
  <c r="E108" i="2"/>
  <c r="E112" i="2" s="1"/>
  <c r="E70" i="17"/>
  <c r="E66" i="17"/>
  <c r="F17" i="1"/>
  <c r="F15" i="1"/>
  <c r="F11" i="1"/>
  <c r="F14" i="1"/>
  <c r="F16" i="1"/>
  <c r="H44" i="5"/>
  <c r="L49" i="17"/>
  <c r="L53" i="17"/>
  <c r="L52" i="17"/>
  <c r="H8" i="20"/>
  <c r="H57" i="1" s="1"/>
  <c r="H14" i="19"/>
  <c r="H41" i="17"/>
  <c r="H56" i="17" s="1"/>
  <c r="H35" i="10"/>
  <c r="H52" i="29"/>
  <c r="H23" i="29" s="1"/>
  <c r="H47" i="29" s="1"/>
  <c r="H50" i="29" s="1"/>
  <c r="H86" i="2"/>
  <c r="J6" i="20"/>
  <c r="I5" i="20"/>
  <c r="L55" i="17"/>
  <c r="F18" i="1"/>
  <c r="F30" i="1"/>
  <c r="F34" i="1"/>
  <c r="F35" i="1"/>
  <c r="F36" i="1"/>
  <c r="F33" i="1"/>
  <c r="F86" i="17"/>
  <c r="G101" i="29"/>
  <c r="G99" i="29"/>
  <c r="I32" i="10"/>
  <c r="J6" i="10"/>
  <c r="J5" i="10" s="1"/>
  <c r="I40" i="10"/>
  <c r="I43"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50" i="10"/>
  <c r="G48" i="1" s="1"/>
  <c r="D66" i="17"/>
  <c r="D70" i="17"/>
  <c r="J6" i="11"/>
  <c r="I5" i="11"/>
  <c r="E58" i="1"/>
  <c r="E29" i="1"/>
  <c r="E39" i="1" s="1"/>
  <c r="E10" i="1"/>
  <c r="E20" i="1" s="1"/>
  <c r="I5" i="27"/>
  <c r="J6" i="27"/>
  <c r="F58" i="10"/>
  <c r="F59" i="10" s="1"/>
  <c r="I50" i="15"/>
  <c r="F32" i="1"/>
  <c r="F13" i="1"/>
  <c r="L48" i="17"/>
  <c r="F29" i="1"/>
  <c r="F10" i="1"/>
  <c r="F58" i="1"/>
  <c r="I78" i="2"/>
  <c r="I77" i="2"/>
  <c r="I5" i="2"/>
  <c r="J6" i="2"/>
  <c r="L24" i="2" s="1"/>
  <c r="F54" i="29"/>
  <c r="F92" i="29" s="1"/>
  <c r="F62" i="29"/>
  <c r="J6" i="29"/>
  <c r="J5" i="29" s="1"/>
  <c r="I22" i="29"/>
  <c r="E137" i="2"/>
  <c r="E141" i="2" s="1"/>
  <c r="E136" i="2"/>
  <c r="E140" i="2" s="1"/>
  <c r="J6" i="3"/>
  <c r="I5" i="3"/>
  <c r="L46" i="17"/>
  <c r="F55" i="10"/>
  <c r="K6" i="15"/>
  <c r="K5" i="15" s="1"/>
  <c r="J5" i="15"/>
  <c r="J6" i="4"/>
  <c r="I5" i="4"/>
  <c r="G54" i="10"/>
  <c r="G53" i="10"/>
  <c r="G57" i="10"/>
  <c r="G56" i="17"/>
  <c r="G43" i="17"/>
  <c r="D61" i="1"/>
  <c r="D96" i="29"/>
  <c r="D62" i="1" s="1"/>
  <c r="K6" i="17"/>
  <c r="J5" i="17"/>
  <c r="H55" i="27" l="1"/>
  <c r="G61" i="27"/>
  <c r="G64" i="27" s="1"/>
  <c r="G66" i="27" s="1"/>
  <c r="G60" i="29"/>
  <c r="H63" i="27"/>
  <c r="H62" i="27" s="1"/>
  <c r="H66" i="1" s="1"/>
  <c r="G62" i="27"/>
  <c r="G66" i="1" s="1"/>
  <c r="G35" i="1" s="1"/>
  <c r="I47" i="10"/>
  <c r="I46" i="10" s="1"/>
  <c r="H45" i="10"/>
  <c r="H49" i="10" s="1"/>
  <c r="H80" i="17" s="1"/>
  <c r="F66" i="27"/>
  <c r="I38" i="10"/>
  <c r="I56" i="27" s="1"/>
  <c r="I57" i="27" s="1"/>
  <c r="G13" i="1"/>
  <c r="J16" i="10"/>
  <c r="J18" i="10" s="1"/>
  <c r="J29" i="10" s="1"/>
  <c r="D67" i="17"/>
  <c r="D69" i="17" s="1"/>
  <c r="D88" i="17" s="1"/>
  <c r="D59" i="1" s="1"/>
  <c r="F39" i="1"/>
  <c r="F20" i="1"/>
  <c r="G58" i="10"/>
  <c r="G59" i="10" s="1"/>
  <c r="G62" i="29"/>
  <c r="G64" i="29" s="1"/>
  <c r="G66" i="29" s="1"/>
  <c r="G94" i="29" s="1"/>
  <c r="D142" i="2"/>
  <c r="F96" i="2"/>
  <c r="D148" i="2"/>
  <c r="D149" i="2" s="1"/>
  <c r="L56" i="2"/>
  <c r="L59" i="2"/>
  <c r="L55" i="2"/>
  <c r="L65" i="5"/>
  <c r="E142" i="2"/>
  <c r="G92" i="2"/>
  <c r="G97" i="2" s="1"/>
  <c r="F113" i="2"/>
  <c r="L52" i="2"/>
  <c r="L40" i="2"/>
  <c r="F108" i="2"/>
  <c r="L17" i="5"/>
  <c r="L15" i="5"/>
  <c r="D114" i="2"/>
  <c r="L62" i="2"/>
  <c r="L54" i="2"/>
  <c r="L69" i="5"/>
  <c r="G55" i="10"/>
  <c r="J50" i="15"/>
  <c r="K6" i="3"/>
  <c r="K5" i="3" s="1"/>
  <c r="J5" i="3"/>
  <c r="I51" i="1"/>
  <c r="I46" i="5"/>
  <c r="G18" i="1"/>
  <c r="L64" i="2"/>
  <c r="E148" i="2"/>
  <c r="G81" i="15"/>
  <c r="G82" i="15"/>
  <c r="G14" i="1"/>
  <c r="K6" i="19"/>
  <c r="K5" i="19" s="1"/>
  <c r="J5" i="19"/>
  <c r="H50" i="1"/>
  <c r="I14" i="19"/>
  <c r="I28" i="3"/>
  <c r="I56" i="1" s="1"/>
  <c r="I52" i="29"/>
  <c r="I86" i="2"/>
  <c r="I35" i="10"/>
  <c r="I8" i="20"/>
  <c r="I57" i="1" s="1"/>
  <c r="I41" i="17"/>
  <c r="I56" i="17" s="1"/>
  <c r="I32" i="28"/>
  <c r="J33" i="28"/>
  <c r="I35" i="28"/>
  <c r="J34" i="10" s="1"/>
  <c r="I36" i="28"/>
  <c r="J39" i="17" s="1"/>
  <c r="I34" i="28"/>
  <c r="H54" i="29"/>
  <c r="H92" i="29" s="1"/>
  <c r="H62" i="29"/>
  <c r="J40" i="10"/>
  <c r="J43" i="10" s="1"/>
  <c r="K6" i="10"/>
  <c r="K5" i="10" s="1"/>
  <c r="J32" i="10"/>
  <c r="G102" i="29"/>
  <c r="K6" i="20"/>
  <c r="K5" i="20" s="1"/>
  <c r="J5" i="20"/>
  <c r="H54" i="10"/>
  <c r="H50" i="10"/>
  <c r="H65" i="1"/>
  <c r="F70" i="17"/>
  <c r="F66" i="17"/>
  <c r="F136" i="2"/>
  <c r="F137" i="2"/>
  <c r="L50" i="2"/>
  <c r="L23" i="2"/>
  <c r="I65" i="17"/>
  <c r="K6" i="29"/>
  <c r="K5" i="29" s="1"/>
  <c r="I79" i="2"/>
  <c r="G58" i="1"/>
  <c r="G10" i="1"/>
  <c r="H101" i="2"/>
  <c r="H130" i="2"/>
  <c r="H132" i="2"/>
  <c r="H131" i="2"/>
  <c r="H100" i="2"/>
  <c r="H118" i="2"/>
  <c r="H104" i="2"/>
  <c r="H91" i="2"/>
  <c r="H102" i="2"/>
  <c r="H129" i="2"/>
  <c r="H128" i="2"/>
  <c r="H105" i="2"/>
  <c r="H90" i="2"/>
  <c r="H119" i="2"/>
  <c r="H133" i="2"/>
  <c r="E64" i="29"/>
  <c r="E66" i="29" s="1"/>
  <c r="E94" i="29" s="1"/>
  <c r="E67" i="17"/>
  <c r="E69" i="17" s="1"/>
  <c r="E88" i="17" s="1"/>
  <c r="E59" i="1" s="1"/>
  <c r="F125" i="2"/>
  <c r="F124" i="2"/>
  <c r="G51" i="10"/>
  <c r="H43" i="17"/>
  <c r="H60" i="29"/>
  <c r="H59" i="27"/>
  <c r="K82" i="15"/>
  <c r="K50" i="15"/>
  <c r="K5" i="17"/>
  <c r="L47" i="17"/>
  <c r="K6" i="4"/>
  <c r="K5" i="4" s="1"/>
  <c r="J5" i="4"/>
  <c r="J77" i="2"/>
  <c r="J78" i="2"/>
  <c r="K6" i="2"/>
  <c r="J5" i="2"/>
  <c r="L18" i="2"/>
  <c r="L19" i="2"/>
  <c r="L47" i="2"/>
  <c r="L13" i="2"/>
  <c r="L12" i="2"/>
  <c r="L51"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J50" i="5"/>
  <c r="J51" i="5" s="1"/>
  <c r="J39" i="5" s="1"/>
  <c r="J62" i="5"/>
  <c r="J63" i="5" s="1"/>
  <c r="J42" i="5" s="1"/>
  <c r="K6" i="5"/>
  <c r="L73" i="5"/>
  <c r="K6" i="1"/>
  <c r="J5" i="1"/>
  <c r="E147" i="2"/>
  <c r="E114" i="2"/>
  <c r="L41" i="2"/>
  <c r="L46" i="2"/>
  <c r="G120" i="2"/>
  <c r="G134" i="2"/>
  <c r="G106" i="2"/>
  <c r="G86" i="17"/>
  <c r="L26" i="2"/>
  <c r="L53" i="2"/>
  <c r="D22" i="1"/>
  <c r="D41" i="1"/>
  <c r="I63" i="27" l="1"/>
  <c r="I62" i="27" s="1"/>
  <c r="I66" i="1" s="1"/>
  <c r="G29" i="1"/>
  <c r="G30" i="1"/>
  <c r="G34" i="1"/>
  <c r="G37" i="1"/>
  <c r="G31" i="1"/>
  <c r="G36" i="1"/>
  <c r="G33" i="1"/>
  <c r="H61" i="27"/>
  <c r="H64" i="27" s="1"/>
  <c r="H66" i="27" s="1"/>
  <c r="G32" i="1"/>
  <c r="G38" i="1"/>
  <c r="H53" i="10"/>
  <c r="H55" i="10" s="1"/>
  <c r="H57" i="10"/>
  <c r="I45" i="10"/>
  <c r="I49" i="10" s="1"/>
  <c r="I80" i="17" s="1"/>
  <c r="I55" i="27"/>
  <c r="F112" i="2"/>
  <c r="F114" i="2" s="1"/>
  <c r="J38" i="10"/>
  <c r="J56" i="27" s="1"/>
  <c r="J57" i="27" s="1"/>
  <c r="J47" i="10"/>
  <c r="J46" i="10" s="1"/>
  <c r="K16" i="10"/>
  <c r="K18" i="10" s="1"/>
  <c r="K29" i="10" s="1"/>
  <c r="H19" i="1"/>
  <c r="G63" i="17"/>
  <c r="G20" i="1"/>
  <c r="I43" i="17"/>
  <c r="G54" i="29"/>
  <c r="G92" i="29" s="1"/>
  <c r="G96" i="29" s="1"/>
  <c r="G62" i="1" s="1"/>
  <c r="D90" i="17"/>
  <c r="D60" i="1" s="1"/>
  <c r="G96" i="2"/>
  <c r="L42" i="2"/>
  <c r="J79" i="2"/>
  <c r="J50" i="1" s="1"/>
  <c r="L67" i="5"/>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75" i="5"/>
  <c r="J44" i="5"/>
  <c r="L44" i="5" s="1"/>
  <c r="L71" i="5"/>
  <c r="J41" i="5"/>
  <c r="F140" i="2"/>
  <c r="H120" i="2"/>
  <c r="I60" i="29"/>
  <c r="I59" i="27"/>
  <c r="H51" i="10"/>
  <c r="H48" i="1"/>
  <c r="K32" i="10"/>
  <c r="K40" i="10"/>
  <c r="K43" i="10" s="1"/>
  <c r="J35" i="10"/>
  <c r="J8" i="20"/>
  <c r="J57" i="1" s="1"/>
  <c r="J41" i="17"/>
  <c r="J56" i="17" s="1"/>
  <c r="J52" i="29"/>
  <c r="J14" i="19"/>
  <c r="J28" i="3"/>
  <c r="J56" i="1" s="1"/>
  <c r="J86" i="2"/>
  <c r="I101" i="2"/>
  <c r="I119" i="2"/>
  <c r="I105" i="2"/>
  <c r="I132" i="2"/>
  <c r="I131" i="2"/>
  <c r="I100" i="2"/>
  <c r="I130" i="2"/>
  <c r="I128" i="2"/>
  <c r="I118" i="2"/>
  <c r="I102" i="2"/>
  <c r="I104" i="2"/>
  <c r="I91" i="2"/>
  <c r="I90" i="2"/>
  <c r="I133" i="2"/>
  <c r="I129" i="2"/>
  <c r="I65" i="1"/>
  <c r="I50" i="10"/>
  <c r="I48" i="1" s="1"/>
  <c r="G137" i="2"/>
  <c r="G136" i="2"/>
  <c r="G124" i="2"/>
  <c r="G125" i="2"/>
  <c r="J54" i="1"/>
  <c r="J55" i="1"/>
  <c r="L43" i="5"/>
  <c r="K77" i="2"/>
  <c r="K78" i="2"/>
  <c r="K5" i="2"/>
  <c r="L77" i="2"/>
  <c r="E90" i="17"/>
  <c r="E60" i="1" s="1"/>
  <c r="H81" i="15"/>
  <c r="H82" i="15"/>
  <c r="F141" i="2"/>
  <c r="I23" i="29"/>
  <c r="I47" i="29" s="1"/>
  <c r="I50" i="29" s="1"/>
  <c r="J65" i="17"/>
  <c r="H86" i="17"/>
  <c r="H58" i="10"/>
  <c r="E149" i="2"/>
  <c r="J51" i="1"/>
  <c r="J45" i="5"/>
  <c r="L45" i="5" s="1"/>
  <c r="K5" i="27"/>
  <c r="E96" i="29"/>
  <c r="E62" i="1" s="1"/>
  <c r="E61" i="1"/>
  <c r="H92" i="2"/>
  <c r="I50" i="1"/>
  <c r="H12" i="1"/>
  <c r="H31" i="1"/>
  <c r="G109" i="2"/>
  <c r="G108" i="2"/>
  <c r="K5" i="1"/>
  <c r="J40" i="5"/>
  <c r="L14" i="2"/>
  <c r="H36" i="1"/>
  <c r="H134" i="2"/>
  <c r="F64" i="29"/>
  <c r="F66" i="29" s="1"/>
  <c r="F94" i="29" s="1"/>
  <c r="F67" i="17"/>
  <c r="F69" i="17" s="1"/>
  <c r="H17" i="1"/>
  <c r="J32" i="28"/>
  <c r="J35" i="28"/>
  <c r="K34" i="10" s="1"/>
  <c r="J36" i="28"/>
  <c r="J34" i="28"/>
  <c r="I54" i="10"/>
  <c r="H38" i="1"/>
  <c r="G61" i="1"/>
  <c r="D21" i="1"/>
  <c r="I61" i="27" l="1"/>
  <c r="G39" i="1"/>
  <c r="I57" i="10"/>
  <c r="H59" i="10"/>
  <c r="K47" i="10"/>
  <c r="K46" i="10" s="1"/>
  <c r="I53" i="10"/>
  <c r="J45" i="10"/>
  <c r="J49" i="10" s="1"/>
  <c r="J57" i="10" s="1"/>
  <c r="K38" i="10"/>
  <c r="K56" i="27" s="1"/>
  <c r="K57" i="27" s="1"/>
  <c r="J63" i="27"/>
  <c r="J62" i="27" s="1"/>
  <c r="J66" i="1" s="1"/>
  <c r="J55" i="27"/>
  <c r="D23" i="1"/>
  <c r="D40" i="1"/>
  <c r="D42" i="1" s="1"/>
  <c r="I13" i="1"/>
  <c r="G66" i="17"/>
  <c r="G70" i="17"/>
  <c r="H63" i="17"/>
  <c r="I64" i="27"/>
  <c r="I63" i="17" s="1"/>
  <c r="I86" i="17"/>
  <c r="H99" i="29"/>
  <c r="D63" i="1"/>
  <c r="F88" i="17"/>
  <c r="F90" i="17" s="1"/>
  <c r="F60" i="1" s="1"/>
  <c r="I18" i="1"/>
  <c r="J46" i="5"/>
  <c r="I19" i="1"/>
  <c r="G141" i="2"/>
  <c r="L79" i="2"/>
  <c r="K79" i="2"/>
  <c r="K50" i="1" s="1"/>
  <c r="N50" i="1" s="1"/>
  <c r="I51" i="10"/>
  <c r="I58" i="10"/>
  <c r="J23" i="29"/>
  <c r="M75" i="5"/>
  <c r="J43" i="17"/>
  <c r="G140" i="2"/>
  <c r="G142" i="2" s="1"/>
  <c r="I55" i="10"/>
  <c r="E40" i="1"/>
  <c r="I120" i="2"/>
  <c r="I125" i="2" s="1"/>
  <c r="I35" i="1"/>
  <c r="I36" i="1"/>
  <c r="I33" i="1"/>
  <c r="I34" i="1"/>
  <c r="I32" i="1"/>
  <c r="H96" i="2"/>
  <c r="H97" i="2"/>
  <c r="I62" i="29"/>
  <c r="I54" i="29"/>
  <c r="I92" i="29" s="1"/>
  <c r="I17" i="1"/>
  <c r="I14" i="1"/>
  <c r="I15" i="1"/>
  <c r="I16" i="1"/>
  <c r="M57" i="1"/>
  <c r="M38" i="1"/>
  <c r="F142" i="2"/>
  <c r="F147" i="2"/>
  <c r="K35" i="10"/>
  <c r="K8" i="20"/>
  <c r="K57" i="1" s="1"/>
  <c r="K14" i="19"/>
  <c r="K28" i="3"/>
  <c r="K56" i="1" s="1"/>
  <c r="K52" i="29"/>
  <c r="K86" i="2"/>
  <c r="K41" i="17"/>
  <c r="K56" i="17" s="1"/>
  <c r="G112" i="2"/>
  <c r="I38" i="1"/>
  <c r="I12" i="1"/>
  <c r="I31" i="1"/>
  <c r="M50" i="1"/>
  <c r="M31" i="1"/>
  <c r="F148" i="2"/>
  <c r="M36" i="1"/>
  <c r="M55" i="1"/>
  <c r="I81" i="15"/>
  <c r="I82" i="15"/>
  <c r="J54" i="10"/>
  <c r="H29" i="1"/>
  <c r="H10" i="1"/>
  <c r="K39" i="5"/>
  <c r="K42" i="5"/>
  <c r="K39" i="17"/>
  <c r="H136" i="2"/>
  <c r="H137" i="2"/>
  <c r="J52" i="1"/>
  <c r="G113" i="2"/>
  <c r="E22" i="1"/>
  <c r="E41" i="1"/>
  <c r="I92" i="2"/>
  <c r="K45" i="10"/>
  <c r="K49" i="10" s="1"/>
  <c r="H125" i="2"/>
  <c r="H124" i="2"/>
  <c r="K43" i="5"/>
  <c r="M67" i="5"/>
  <c r="K44" i="5"/>
  <c r="M44" i="5" s="1"/>
  <c r="M71" i="5"/>
  <c r="M45" i="5"/>
  <c r="J59" i="27"/>
  <c r="J60" i="29"/>
  <c r="F61" i="1"/>
  <c r="F22" i="1" s="1"/>
  <c r="F96" i="29"/>
  <c r="F62" i="1" s="1"/>
  <c r="I37" i="1"/>
  <c r="J65" i="1"/>
  <c r="J50" i="10"/>
  <c r="J48" i="1" s="1"/>
  <c r="E21" i="1"/>
  <c r="E63" i="1"/>
  <c r="M77" i="2"/>
  <c r="I10" i="1"/>
  <c r="I29" i="1"/>
  <c r="I134" i="2"/>
  <c r="J101" i="2"/>
  <c r="L101" i="2" s="1"/>
  <c r="J119" i="2"/>
  <c r="L119" i="2" s="1"/>
  <c r="J105" i="2"/>
  <c r="L105" i="2" s="1"/>
  <c r="J90" i="2"/>
  <c r="J131" i="2"/>
  <c r="L131" i="2" s="1"/>
  <c r="J130" i="2"/>
  <c r="L130" i="2" s="1"/>
  <c r="J104" i="2"/>
  <c r="L104" i="2" s="1"/>
  <c r="J91" i="2"/>
  <c r="J118" i="2"/>
  <c r="L118" i="2" s="1"/>
  <c r="J129" i="2"/>
  <c r="L129" i="2" s="1"/>
  <c r="J128" i="2"/>
  <c r="J133" i="2"/>
  <c r="L133" i="2" s="1"/>
  <c r="J102" i="2"/>
  <c r="L102" i="2" s="1"/>
  <c r="J132" i="2"/>
  <c r="L132" i="2" s="1"/>
  <c r="J100" i="2"/>
  <c r="L56" i="17"/>
  <c r="J53" i="1"/>
  <c r="L43" i="17"/>
  <c r="G41" i="1"/>
  <c r="G22" i="1"/>
  <c r="I59" i="10" l="1"/>
  <c r="K63" i="27"/>
  <c r="K61" i="27" s="1"/>
  <c r="J80" i="17"/>
  <c r="J86" i="17" s="1"/>
  <c r="J61" i="27"/>
  <c r="J53" i="10"/>
  <c r="J55" i="10" s="1"/>
  <c r="K55" i="27"/>
  <c r="G67" i="17"/>
  <c r="G69" i="17" s="1"/>
  <c r="G88" i="17" s="1"/>
  <c r="G59" i="1" s="1"/>
  <c r="G21" i="1" s="1"/>
  <c r="J38" i="1"/>
  <c r="H70" i="17"/>
  <c r="H66" i="17"/>
  <c r="I66" i="27"/>
  <c r="J64" i="27"/>
  <c r="J66" i="27" s="1"/>
  <c r="I99" i="29"/>
  <c r="E23" i="1"/>
  <c r="E42" i="1"/>
  <c r="F59" i="1"/>
  <c r="F40" i="1" s="1"/>
  <c r="M79" i="2"/>
  <c r="J35" i="1"/>
  <c r="J32" i="1"/>
  <c r="I124" i="2"/>
  <c r="F41" i="1"/>
  <c r="J36" i="1"/>
  <c r="L120" i="2"/>
  <c r="J16" i="1"/>
  <c r="L100" i="2"/>
  <c r="J10" i="1"/>
  <c r="J29" i="1"/>
  <c r="K65" i="1"/>
  <c r="K50" i="10"/>
  <c r="K48" i="1" s="1"/>
  <c r="N48" i="1" s="1"/>
  <c r="K23" i="29"/>
  <c r="J12" i="1"/>
  <c r="J13" i="1"/>
  <c r="H141" i="2"/>
  <c r="K54" i="1"/>
  <c r="K46" i="5"/>
  <c r="K51" i="1"/>
  <c r="M48" i="1"/>
  <c r="J58" i="10"/>
  <c r="J59" i="10" s="1"/>
  <c r="J31" i="1"/>
  <c r="G114" i="2"/>
  <c r="G147" i="2"/>
  <c r="I70" i="17"/>
  <c r="I66" i="17"/>
  <c r="M19" i="1"/>
  <c r="J37" i="1"/>
  <c r="J134" i="2"/>
  <c r="L128" i="2"/>
  <c r="I136" i="2"/>
  <c r="I140" i="2" s="1"/>
  <c r="I137" i="2"/>
  <c r="I141" i="2" s="1"/>
  <c r="L134" i="2"/>
  <c r="G148" i="2"/>
  <c r="K62" i="27"/>
  <c r="K66" i="1" s="1"/>
  <c r="J51" i="10"/>
  <c r="H140" i="2"/>
  <c r="K65" i="17"/>
  <c r="K43" i="17"/>
  <c r="M43" i="17" s="1"/>
  <c r="M10" i="1"/>
  <c r="J17" i="1"/>
  <c r="M56" i="17"/>
  <c r="J18" i="1"/>
  <c r="J81" i="15"/>
  <c r="J82" i="15"/>
  <c r="L90" i="2"/>
  <c r="J15" i="1"/>
  <c r="J34" i="1"/>
  <c r="J120" i="2"/>
  <c r="J92" i="2"/>
  <c r="L91" i="2"/>
  <c r="K55" i="1"/>
  <c r="M43" i="5"/>
  <c r="K80" i="17"/>
  <c r="I97" i="2"/>
  <c r="I96" i="2"/>
  <c r="L80" i="17"/>
  <c r="J14" i="1"/>
  <c r="J33" i="1"/>
  <c r="M29" i="1"/>
  <c r="M17" i="1"/>
  <c r="M12" i="1"/>
  <c r="K131" i="2"/>
  <c r="M131" i="2" s="1"/>
  <c r="K100" i="2"/>
  <c r="K130" i="2"/>
  <c r="M130" i="2" s="1"/>
  <c r="K104" i="2"/>
  <c r="M104" i="2" s="1"/>
  <c r="K105" i="2"/>
  <c r="M105" i="2" s="1"/>
  <c r="K91" i="2"/>
  <c r="M91" i="2" s="1"/>
  <c r="K118" i="2"/>
  <c r="M118" i="2" s="1"/>
  <c r="K132" i="2"/>
  <c r="M132" i="2" s="1"/>
  <c r="K101" i="2"/>
  <c r="M101" i="2" s="1"/>
  <c r="K119" i="2"/>
  <c r="K90" i="2"/>
  <c r="K81" i="15" s="1"/>
  <c r="K129" i="2"/>
  <c r="M129" i="2" s="1"/>
  <c r="K128" i="2"/>
  <c r="K133" i="2"/>
  <c r="M133" i="2" s="1"/>
  <c r="K102" i="2"/>
  <c r="M102" i="2" s="1"/>
  <c r="N57" i="1"/>
  <c r="J19" i="1"/>
  <c r="K59" i="27"/>
  <c r="K60" i="29"/>
  <c r="K57" i="10"/>
  <c r="K54" i="10"/>
  <c r="K53" i="10"/>
  <c r="F149" i="2"/>
  <c r="L70" i="17" l="1"/>
  <c r="I67" i="17"/>
  <c r="I69" i="17" s="1"/>
  <c r="I88" i="17" s="1"/>
  <c r="L86" i="17"/>
  <c r="G90" i="17"/>
  <c r="G60" i="1" s="1"/>
  <c r="G63" i="1" s="1"/>
  <c r="G23" i="1"/>
  <c r="H67" i="17"/>
  <c r="H69" i="17" s="1"/>
  <c r="J63" i="17"/>
  <c r="K64" i="27"/>
  <c r="K63" i="17" s="1"/>
  <c r="J99" i="29"/>
  <c r="F63" i="1"/>
  <c r="F21" i="1"/>
  <c r="N38" i="1"/>
  <c r="N31" i="1"/>
  <c r="F42" i="1"/>
  <c r="K38" i="1"/>
  <c r="K86" i="17"/>
  <c r="K55" i="10"/>
  <c r="K19" i="1"/>
  <c r="M80" i="17"/>
  <c r="L92" i="2"/>
  <c r="K18" i="1"/>
  <c r="N10" i="1"/>
  <c r="K58" i="10"/>
  <c r="K59" i="10" s="1"/>
  <c r="N19" i="1"/>
  <c r="K51" i="10"/>
  <c r="N12" i="1"/>
  <c r="K16" i="1"/>
  <c r="K35" i="1"/>
  <c r="J136" i="2"/>
  <c r="L136" i="2" s="1"/>
  <c r="J137" i="2"/>
  <c r="L137" i="2" s="1"/>
  <c r="M128" i="2"/>
  <c r="K134" i="2"/>
  <c r="J124" i="2"/>
  <c r="J125" i="2"/>
  <c r="H142" i="2"/>
  <c r="K13" i="1"/>
  <c r="K32" i="1"/>
  <c r="K10" i="1"/>
  <c r="K29" i="1"/>
  <c r="M90" i="2"/>
  <c r="M92" i="2" s="1"/>
  <c r="K120" i="2"/>
  <c r="K92" i="2"/>
  <c r="K33" i="1"/>
  <c r="K31" i="1"/>
  <c r="K34" i="1"/>
  <c r="I142" i="2"/>
  <c r="K17" i="1"/>
  <c r="K36" i="1"/>
  <c r="N17" i="1"/>
  <c r="N36" i="1"/>
  <c r="N55" i="1"/>
  <c r="J96" i="2"/>
  <c r="L96" i="2" s="1"/>
  <c r="J97" i="2"/>
  <c r="N29" i="1"/>
  <c r="K14" i="1"/>
  <c r="K15" i="1"/>
  <c r="K12" i="1"/>
  <c r="M100" i="2"/>
  <c r="M119" i="2"/>
  <c r="M120" i="2" s="1"/>
  <c r="K37" i="1"/>
  <c r="G149" i="2"/>
  <c r="J66" i="17" l="1"/>
  <c r="L69" i="17"/>
  <c r="H88" i="17"/>
  <c r="H90" i="17" s="1"/>
  <c r="G40" i="1"/>
  <c r="G42" i="1" s="1"/>
  <c r="F23" i="1"/>
  <c r="J67" i="17"/>
  <c r="J69" i="17" s="1"/>
  <c r="M86" i="17"/>
  <c r="J70" i="17"/>
  <c r="K66" i="27"/>
  <c r="K99" i="29"/>
  <c r="I90" i="17"/>
  <c r="L97" i="2"/>
  <c r="K96" i="2"/>
  <c r="K97" i="2"/>
  <c r="M97" i="2" s="1"/>
  <c r="J141" i="2"/>
  <c r="L141" i="2" s="1"/>
  <c r="L125" i="2"/>
  <c r="K124" i="2"/>
  <c r="M124" i="2" s="1"/>
  <c r="K125" i="2"/>
  <c r="J140" i="2"/>
  <c r="L124" i="2"/>
  <c r="K136" i="2"/>
  <c r="M136" i="2" s="1"/>
  <c r="K137" i="2"/>
  <c r="M137" i="2" s="1"/>
  <c r="M134" i="2"/>
  <c r="K66" i="17"/>
  <c r="K70" i="17"/>
  <c r="L88" i="17" l="1"/>
  <c r="L90" i="17"/>
  <c r="J88" i="17"/>
  <c r="J90" i="17" s="1"/>
  <c r="M70" i="17"/>
  <c r="K67" i="17"/>
  <c r="K69" i="17" s="1"/>
  <c r="M69" i="17" s="1"/>
  <c r="H101" i="29"/>
  <c r="H63" i="29"/>
  <c r="K141" i="2"/>
  <c r="M141" i="2" s="1"/>
  <c r="K140" i="2"/>
  <c r="J142" i="2"/>
  <c r="L142" i="2" s="1"/>
  <c r="L140" i="2"/>
  <c r="M125" i="2"/>
  <c r="M96" i="2"/>
  <c r="K88" i="17" l="1"/>
  <c r="K90" i="17" s="1"/>
  <c r="H102" i="29"/>
  <c r="H59" i="1"/>
  <c r="I101" i="29"/>
  <c r="I63" i="29"/>
  <c r="H64" i="29"/>
  <c r="H66" i="29" s="1"/>
  <c r="H94" i="29" s="1"/>
  <c r="K142" i="2"/>
  <c r="M142" i="2" s="1"/>
  <c r="M140" i="2"/>
  <c r="M88" i="17" l="1"/>
  <c r="J101" i="29"/>
  <c r="J63" i="29"/>
  <c r="I64" i="29"/>
  <c r="I66" i="29" s="1"/>
  <c r="I94" i="29" s="1"/>
  <c r="H21" i="1"/>
  <c r="H96" i="29"/>
  <c r="H62" i="1" s="1"/>
  <c r="H61" i="1"/>
  <c r="I102" i="29"/>
  <c r="I59" i="1"/>
  <c r="M21" i="1" s="1"/>
  <c r="H60" i="1"/>
  <c r="M90" i="17"/>
  <c r="M59" i="1" l="1"/>
  <c r="H41" i="1"/>
  <c r="I21" i="1"/>
  <c r="K101" i="29"/>
  <c r="K63" i="29"/>
  <c r="I61" i="1"/>
  <c r="I22" i="1" s="1"/>
  <c r="I96" i="29"/>
  <c r="I62" i="1" s="1"/>
  <c r="M62" i="1" s="1"/>
  <c r="I60" i="1"/>
  <c r="M40" i="1" s="1"/>
  <c r="H40" i="1"/>
  <c r="H22" i="1"/>
  <c r="J102" i="29"/>
  <c r="J59" i="1"/>
  <c r="M41" i="1" l="1"/>
  <c r="M60" i="1"/>
  <c r="M22" i="1"/>
  <c r="M61" i="1"/>
  <c r="I41" i="1"/>
  <c r="J60" i="1"/>
  <c r="K102" i="29"/>
  <c r="K59" i="1"/>
  <c r="I40" i="1"/>
  <c r="J21" i="1"/>
  <c r="H17" i="3"/>
  <c r="H18" i="4" s="1"/>
  <c r="N59" i="1" l="1"/>
  <c r="J40" i="1"/>
  <c r="N21" i="1"/>
  <c r="K60" i="1"/>
  <c r="K21" i="1"/>
  <c r="N40" i="1" l="1"/>
  <c r="K40" i="1"/>
  <c r="N60" i="1"/>
  <c r="H14" i="4" l="1"/>
  <c r="H66" i="4" l="1"/>
  <c r="H68" i="4" s="1"/>
  <c r="H57" i="5" l="1"/>
  <c r="M13" i="5"/>
  <c r="L13" i="5"/>
  <c r="H28" i="3"/>
  <c r="H56" i="1" s="1"/>
  <c r="H12" i="3" l="1"/>
  <c r="H17" i="4" s="1"/>
  <c r="H26" i="4" s="1"/>
  <c r="H28" i="4" s="1"/>
  <c r="H61" i="5"/>
  <c r="M14" i="5"/>
  <c r="L14" i="5"/>
  <c r="H37" i="1"/>
  <c r="H18" i="1"/>
  <c r="M56" i="1"/>
  <c r="M37" i="1"/>
  <c r="N56" i="1"/>
  <c r="M18" i="1"/>
  <c r="N37" i="1"/>
  <c r="N18" i="1"/>
  <c r="M57" i="5"/>
  <c r="H59" i="5"/>
  <c r="L57" i="5"/>
  <c r="H41" i="5" l="1"/>
  <c r="L59" i="5"/>
  <c r="M59" i="5"/>
  <c r="H49" i="5"/>
  <c r="M11" i="5"/>
  <c r="H18" i="5"/>
  <c r="L11" i="5"/>
  <c r="H53" i="5"/>
  <c r="M12" i="5"/>
  <c r="L12" i="5"/>
  <c r="M61" i="5"/>
  <c r="H63" i="5"/>
  <c r="L61" i="5"/>
  <c r="H42" i="5" l="1"/>
  <c r="L63" i="5"/>
  <c r="M63" i="5"/>
  <c r="M53" i="5"/>
  <c r="H55" i="5"/>
  <c r="L53" i="5"/>
  <c r="M49" i="5"/>
  <c r="H51" i="5"/>
  <c r="L49" i="5"/>
  <c r="L18" i="5"/>
  <c r="M18" i="5"/>
  <c r="H53" i="1"/>
  <c r="L41" i="5"/>
  <c r="M41" i="5"/>
  <c r="H15" i="1" l="1"/>
  <c r="H34" i="1"/>
  <c r="M15" i="1"/>
  <c r="N53" i="1"/>
  <c r="M34" i="1"/>
  <c r="N34" i="1"/>
  <c r="M53" i="1"/>
  <c r="N15" i="1"/>
  <c r="H39" i="5"/>
  <c r="L51" i="5"/>
  <c r="M51" i="5"/>
  <c r="H40" i="5"/>
  <c r="L55" i="5"/>
  <c r="M55" i="5"/>
  <c r="H54" i="1"/>
  <c r="L42" i="5"/>
  <c r="M42" i="5"/>
  <c r="H35" i="1" l="1"/>
  <c r="H16" i="1"/>
  <c r="M35" i="1"/>
  <c r="M54" i="1"/>
  <c r="M16" i="1"/>
  <c r="N54" i="1"/>
  <c r="N35" i="1"/>
  <c r="N16" i="1"/>
  <c r="H52" i="1"/>
  <c r="M40" i="5"/>
  <c r="L40" i="5"/>
  <c r="H51" i="1"/>
  <c r="H46" i="5"/>
  <c r="L39" i="5"/>
  <c r="M39" i="5"/>
  <c r="M46" i="5" l="1"/>
  <c r="H32" i="1"/>
  <c r="H13" i="1"/>
  <c r="M32" i="1"/>
  <c r="M51" i="1"/>
  <c r="M13" i="1"/>
  <c r="N51" i="1"/>
  <c r="N13" i="1"/>
  <c r="N32" i="1"/>
  <c r="L46" i="5"/>
  <c r="H33" i="1"/>
  <c r="H14" i="1"/>
  <c r="N52" i="1"/>
  <c r="M14" i="1"/>
  <c r="M52" i="1"/>
  <c r="M33" i="1"/>
  <c r="N33" i="1"/>
  <c r="N14" i="1"/>
  <c r="J102" i="5" l="1"/>
  <c r="J15" i="4" l="1"/>
  <c r="J26" i="4" s="1"/>
  <c r="J22" i="29"/>
  <c r="J47" i="29" l="1"/>
  <c r="H28" i="2" l="1"/>
  <c r="H103" i="2"/>
  <c r="H106" i="2" s="1"/>
  <c r="L25" i="2"/>
  <c r="H30" i="2" l="1"/>
  <c r="H31" i="2"/>
  <c r="H109" i="2"/>
  <c r="H113" i="2" s="1"/>
  <c r="H108" i="2"/>
  <c r="H35" i="2" l="1"/>
  <c r="H112" i="2"/>
  <c r="H148" i="2"/>
  <c r="H34" i="2"/>
  <c r="H114" i="2" l="1"/>
  <c r="H147" i="2"/>
  <c r="H69" i="2"/>
  <c r="H36" i="2"/>
  <c r="H70" i="2"/>
  <c r="H49" i="1"/>
  <c r="H149" i="2" l="1"/>
  <c r="H30" i="1"/>
  <c r="H39" i="1" s="1"/>
  <c r="H42" i="1" s="1"/>
  <c r="H11" i="1"/>
  <c r="H20" i="1" s="1"/>
  <c r="H23" i="1" s="1"/>
  <c r="H58" i="1"/>
  <c r="H63" i="1" s="1"/>
  <c r="H71" i="2"/>
  <c r="J28" i="2" l="1"/>
  <c r="J103" i="2"/>
  <c r="J106" i="2" s="1"/>
  <c r="I28" i="2"/>
  <c r="L28" i="2" s="1"/>
  <c r="M25" i="2"/>
  <c r="I103" i="2"/>
  <c r="L103" i="2" s="1"/>
  <c r="K103" i="2"/>
  <c r="K106" i="2" s="1"/>
  <c r="K28" i="2"/>
  <c r="I31" i="2" l="1"/>
  <c r="L31" i="2" s="1"/>
  <c r="I30" i="2"/>
  <c r="L30" i="2" s="1"/>
  <c r="M28" i="2"/>
  <c r="K108" i="2"/>
  <c r="K112" i="2" s="1"/>
  <c r="K109" i="2"/>
  <c r="K113" i="2" s="1"/>
  <c r="K148" i="2" s="1"/>
  <c r="J109" i="2"/>
  <c r="J113" i="2" s="1"/>
  <c r="J148" i="2" s="1"/>
  <c r="J108" i="2"/>
  <c r="J112" i="2" s="1"/>
  <c r="K31" i="2"/>
  <c r="K35" i="2" s="1"/>
  <c r="K30" i="2"/>
  <c r="K34" i="2" s="1"/>
  <c r="M103" i="2"/>
  <c r="I106" i="2"/>
  <c r="L106" i="2" s="1"/>
  <c r="J31" i="2"/>
  <c r="J35" i="2" s="1"/>
  <c r="J30" i="2"/>
  <c r="J34" i="2" s="1"/>
  <c r="J70" i="2" l="1"/>
  <c r="J49" i="1"/>
  <c r="K49" i="1"/>
  <c r="K70" i="2"/>
  <c r="K147" i="2"/>
  <c r="K149" i="2" s="1"/>
  <c r="K114" i="2"/>
  <c r="J114" i="2"/>
  <c r="J147" i="2"/>
  <c r="J149" i="2" s="1"/>
  <c r="M30" i="2"/>
  <c r="I34" i="2"/>
  <c r="L34" i="2" s="1"/>
  <c r="M106" i="2"/>
  <c r="I108" i="2"/>
  <c r="L108" i="2" s="1"/>
  <c r="I109" i="2"/>
  <c r="L109" i="2" s="1"/>
  <c r="J36" i="2"/>
  <c r="J69" i="2"/>
  <c r="K36" i="2"/>
  <c r="K69" i="2"/>
  <c r="M31" i="2"/>
  <c r="I35" i="2"/>
  <c r="L35" i="2" s="1"/>
  <c r="J71" i="2" l="1"/>
  <c r="I112" i="2"/>
  <c r="L112" i="2" s="1"/>
  <c r="M108" i="2"/>
  <c r="K30" i="1"/>
  <c r="K39" i="1" s="1"/>
  <c r="K58" i="1"/>
  <c r="K11" i="1"/>
  <c r="K20" i="1" s="1"/>
  <c r="M35" i="2"/>
  <c r="I49" i="1"/>
  <c r="I70" i="2"/>
  <c r="I36" i="2"/>
  <c r="M34" i="2"/>
  <c r="I69" i="2"/>
  <c r="L69" i="2" s="1"/>
  <c r="J30" i="1"/>
  <c r="J39" i="1" s="1"/>
  <c r="J11" i="1"/>
  <c r="J20" i="1" s="1"/>
  <c r="J58" i="1"/>
  <c r="K71" i="2"/>
  <c r="I113" i="2"/>
  <c r="L113" i="2" s="1"/>
  <c r="M109" i="2"/>
  <c r="M11" i="1" l="1"/>
  <c r="M20" i="1" s="1"/>
  <c r="M23" i="1" s="1"/>
  <c r="M30" i="1"/>
  <c r="M39" i="1" s="1"/>
  <c r="M42" i="1" s="1"/>
  <c r="M49" i="1"/>
  <c r="M58" i="1" s="1"/>
  <c r="M63" i="1" s="1"/>
  <c r="M36" i="2"/>
  <c r="L36" i="2"/>
  <c r="M70" i="2"/>
  <c r="L70" i="2"/>
  <c r="I148" i="2"/>
  <c r="M113" i="2"/>
  <c r="I71" i="2"/>
  <c r="M69" i="2"/>
  <c r="N11" i="1"/>
  <c r="I11" i="1"/>
  <c r="I20" i="1" s="1"/>
  <c r="I23" i="1" s="1"/>
  <c r="N49" i="1"/>
  <c r="N58" i="1" s="1"/>
  <c r="I58" i="1"/>
  <c r="I63" i="1" s="1"/>
  <c r="N30" i="1"/>
  <c r="I30" i="1"/>
  <c r="I39" i="1" s="1"/>
  <c r="I42" i="1" s="1"/>
  <c r="I114" i="2"/>
  <c r="M112" i="2"/>
  <c r="I147" i="2"/>
  <c r="L147" i="2" s="1"/>
  <c r="M71" i="2" l="1"/>
  <c r="L71" i="2"/>
  <c r="M114" i="2"/>
  <c r="L114" i="2"/>
  <c r="M148" i="2"/>
  <c r="L148" i="2"/>
  <c r="N39" i="1"/>
  <c r="N20" i="1"/>
  <c r="M147" i="2"/>
  <c r="I149" i="2"/>
  <c r="M149" i="2" l="1"/>
  <c r="L149" i="2"/>
  <c r="D35" i="19"/>
  <c r="D36" i="19"/>
  <c r="J50" i="29" l="1"/>
  <c r="J62" i="29" l="1"/>
  <c r="J64" i="29" s="1"/>
  <c r="J66" i="29" s="1"/>
  <c r="J94" i="29" s="1"/>
  <c r="J61" i="1" s="1"/>
  <c r="J54" i="29"/>
  <c r="J92" i="29" s="1"/>
  <c r="J96" i="29" l="1"/>
  <c r="J62" i="1" s="1"/>
  <c r="J22" i="1"/>
  <c r="J23" i="1" s="1"/>
  <c r="J41" i="1"/>
  <c r="J42" i="1" s="1"/>
  <c r="J63" i="1"/>
  <c r="K102" i="5" l="1"/>
  <c r="K15" i="4" l="1"/>
  <c r="K26" i="4" s="1"/>
  <c r="K22" i="29"/>
  <c r="K47" i="29" l="1"/>
  <c r="K50" i="29"/>
  <c r="K54" i="29" l="1"/>
  <c r="K92" i="29" s="1"/>
  <c r="K62" i="29"/>
  <c r="K64" i="29" s="1"/>
  <c r="K66" i="29" s="1"/>
  <c r="K94" i="29" s="1"/>
  <c r="K61" i="1" s="1"/>
  <c r="N22" i="1" l="1"/>
  <c r="N61" i="1"/>
  <c r="K22" i="1"/>
  <c r="K23" i="1" s="1"/>
  <c r="K96" i="29"/>
  <c r="K62" i="1" s="1"/>
  <c r="N41" i="1" s="1"/>
  <c r="N42" i="1" l="1"/>
  <c r="N23" i="1"/>
  <c r="K41" i="1"/>
  <c r="K42" i="1" s="1"/>
  <c r="N62" i="1"/>
  <c r="N63" i="1" s="1"/>
  <c r="K63" i="1"/>
  <c r="I64" i="4" l="1"/>
  <c r="I45" i="4" l="1"/>
  <c r="I66" i="4" s="1"/>
  <c r="I68" i="4" s="1"/>
</calcChain>
</file>

<file path=xl/sharedStrings.xml><?xml version="1.0" encoding="utf-8"?>
<sst xmlns="http://schemas.openxmlformats.org/spreadsheetml/2006/main" count="1387" uniqueCount="604">
  <si>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</si>
  <si>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</si>
  <si>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</si>
  <si>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</si>
  <si>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</si>
  <si>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</si>
  <si>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</si>
  <si>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</si>
  <si>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</si>
  <si>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</si>
  <si>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</si>
  <si>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</si>
  <si>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</si>
  <si>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</si>
  <si>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</si>
  <si>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</si>
  <si>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</si>
  <si>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</si>
  <si>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</si>
  <si>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</si>
  <si>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</si>
  <si>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</si>
  <si>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</si>
  <si>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</si>
  <si>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</si>
  <si>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</si>
  <si>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</si>
  <si>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</si>
  <si>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</si>
  <si>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</si>
  <si>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</si>
  <si>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</si>
  <si>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</si>
  <si>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</si>
  <si>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</si>
  <si>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</si>
  <si>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</si>
  <si>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</si>
  <si>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</si>
  <si>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</si>
  <si>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</si>
  <si>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</si>
  <si>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</si>
  <si>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</si>
  <si>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</si>
  <si>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</si>
  <si>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</si>
  <si>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</si>
  <si>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</si>
  <si>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</si>
  <si>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</si>
  <si>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</si>
  <si>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</si>
  <si>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</si>
  <si>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</si>
  <si>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</si>
  <si>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</si>
  <si>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</si>
  <si>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</si>
  <si>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</si>
  <si>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</si>
  <si>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</si>
  <si>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</si>
  <si>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</si>
  <si>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</si>
  <si>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</si>
  <si>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</si>
  <si>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</si>
  <si>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</si>
  <si>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</si>
  <si>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</si>
  <si>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</si>
  <si>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</si>
  <si>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</si>
  <si>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</si>
  <si>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</si>
  <si>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</si>
  <si>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</si>
  <si>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</si>
  <si>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</si>
  <si>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</si>
  <si>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</si>
  <si>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</si>
  <si>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</si>
  <si>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</si>
  <si>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</si>
  <si>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</si>
  <si>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</si>
  <si>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</si>
  <si>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</si>
  <si>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</si>
  <si>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</si>
  <si>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</si>
  <si>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</si>
  <si>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</si>
  <si>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</si>
  <si>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</si>
  <si>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</si>
  <si>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</si>
  <si>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</si>
  <si>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</si>
  <si>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</si>
  <si>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</si>
  <si>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</si>
  <si>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</si>
  <si>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</si>
  <si>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</si>
  <si>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</si>
  <si>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</si>
  <si>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</si>
  <si>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</si>
  <si>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</si>
  <si>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</si>
  <si>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</si>
  <si>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</si>
  <si>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</si>
  <si>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</si>
  <si>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</si>
  <si>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</si>
  <si>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</si>
  <si>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</si>
  <si>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</si>
  <si>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</si>
  <si>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</si>
  <si>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</si>
  <si>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</si>
  <si>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</si>
  <si>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</si>
  <si>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</si>
  <si>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</si>
  <si>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</si>
  <si>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</si>
  <si>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</si>
  <si>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</si>
  <si>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</si>
  <si>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</si>
  <si>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</si>
  <si>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</si>
  <si>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</si>
  <si>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</si>
  <si>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</si>
  <si>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</si>
  <si>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</si>
  <si>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</si>
  <si>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</si>
  <si>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</si>
  <si>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</si>
  <si>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</si>
  <si>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</si>
  <si>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</si>
  <si>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</si>
  <si>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</si>
  <si>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</si>
  <si>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</si>
  <si>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</si>
  <si>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</si>
  <si>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</si>
  <si>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</si>
  <si>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</si>
  <si>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</si>
  <si>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</si>
  <si>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</si>
  <si>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</si>
  <si>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</si>
  <si>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</si>
  <si>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</si>
  <si>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</si>
  <si>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</si>
  <si>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</si>
  <si>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</si>
  <si>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</si>
  <si>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</si>
  <si>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</si>
  <si>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</si>
  <si>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</si>
  <si>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</si>
  <si>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</si>
  <si>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</si>
  <si>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</si>
  <si>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</si>
  <si>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</si>
  <si>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</si>
  <si>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</si>
  <si>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</si>
  <si>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</si>
  <si>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</si>
  <si>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</si>
  <si>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</si>
  <si>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</si>
  <si>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</si>
  <si>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</si>
  <si>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</si>
  <si>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</si>
  <si>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</si>
  <si>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</si>
  <si>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</si>
  <si>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</si>
  <si>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</si>
  <si>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</si>
  <si>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</si>
  <si>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</si>
  <si>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</si>
  <si>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</si>
  <si>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</si>
  <si>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</si>
  <si>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</si>
  <si>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</si>
  <si>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</si>
  <si>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</si>
  <si>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</si>
  <si>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</si>
  <si>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</si>
  <si>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</si>
  <si>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</si>
  <si>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</si>
  <si>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</si>
  <si>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</si>
  <si>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</si>
  <si>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</si>
  <si>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</si>
  <si>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</si>
  <si>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</si>
  <si>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</si>
  <si>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</si>
  <si>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</si>
  <si>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</si>
  <si>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</si>
  <si>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</si>
  <si>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</si>
  <si>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</si>
  <si>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</si>
  <si>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</si>
  <si>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</si>
  <si>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</si>
  <si>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</si>
  <si>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</si>
  <si>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</si>
  <si>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</si>
  <si>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</si>
  <si>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</si>
  <si>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</si>
  <si>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</si>
  <si>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</si>
  <si>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</si>
  <si>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</si>
  <si>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</si>
  <si>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</si>
  <si>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</si>
  <si>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</si>
  <si>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</si>
  <si>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</si>
  <si>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</si>
  <si>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</si>
  <si>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</si>
  <si>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</si>
  <si>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</si>
  <si>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</si>
  <si>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</si>
  <si>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</si>
  <si>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</si>
  <si>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</si>
  <si>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</si>
  <si>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</si>
  <si>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</si>
  <si>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</si>
  <si>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</si>
  <si>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</si>
  <si>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</si>
  <si>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</si>
  <si>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</si>
  <si>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</si>
  <si>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</si>
  <si>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</si>
  <si>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</si>
  <si>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</si>
  <si>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</si>
  <si>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</si>
  <si>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</si>
  <si>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</si>
  <si>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</si>
  <si>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£m</t>
  </si>
  <si>
    <t>Debt issuance expenses (inc. amortisation to discounts that had previously benefitted from a tax deduction)</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</si>
  <si>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</si>
  <si>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</si>
  <si>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</si>
  <si>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</si>
  <si>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</si>
  <si>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</si>
  <si>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</si>
  <si>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</si>
  <si>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</si>
  <si>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</si>
  <si>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</si>
  <si>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</si>
  <si>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</si>
  <si>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</si>
  <si>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</si>
  <si>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</si>
  <si>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</si>
  <si>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</si>
  <si>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</si>
  <si>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</si>
  <si>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</si>
  <si>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</si>
  <si>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</si>
  <si>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</si>
  <si>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</si>
  <si>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</si>
  <si>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</si>
  <si>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</si>
  <si>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</si>
  <si>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</si>
  <si>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</si>
  <si>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</si>
  <si>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</si>
  <si>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</si>
  <si>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</si>
  <si>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</si>
  <si>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</si>
  <si>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</si>
  <si>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</si>
  <si>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</si>
  <si>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</si>
  <si>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</si>
  <si>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</si>
  <si>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</si>
  <si>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</si>
  <si>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</si>
  <si>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</si>
  <si>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</si>
  <si>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</si>
  <si>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</si>
  <si>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</si>
  <si>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</si>
  <si>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</si>
  <si>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</si>
  <si>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</si>
  <si>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</si>
  <si>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</si>
  <si>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</si>
  <si>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</si>
  <si>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</si>
  <si>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</si>
  <si>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</si>
  <si>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</si>
  <si>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</si>
  <si>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</si>
  <si>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</si>
  <si>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</si>
  <si>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3. Other adjustment (Overwrite)</t>
  </si>
  <si>
    <t>4. Other adjustment (Overwrite)</t>
  </si>
  <si>
    <t>5. Other adjustment (Overwrite)</t>
  </si>
  <si>
    <t>6. Other adjustment (Overwrite)</t>
  </si>
  <si>
    <t>7. Other adjustment (Overwrite)</t>
  </si>
  <si>
    <t>8. Other adjustment (Overwrite)</t>
  </si>
  <si>
    <t>9. Other adjustment (Overwrite)</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</si>
  <si>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</si>
  <si>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</si>
  <si>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</si>
  <si>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</si>
  <si>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</si>
  <si>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</si>
  <si>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</si>
  <si>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</si>
  <si>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</si>
  <si>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</si>
  <si>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</si>
  <si>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</si>
  <si>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</si>
  <si>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</si>
  <si>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</si>
  <si>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</si>
  <si>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</si>
  <si>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</si>
  <si>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</si>
  <si>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</si>
  <si>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</si>
  <si>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</si>
  <si>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</si>
  <si>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</si>
  <si>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</si>
  <si>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</si>
  <si>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</si>
  <si>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</si>
  <si>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</si>
  <si>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</si>
  <si>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</si>
  <si>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</si>
  <si>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</si>
  <si>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</si>
  <si>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</si>
  <si>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</si>
  <si>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</si>
  <si>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</si>
  <si>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</si>
  <si>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</si>
  <si>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</si>
  <si>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</si>
  <si>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</si>
  <si>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</si>
  <si>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</si>
  <si>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</si>
  <si>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</si>
  <si>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</si>
  <si>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</si>
  <si>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</si>
  <si>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</si>
  <si>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</si>
  <si>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</si>
  <si>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</si>
  <si>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</si>
  <si>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</si>
  <si>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</si>
  <si>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</si>
  <si>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</si>
  <si>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</si>
  <si>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</si>
  <si>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</si>
  <si>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</si>
  <si>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</si>
  <si>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</si>
  <si>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</si>
  <si>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</si>
  <si>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</si>
  <si>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</si>
  <si>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</si>
  <si>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</si>
  <si>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</si>
  <si>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</si>
  <si>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</si>
  <si>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</si>
  <si>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</si>
  <si>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</si>
  <si>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</si>
  <si>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</si>
  <si>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</si>
  <si>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</si>
  <si>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</si>
  <si>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</si>
  <si>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</si>
  <si>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</si>
  <si>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</si>
  <si>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</si>
  <si>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</si>
  <si>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</si>
  <si>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</si>
  <si>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</si>
  <si>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</si>
  <si>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</si>
  <si>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</si>
  <si>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</si>
  <si>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</si>
  <si>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</si>
  <si>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</si>
  <si>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</si>
  <si>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</si>
  <si>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</si>
  <si>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</si>
  <si>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</si>
  <si>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</si>
  <si>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</si>
  <si>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</si>
  <si>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</si>
  <si>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</si>
  <si>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</si>
  <si>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</si>
  <si>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</si>
  <si>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</si>
  <si>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</si>
  <si>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</si>
  <si>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</si>
  <si>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</si>
  <si>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</si>
  <si>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</si>
  <si>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</si>
  <si>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</si>
  <si>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</si>
  <si>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</si>
  <si>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</si>
  <si>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</si>
  <si>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</si>
  <si>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</si>
  <si>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</si>
  <si>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</si>
  <si>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</si>
  <si>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</si>
  <si>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</si>
  <si>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</si>
  <si>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</si>
  <si>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</si>
  <si>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</si>
  <si>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</si>
  <si>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</si>
  <si>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</si>
  <si>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</si>
  <si>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</si>
  <si>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</si>
  <si>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</si>
  <si>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</si>
  <si>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</si>
  <si>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</si>
  <si>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</si>
  <si>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</si>
  <si>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</si>
  <si>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</si>
  <si>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</si>
  <si>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</si>
  <si>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</si>
  <si>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</si>
  <si>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</si>
  <si>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</si>
  <si>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</si>
  <si>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</si>
  <si>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</si>
  <si>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</si>
  <si>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</si>
  <si>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</si>
  <si>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</si>
  <si>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</si>
  <si>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</si>
  <si>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</si>
  <si>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</si>
  <si>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</si>
  <si>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</si>
  <si>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</si>
  <si>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</si>
  <si>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</si>
  <si>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</si>
  <si>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</si>
  <si>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</si>
  <si>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</si>
  <si>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</si>
  <si>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</si>
  <si>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Forecast new financing/refinancing Net Interest costs</t>
  </si>
  <si>
    <t>New/refinanced debt issuance expenses</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</si>
  <si>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</si>
  <si>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</si>
  <si>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</si>
  <si>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</si>
  <si>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</si>
  <si>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</si>
  <si>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</si>
  <si>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</si>
  <si>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</si>
  <si>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</si>
  <si>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Tax arising from MOD values</t>
  </si>
  <si>
    <t>DPCR4 residual distribution losses incentive and Growth Term</t>
  </si>
  <si>
    <t>Amortisation</t>
  </si>
  <si>
    <t>Connections Contributions not treated as revenue</t>
  </si>
  <si>
    <t>Diversionary works under an obligation</t>
  </si>
  <si>
    <t>Supplier of Last Resort Revenue</t>
  </si>
  <si>
    <t>Related party non-operational capex not recognised in the Regulatory Accounts</t>
  </si>
  <si>
    <t>Difference between profit/loss on sale of fixed assets and scrap included in 'non-activity based costs' (which includes related party vehicle disposals but excludes non-price control metering disposals), and cash proceeds (included above), which relates to NPg(Y) disposals only</t>
  </si>
  <si>
    <t>Transfer Operational IT to Yorkshire which is recorded in Northeast in the Regulatory Accounts</t>
  </si>
  <si>
    <t>BHE Oracle Licences which are recognised via monthly recharge in the Regulatory Accounts, not on acquisition as in the Cost and Volumes pack</t>
  </si>
  <si>
    <t>LCNF Tier 2 Contributions excluded from the Cost and Volumes pack as instructed by Ofgem</t>
  </si>
  <si>
    <t>Statutory Non Op Depreciation included in related party transactions that are excluded from the RRP</t>
  </si>
  <si>
    <t>Reversing adjustment for prior year correction</t>
  </si>
  <si>
    <t>Apprenticeship Levy Contributions</t>
  </si>
  <si>
    <t>Apprenticeship Levy Recovery</t>
  </si>
  <si>
    <t>Supplier of Last Resort - cost recoveries included in other NABC</t>
  </si>
  <si>
    <t>Assessment &amp; Design Income</t>
  </si>
  <si>
    <t>Other small differences</t>
  </si>
  <si>
    <t>Costs outside price control</t>
  </si>
  <si>
    <t>Innovation costs - NIA</t>
  </si>
  <si>
    <t>Innovation costs - IFI and LCN</t>
  </si>
  <si>
    <t>Pass through costs</t>
  </si>
  <si>
    <t>Other non activity based costs</t>
  </si>
  <si>
    <t>Excluded related party margins</t>
  </si>
  <si>
    <t>Cash proceeds from sales of assets and scrap</t>
  </si>
  <si>
    <t>Value added services (DRS8)</t>
  </si>
  <si>
    <t>Smart Meter Roll-out updated allowances</t>
  </si>
  <si>
    <t>Visual Amenity allowances</t>
  </si>
  <si>
    <t>Adjustment to remove impact of re-phasing/timing differences</t>
  </si>
  <si>
    <t>1. Accrued Interest</t>
  </si>
  <si>
    <t>1. Interest Capitalised</t>
  </si>
  <si>
    <t>Conversion from December to March year end</t>
  </si>
  <si>
    <t>Deduct Jan-Mar from statutory year CT600 (tax charge impact of: profits per accounts add back depreciation, amortisation and capitalised interest)</t>
  </si>
  <si>
    <t>Add Jan-Mar from following year statutory year CT600 (tax charge impact of: profits per accounts add back depreciation, amortisation and capitalised interest)</t>
  </si>
  <si>
    <t>Deduct tax on DPCR4 incentive revenues</t>
  </si>
  <si>
    <t>Deduct tax on legacy revenues</t>
  </si>
  <si>
    <t>Deduct tax impact of disallowed related party margins</t>
  </si>
  <si>
    <t>Deduct tax impact of other costs excluded from totex (guaranteed standards, ex gratia, bad debts)</t>
  </si>
  <si>
    <t>Deduct tax on NIA income and costs</t>
  </si>
  <si>
    <t>Deduct tax on LCNF income and costs</t>
  </si>
  <si>
    <t>Impact of regulatory treatment of related party capex</t>
  </si>
  <si>
    <t>Tax impact of regulatory timing differences</t>
  </si>
  <si>
    <t>Under/over recovery of allowed revenue in the year</t>
  </si>
  <si>
    <t>Base revenue inflated using RPIF initially</t>
  </si>
  <si>
    <t>Revenue adjustment for the true-up of RPI forecasts</t>
  </si>
  <si>
    <t>Street Works allowances</t>
  </si>
  <si>
    <t>R&amp;D tax credits</t>
  </si>
  <si>
    <t>Adjustment in respect of IFRS 16</t>
  </si>
  <si>
    <t>Intercompany cost adjustment</t>
  </si>
  <si>
    <t>MOD timing difference</t>
  </si>
  <si>
    <t>2. Finance leases (IFRS 16)</t>
  </si>
  <si>
    <t>Annex B1 (a)</t>
  </si>
  <si>
    <t>Annex B1 (b)</t>
  </si>
  <si>
    <t>Annex B1 (c)</t>
  </si>
  <si>
    <t>Annex B1 (d)</t>
  </si>
  <si>
    <t>May 2021 publication</t>
  </si>
  <si>
    <t>Includes provisional SECV outcome for 2020/21</t>
  </si>
  <si>
    <t>NGESO</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</si>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</sst>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92">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 numFmtId="354" formatCode="_(* #,##0_);_(* \(#,##0\);_(* &quot;-&quot;??_);_(@_)"/>
  </numFmts>
  <fonts count="263">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9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168" fontId="262" fillId="3" borderId="0" xfId="0" applyNumberFormat="1" applyFont="1" applyFill="1" applyBorder="1" applyAlignment="1">
      <alignment horizontal="left" vertical="center"/>
    </xf>
    <xf numFmtId="168" fontId="5" fillId="3" borderId="0" xfId="0" applyNumberFormat="1" applyFont="1" applyFill="1" applyBorder="1" applyAlignment="1">
      <alignment horizontal="left" vertical="center" wrapText="1" indent="1"/>
    </xf>
    <xf numFmtId="14" fontId="5" fillId="3" borderId="3" xfId="2" applyNumberFormat="1" applyFont="1" applyFill="1" applyBorder="1" applyAlignment="1">
      <alignment horizontal="right" vertical="center"/>
    </xf>
    <xf numFmtId="0" fontId="0" fillId="3" borderId="0" xfId="0" applyFont="1" applyFill="1" applyAlignment="1">
      <alignment horizontal="left" vertical="top" indent="1"/>
    </xf>
    <xf numFmtId="172" fontId="5" fillId="38" borderId="30" xfId="1" applyNumberFormat="1" applyFont="1" applyFill="1" applyBorder="1" applyAlignment="1" applyProtection="1">
      <alignment horizontal="right"/>
    </xf>
    <xf numFmtId="0" fontId="0" fillId="3" borderId="0" xfId="0" applyFont="1" applyFill="1" applyAlignment="1">
      <alignment horizontal="left" vertical="top" indent="1"/>
    </xf>
    <xf numFmtId="172" fontId="0" fillId="3" borderId="77" xfId="0" applyNumberFormat="1" applyFont="1" applyFill="1" applyBorder="1" applyAlignment="1">
      <alignment horizontal="right" vertical="top"/>
    </xf>
    <xf numFmtId="172" fontId="0" fillId="3" borderId="78" xfId="0" applyNumberFormat="1" applyFont="1" applyFill="1" applyBorder="1" applyAlignment="1">
      <alignment horizontal="right" vertical="top"/>
    </xf>
    <xf numFmtId="172" fontId="5" fillId="3" borderId="77" xfId="0" applyNumberFormat="1" applyFont="1" applyFill="1" applyBorder="1" applyAlignment="1">
      <alignment horizontal="right" vertical="top"/>
    </xf>
    <xf numFmtId="172" fontId="5" fillId="3" borderId="65" xfId="0" applyNumberFormat="1" applyFont="1" applyFill="1" applyBorder="1" applyAlignment="1">
      <alignment horizontal="right" vertical="top"/>
    </xf>
    <xf numFmtId="172" fontId="5" fillId="3" borderId="68" xfId="0" applyNumberFormat="1" applyFont="1" applyFill="1" applyBorder="1" applyAlignment="1">
      <alignment horizontal="right" vertical="top"/>
    </xf>
    <xf numFmtId="172" fontId="5" fillId="3" borderId="80" xfId="0" applyNumberFormat="1" applyFont="1" applyFill="1" applyBorder="1" applyAlignment="1">
      <alignment horizontal="right" vertical="top"/>
    </xf>
    <xf numFmtId="353" fontId="0" fillId="0" borderId="0" xfId="0" applyNumberFormat="1" applyAlignment="1">
      <alignment horizontal="left" vertical="top"/>
    </xf>
    <xf numFmtId="43" fontId="0" fillId="0" borderId="0" xfId="0" applyNumberFormat="1" applyAlignment="1">
      <alignment horizontal="left" vertical="top"/>
    </xf>
    <xf numFmtId="354" fontId="0" fillId="3" borderId="68" xfId="0" applyNumberFormat="1" applyFill="1" applyBorder="1" applyAlignment="1">
      <alignment horizontal="right" vertical="top"/>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3"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89">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A2" sqref="A2"/>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889" t="s">
        <v>304</v>
      </c>
      <c r="B1" s="890"/>
      <c r="C1" s="890"/>
      <c r="D1" s="891"/>
      <c r="E1" s="892"/>
      <c r="F1" s="890"/>
      <c r="G1" s="893"/>
      <c r="H1" s="890"/>
      <c r="I1" s="890"/>
      <c r="J1" s="890"/>
      <c r="K1" s="890"/>
    </row>
    <row r="2" spans="1:11" s="31" customFormat="1" ht="20.25">
      <c r="A2" s="889" t="str">
        <f>'RFPR cover'!C5</f>
        <v>NPgY</v>
      </c>
      <c r="B2" s="890"/>
      <c r="C2" s="890"/>
      <c r="D2" s="892"/>
      <c r="E2" s="892"/>
      <c r="F2" s="890"/>
      <c r="G2" s="893"/>
      <c r="H2" s="890"/>
      <c r="I2" s="890"/>
      <c r="J2" s="890"/>
      <c r="K2" s="890"/>
    </row>
    <row r="3" spans="1:11" s="31" customFormat="1" ht="20.25">
      <c r="A3" s="889">
        <f>'RFPR cover'!C7</f>
        <v>2021</v>
      </c>
      <c r="B3" s="890"/>
      <c r="C3" s="890"/>
      <c r="D3" s="892"/>
      <c r="E3" s="892"/>
      <c r="F3" s="890"/>
      <c r="G3" s="893"/>
      <c r="H3" s="890"/>
      <c r="I3" s="890"/>
      <c r="J3" s="890"/>
      <c r="K3" s="890"/>
    </row>
    <row r="4" spans="1:11" ht="14.25">
      <c r="A4" s="30"/>
      <c r="B4" s="30"/>
      <c r="C4" s="30"/>
      <c r="D4" s="30"/>
      <c r="E4" s="30"/>
      <c r="H4" s="10"/>
      <c r="I4" s="10"/>
      <c r="J4" s="10"/>
    </row>
    <row r="5" spans="1:11" ht="13.5" customHeight="1">
      <c r="A5" s="30"/>
      <c r="B5" s="78" t="s">
        <v>62</v>
      </c>
      <c r="C5" s="45" t="s">
        <v>73</v>
      </c>
      <c r="D5" s="334"/>
      <c r="E5" s="19"/>
      <c r="F5" s="11"/>
      <c r="G5" s="544" t="s">
        <v>0</v>
      </c>
      <c r="H5" s="10"/>
      <c r="I5" s="10"/>
      <c r="J5" s="10"/>
    </row>
    <row r="6" spans="1:11" ht="13.5" customHeight="1">
      <c r="A6" s="30"/>
      <c r="B6" s="78" t="s">
        <v>188</v>
      </c>
      <c r="C6" s="83" t="str">
        <f>INDEX(Data!$A$73:$A$100,MATCH($C$5,Data!$B$73:$B$100,0),0)&amp;"1"</f>
        <v>ED1</v>
      </c>
      <c r="D6" s="19"/>
      <c r="E6" s="19"/>
      <c r="F6" s="9"/>
      <c r="G6" s="544" t="s">
        <v>1</v>
      </c>
      <c r="H6" s="10"/>
      <c r="I6" s="10"/>
      <c r="J6" s="10"/>
    </row>
    <row r="7" spans="1:11" ht="25.5">
      <c r="A7" s="30"/>
      <c r="B7" s="79" t="s">
        <v>187</v>
      </c>
      <c r="C7" s="84">
        <v>2021</v>
      </c>
      <c r="D7" s="18"/>
      <c r="E7" s="19"/>
      <c r="F7" s="8"/>
      <c r="G7" s="545" t="s">
        <v>2</v>
      </c>
      <c r="H7" s="10"/>
      <c r="I7" s="10"/>
      <c r="J7" s="10"/>
    </row>
    <row r="8" spans="1:11" ht="14.25">
      <c r="A8" s="30"/>
      <c r="B8" s="78" t="s">
        <v>37</v>
      </c>
      <c r="C8" s="85">
        <v>1</v>
      </c>
      <c r="D8" s="19"/>
      <c r="E8" s="18"/>
      <c r="F8" s="7"/>
      <c r="G8" s="544" t="s">
        <v>3</v>
      </c>
      <c r="H8" s="10"/>
      <c r="I8" s="10"/>
      <c r="J8" s="10"/>
    </row>
    <row r="9" spans="1:11" ht="14.25">
      <c r="A9" s="30"/>
      <c r="B9" s="78" t="s">
        <v>38</v>
      </c>
      <c r="C9" s="86">
        <v>44407</v>
      </c>
      <c r="D9" s="18"/>
      <c r="E9" s="18"/>
      <c r="F9" s="6"/>
      <c r="G9" s="544" t="s">
        <v>4</v>
      </c>
      <c r="H9" s="10"/>
      <c r="I9" s="10"/>
      <c r="J9" s="10"/>
    </row>
    <row r="10" spans="1:11" ht="14.25">
      <c r="A10" s="30"/>
      <c r="B10" s="78" t="s">
        <v>70</v>
      </c>
      <c r="C10" s="87">
        <f>SUMIF(Data!$B$72:$B$100,C5,Data!$C$72:$C$100)</f>
        <v>0.06</v>
      </c>
      <c r="D10" s="18"/>
      <c r="E10" s="18"/>
      <c r="F10" s="5"/>
      <c r="G10" s="544" t="s">
        <v>5</v>
      </c>
      <c r="H10" s="10"/>
      <c r="I10" s="10"/>
      <c r="J10" s="10"/>
    </row>
    <row r="11" spans="1:11" ht="14.25">
      <c r="A11" s="30"/>
      <c r="B11" s="78" t="s">
        <v>71</v>
      </c>
      <c r="C11" s="88">
        <f>SUMIF(Data!$B$72:$B$100,C5,Data!$D$72:$D$100)</f>
        <v>0.55843703457782867</v>
      </c>
      <c r="D11" s="19"/>
      <c r="E11" s="19"/>
      <c r="F11" s="4"/>
      <c r="G11" s="544" t="s">
        <v>6</v>
      </c>
      <c r="H11" s="10"/>
      <c r="I11" s="10"/>
      <c r="J11" s="10"/>
    </row>
    <row r="12" spans="1:11">
      <c r="A12" s="30"/>
      <c r="B12" s="78" t="s">
        <v>115</v>
      </c>
      <c r="C12" s="87">
        <f>SUMIF(Data!$B$72:$B$100,C5,Data!$E$72:$E$100)</f>
        <v>0.65</v>
      </c>
      <c r="D12" s="18"/>
      <c r="E12" s="18"/>
      <c r="F12" s="18"/>
      <c r="G12" s="546"/>
    </row>
    <row r="13" spans="1:11">
      <c r="A13" s="30"/>
      <c r="B13" s="78" t="s">
        <v>508</v>
      </c>
      <c r="C13" s="83">
        <f>INDEX(Data!$G$73:$G$100,MATCH($C$5,Data!$B$73:$B$100,0),0)</f>
        <v>2016</v>
      </c>
      <c r="D13" s="18"/>
      <c r="E13" s="18"/>
      <c r="F13" s="77" t="s">
        <v>190</v>
      </c>
    </row>
    <row r="14" spans="1:11">
      <c r="A14" s="30"/>
      <c r="B14" s="80" t="s">
        <v>184</v>
      </c>
      <c r="C14" s="83" t="str">
        <f>INDEX(Data!$H$73:$H$100,MATCH($C$5,Data!$B$73:$B$100,0),0)</f>
        <v>£m 12/13</v>
      </c>
      <c r="D14" s="18"/>
      <c r="E14" s="18"/>
      <c r="F14" s="90">
        <v>0.1</v>
      </c>
      <c r="G14" s="546"/>
    </row>
    <row r="15" spans="1:11">
      <c r="A15" s="30"/>
      <c r="B15" s="18"/>
      <c r="C15" s="18"/>
      <c r="D15" s="18"/>
      <c r="E15" s="18"/>
      <c r="F15" s="18"/>
      <c r="G15" s="546"/>
    </row>
    <row r="85" spans="1:1">
      <c r="A85" s="205"/>
    </row>
  </sheetData>
  <sheetProtection password="DA3D" sheet="1" objects="1" scenarios="1"/>
  <pageMargins left="0.70866141732283472" right="0.70866141732283472" top="0.74803149606299213" bottom="0.74803149606299213" header="0.31496062992125984" footer="0.31496062992125984"/>
  <pageSetup paperSize="8"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T268"/>
  <sheetViews>
    <sheetView showGridLines="0" zoomScale="69" zoomScaleNormal="69" workbookViewId="0">
      <pane ySplit="4" topLeftCell="A5" activePane="bottomLeft" state="frozen"/>
      <selection activeCell="A4" sqref="A4"/>
      <selection pane="bottomLeft" activeCell="A2" sqref="A2"/>
    </sheetView>
  </sheetViews>
  <sheetFormatPr defaultRowHeight="12.75"/>
  <cols>
    <col min="1" max="1" width="8.375" customWidth="1"/>
    <col min="2" max="2" width="35.125" customWidth="1"/>
    <col min="8" max="8" width="10.125" bestFit="1" customWidth="1"/>
    <col min="14" max="14" width="9" customWidth="1"/>
  </cols>
  <sheetData>
    <row r="1" spans="1:14" ht="20.25">
      <c r="A1" s="894" t="s">
        <v>375</v>
      </c>
      <c r="B1" s="895"/>
      <c r="C1" s="895"/>
      <c r="D1" s="895"/>
      <c r="E1" s="895"/>
      <c r="F1" s="895"/>
      <c r="G1" s="895"/>
      <c r="H1" s="895"/>
      <c r="I1" s="895"/>
      <c r="J1" s="895"/>
      <c r="K1" s="895"/>
      <c r="L1" s="895"/>
      <c r="M1" s="895"/>
      <c r="N1" s="896"/>
    </row>
    <row r="2" spans="1:14" ht="20.25">
      <c r="A2" s="897" t="str">
        <f>'RFPR cover'!C5</f>
        <v>NPgY</v>
      </c>
      <c r="B2" s="898"/>
      <c r="C2" s="898"/>
      <c r="D2" s="898"/>
      <c r="E2" s="898"/>
      <c r="F2" s="898"/>
      <c r="G2" s="898"/>
      <c r="H2" s="898"/>
      <c r="I2" s="898"/>
      <c r="J2" s="898"/>
      <c r="K2" s="898"/>
      <c r="L2" s="898"/>
      <c r="M2" s="898"/>
      <c r="N2" s="899"/>
    </row>
    <row r="3" spans="1:14" ht="20.25">
      <c r="A3" s="900">
        <f>'RFPR cover'!C7</f>
        <v>2021</v>
      </c>
      <c r="B3" s="901"/>
      <c r="C3" s="901"/>
      <c r="D3" s="901"/>
      <c r="E3" s="901"/>
      <c r="F3" s="901"/>
      <c r="G3" s="901"/>
      <c r="H3" s="901"/>
      <c r="I3" s="901"/>
      <c r="J3" s="901"/>
      <c r="K3" s="901"/>
      <c r="L3" s="901"/>
      <c r="M3" s="901"/>
      <c r="N3" s="902"/>
    </row>
    <row r="6" spans="1:14">
      <c r="A6" s="30"/>
      <c r="B6" s="21">
        <v>2018</v>
      </c>
      <c r="C6" s="20" t="s">
        <v>63</v>
      </c>
      <c r="D6" s="18"/>
      <c r="E6" s="18"/>
      <c r="F6" s="836"/>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47" t="s">
        <v>39</v>
      </c>
      <c r="C13" s="548" t="s">
        <v>40</v>
      </c>
      <c r="D13" s="548" t="s">
        <v>191</v>
      </c>
      <c r="E13" s="548" t="s">
        <v>41</v>
      </c>
      <c r="F13" s="548" t="s">
        <v>42</v>
      </c>
      <c r="G13" s="549" t="s">
        <v>317</v>
      </c>
    </row>
    <row r="14" spans="1:14">
      <c r="A14" s="30"/>
      <c r="B14" s="163" t="s">
        <v>74</v>
      </c>
      <c r="C14" s="170">
        <v>2010</v>
      </c>
      <c r="D14" s="164" t="str">
        <f>IF(VALUE(C14)&lt;='RFPR cover'!$C$7,"Actual","Forecast")</f>
        <v>Actual</v>
      </c>
      <c r="E14" s="368">
        <v>215.767</v>
      </c>
      <c r="F14" s="493">
        <v>221.75</v>
      </c>
      <c r="G14" s="165">
        <v>0.28000000000000003</v>
      </c>
      <c r="H14" s="837"/>
      <c r="J14" s="838"/>
    </row>
    <row r="15" spans="1:14">
      <c r="A15" s="30"/>
      <c r="B15" s="166" t="s">
        <v>75</v>
      </c>
      <c r="C15" s="171">
        <v>2011</v>
      </c>
      <c r="D15" s="167" t="str">
        <f>IF(VALUE(C15)&lt;='RFPR cover'!$C$7,"Actual","Forecast")</f>
        <v>Actual</v>
      </c>
      <c r="E15" s="369">
        <v>226.47499999999999</v>
      </c>
      <c r="F15" s="494">
        <v>233.45</v>
      </c>
      <c r="G15" s="168">
        <v>0.28000000000000003</v>
      </c>
      <c r="H15" s="837"/>
      <c r="J15" s="838"/>
    </row>
    <row r="16" spans="1:14" ht="14.25" customHeight="1">
      <c r="A16" s="30"/>
      <c r="B16" s="166" t="s">
        <v>76</v>
      </c>
      <c r="C16" s="171">
        <v>2012</v>
      </c>
      <c r="D16" s="167" t="str">
        <f>IF(VALUE(C16)&lt;='RFPR cover'!$C$7,"Actual","Forecast")</f>
        <v>Actual</v>
      </c>
      <c r="E16" s="369">
        <v>237.34200000000001</v>
      </c>
      <c r="F16" s="494">
        <v>241.65</v>
      </c>
      <c r="G16" s="168">
        <v>0.26</v>
      </c>
      <c r="H16" s="837"/>
      <c r="J16" s="838"/>
    </row>
    <row r="17" spans="2:10">
      <c r="B17" s="166" t="s">
        <v>77</v>
      </c>
      <c r="C17" s="171">
        <v>2013</v>
      </c>
      <c r="D17" s="167" t="str">
        <f>IF(VALUE(C17)&lt;='RFPR cover'!$C$7,"Actual","Forecast")</f>
        <v>Actual</v>
      </c>
      <c r="E17" s="369">
        <v>244.67500000000001</v>
      </c>
      <c r="F17" s="494">
        <v>249.1</v>
      </c>
      <c r="G17" s="168">
        <v>0.24</v>
      </c>
      <c r="H17" s="837"/>
      <c r="J17" s="838"/>
    </row>
    <row r="18" spans="2:10">
      <c r="B18" s="166" t="s">
        <v>78</v>
      </c>
      <c r="C18" s="171">
        <v>2014</v>
      </c>
      <c r="D18" s="167" t="str">
        <f>IF(VALUE(C18)&lt;='RFPR cover'!$C$7,"Actual","Forecast")</f>
        <v>Actual</v>
      </c>
      <c r="E18" s="369">
        <v>251.733</v>
      </c>
      <c r="F18" s="494">
        <v>255.25</v>
      </c>
      <c r="G18" s="168">
        <v>0.23</v>
      </c>
      <c r="H18" s="837"/>
      <c r="I18" s="513"/>
      <c r="J18" s="838"/>
    </row>
    <row r="19" spans="2:10">
      <c r="B19" s="166" t="s">
        <v>79</v>
      </c>
      <c r="C19" s="171">
        <v>2015</v>
      </c>
      <c r="D19" s="167" t="str">
        <f>IF(VALUE(C19)&lt;='RFPR cover'!$C$7,"Actual","Forecast")</f>
        <v>Actual</v>
      </c>
      <c r="E19" s="369">
        <v>256.66699999999997</v>
      </c>
      <c r="F19" s="494">
        <v>257.55</v>
      </c>
      <c r="G19" s="168">
        <v>0.21</v>
      </c>
      <c r="H19" s="837"/>
      <c r="I19" s="513"/>
      <c r="J19" s="838"/>
    </row>
    <row r="20" spans="2:10">
      <c r="B20" s="166" t="s">
        <v>80</v>
      </c>
      <c r="C20" s="171">
        <v>2016</v>
      </c>
      <c r="D20" s="167" t="str">
        <f>IF(VALUE(C20)&lt;='RFPR cover'!$C$7,"Actual","Forecast")</f>
        <v>Actual</v>
      </c>
      <c r="E20" s="369">
        <v>259.43299999999999</v>
      </c>
      <c r="F20" s="494">
        <v>261.25</v>
      </c>
      <c r="G20" s="168">
        <v>0.2</v>
      </c>
      <c r="H20" s="837"/>
      <c r="I20" s="513"/>
      <c r="J20" s="838"/>
    </row>
    <row r="21" spans="2:10">
      <c r="B21" s="166" t="s">
        <v>81</v>
      </c>
      <c r="C21" s="171">
        <v>2017</v>
      </c>
      <c r="D21" s="167" t="str">
        <f>IF(VALUE(C21)&lt;='RFPR cover'!$C$7,"Actual","Forecast")</f>
        <v>Actual</v>
      </c>
      <c r="E21" s="369">
        <v>264.99200000000002</v>
      </c>
      <c r="F21" s="494">
        <v>269.95000000000005</v>
      </c>
      <c r="G21" s="168">
        <v>0.2</v>
      </c>
      <c r="H21" s="837"/>
      <c r="I21" s="513"/>
      <c r="J21" s="838"/>
    </row>
    <row r="22" spans="2:10">
      <c r="B22" s="166" t="s">
        <v>63</v>
      </c>
      <c r="C22" s="171">
        <v>2018</v>
      </c>
      <c r="D22" s="167" t="str">
        <f>IF(VALUE(C22)&lt;='RFPR cover'!$C$7,"Actual","Forecast")</f>
        <v>Actual</v>
      </c>
      <c r="E22" s="369">
        <v>274.90800000000002</v>
      </c>
      <c r="F22" s="494">
        <v>279</v>
      </c>
      <c r="G22" s="168">
        <v>0.19</v>
      </c>
      <c r="H22" s="837"/>
      <c r="I22" s="513"/>
      <c r="J22" s="838"/>
    </row>
    <row r="23" spans="2:10">
      <c r="B23" s="496" t="s">
        <v>64</v>
      </c>
      <c r="C23" s="497">
        <v>2019</v>
      </c>
      <c r="D23" s="167" t="str">
        <f>IF(VALUE(C23)&lt;='RFPR cover'!$C$7,"Actual","Forecast")</f>
        <v>Actual</v>
      </c>
      <c r="E23" s="369">
        <v>283.30799999999999</v>
      </c>
      <c r="F23" s="494">
        <v>286.64999999999998</v>
      </c>
      <c r="G23" s="168">
        <v>0.19</v>
      </c>
      <c r="H23" s="837"/>
      <c r="J23" s="838"/>
    </row>
    <row r="24" spans="2:10">
      <c r="B24" s="496" t="s">
        <v>65</v>
      </c>
      <c r="C24" s="497">
        <v>2020</v>
      </c>
      <c r="D24" s="167" t="str">
        <f>IF(VALUE(C24)&lt;='RFPR cover'!$C$7,"Actual","Forecast")</f>
        <v>Actual</v>
      </c>
      <c r="E24" s="369">
        <v>290.642</v>
      </c>
      <c r="F24" s="494">
        <v>292.60000000000002</v>
      </c>
      <c r="G24" s="168">
        <v>0.19</v>
      </c>
      <c r="H24" s="837"/>
      <c r="J24" s="838"/>
    </row>
    <row r="25" spans="2:10">
      <c r="B25" s="496" t="s">
        <v>66</v>
      </c>
      <c r="C25" s="497">
        <v>2021</v>
      </c>
      <c r="D25" s="167" t="str">
        <f>IF(VALUE(C25)&lt;='RFPR cover'!$C$7,"Actual","Forecast")</f>
        <v>Actual</v>
      </c>
      <c r="E25" s="369">
        <v>294.16699999999997</v>
      </c>
      <c r="F25" s="494">
        <v>299</v>
      </c>
      <c r="G25" s="168">
        <v>0.19</v>
      </c>
      <c r="H25" s="837"/>
      <c r="J25" s="838"/>
    </row>
    <row r="26" spans="2:10">
      <c r="B26" s="496" t="s">
        <v>67</v>
      </c>
      <c r="C26" s="497">
        <v>2022</v>
      </c>
      <c r="D26" s="167" t="str">
        <f>IF(VALUE(C26)&lt;='RFPR cover'!$C$7,"Actual","Forecast")</f>
        <v>Forecast</v>
      </c>
      <c r="E26" s="495">
        <f t="shared" ref="E26:F27" si="0">E25*(1+INDEX($D$43:$J$43,0,MATCH($C26,$D$42:$J$42,0)))</f>
        <v>301.96242549999994</v>
      </c>
      <c r="F26" s="495">
        <f t="shared" si="0"/>
        <v>306.92349999999999</v>
      </c>
      <c r="G26" s="168">
        <v>0.19</v>
      </c>
      <c r="H26" s="837"/>
      <c r="J26" s="838"/>
    </row>
    <row r="27" spans="2:10">
      <c r="B27" s="496" t="s">
        <v>68</v>
      </c>
      <c r="C27" s="497">
        <v>2023</v>
      </c>
      <c r="D27" s="167" t="str">
        <f>IF(VALUE(C27)&lt;='RFPR cover'!$C$7,"Actual","Forecast")</f>
        <v>Forecast</v>
      </c>
      <c r="E27" s="495">
        <f t="shared" si="0"/>
        <v>311.24777008412497</v>
      </c>
      <c r="F27" s="495">
        <f t="shared" si="0"/>
        <v>316.361397625</v>
      </c>
      <c r="G27" s="168">
        <v>0.19</v>
      </c>
      <c r="H27" s="837"/>
      <c r="J27" s="838"/>
    </row>
    <row r="28" spans="2:10">
      <c r="B28" s="496" t="s">
        <v>204</v>
      </c>
      <c r="C28" s="497">
        <v>2024</v>
      </c>
      <c r="D28" s="167" t="str">
        <f>IF(VALUE(C28)&lt;='RFPR cover'!$C$7,"Actual","Forecast")</f>
        <v>Forecast</v>
      </c>
      <c r="E28" s="371"/>
      <c r="F28" s="371"/>
      <c r="G28" s="168">
        <v>0.25</v>
      </c>
    </row>
    <row r="29" spans="2:10">
      <c r="B29" s="496" t="s">
        <v>205</v>
      </c>
      <c r="C29" s="497">
        <v>2025</v>
      </c>
      <c r="D29" s="167" t="str">
        <f>IF(VALUE(C29)&lt;='RFPR cover'!$C$7,"Actual","Forecast")</f>
        <v>Forecast</v>
      </c>
      <c r="E29" s="371"/>
      <c r="F29" s="371"/>
      <c r="G29" s="168">
        <v>0.25</v>
      </c>
    </row>
    <row r="30" spans="2:10">
      <c r="B30" s="498" t="s">
        <v>206</v>
      </c>
      <c r="C30" s="499">
        <v>2026</v>
      </c>
      <c r="D30" s="169" t="str">
        <f>IF(VALUE(C30)&lt;='RFPR cover'!$C$7,"Actual","Forecast")</f>
        <v>Forecast</v>
      </c>
      <c r="E30" s="370"/>
      <c r="F30" s="370"/>
      <c r="G30" s="168">
        <v>0.25</v>
      </c>
    </row>
    <row r="31" spans="2:10">
      <c r="B31" s="89"/>
      <c r="C31" s="67"/>
      <c r="D31" s="67"/>
      <c r="E31" s="67"/>
      <c r="F31" s="67"/>
    </row>
    <row r="32" spans="2:10">
      <c r="B32" s="89"/>
      <c r="C32" s="338" t="str">
        <f>IF(C33&lt;='RFPR cover'!$C$7,"Actuals","Forecast")</f>
        <v>Actuals</v>
      </c>
      <c r="D32" s="339" t="str">
        <f>IF(D33&lt;='RFPR cover'!$C$7,"Actuals","Forecast")</f>
        <v>Actuals</v>
      </c>
      <c r="E32" s="339" t="str">
        <f>IF(E33&lt;='RFPR cover'!$C$7,"Actuals","Forecast")</f>
        <v>Actuals</v>
      </c>
      <c r="F32" s="339" t="str">
        <f>IF(F33&lt;='RFPR cover'!$C$7,"Actuals","Forecast")</f>
        <v>Actuals</v>
      </c>
      <c r="G32" s="339" t="str">
        <f>IF(G33&lt;='RFPR cover'!$C$7,"Actuals","Forecast")</f>
        <v>Actuals</v>
      </c>
      <c r="H32" s="339" t="str">
        <f>IF(H33&lt;='RFPR cover'!$C$7,"Actuals","Forecast")</f>
        <v>Actuals</v>
      </c>
      <c r="I32" s="339" t="str">
        <f>IF(I33&lt;='RFPR cover'!$C$7,"Actuals","Forecast")</f>
        <v>Forecast</v>
      </c>
      <c r="J32" s="340" t="str">
        <f>IF(J33&lt;='RFPR cover'!$C$7,"Actuals","Forecast")</f>
        <v>Forecast</v>
      </c>
    </row>
    <row r="33" spans="2:13" ht="15.75" customHeight="1">
      <c r="B33" s="288"/>
      <c r="C33" s="91">
        <f>'RFPR cover'!$C$13</f>
        <v>2016</v>
      </c>
      <c r="D33" s="92">
        <f t="shared" ref="D33:J33" si="1">C33+1</f>
        <v>2017</v>
      </c>
      <c r="E33" s="92">
        <f t="shared" si="1"/>
        <v>2018</v>
      </c>
      <c r="F33" s="92">
        <f t="shared" si="1"/>
        <v>2019</v>
      </c>
      <c r="G33" s="92">
        <f t="shared" si="1"/>
        <v>2020</v>
      </c>
      <c r="H33" s="92">
        <f t="shared" si="1"/>
        <v>2021</v>
      </c>
      <c r="I33" s="92">
        <f t="shared" si="1"/>
        <v>2022</v>
      </c>
      <c r="J33" s="315">
        <f t="shared" si="1"/>
        <v>2023</v>
      </c>
    </row>
    <row r="34" spans="2:13" ht="15.75" customHeight="1">
      <c r="B34" s="491" t="s">
        <v>376</v>
      </c>
      <c r="C34" s="489">
        <f>INDEX(Data!$E$14:$E$30,MATCH(C$33,Data!$C$14:$C$30,0),0)/IF('RFPR cover'!$C$6="ED1",Data!$E$17,Data!$E$14)</f>
        <v>1.0603167467048125</v>
      </c>
      <c r="D34" s="486">
        <f>INDEX(Data!$E$14:$E$30,MATCH(D$33,Data!$C$14:$C$30,0),0)/IF('RFPR cover'!$C$6="ED1",Data!$E$17,Data!$E$14)</f>
        <v>1.0830366813119445</v>
      </c>
      <c r="E34" s="486">
        <f>INDEX(Data!$E$14:$E$30,MATCH(E$33,Data!$C$14:$C$30,0),0)/IF('RFPR cover'!$C$6="ED1",Data!$E$17,Data!$E$14)</f>
        <v>1.1235639113109226</v>
      </c>
      <c r="F34" s="486">
        <f>INDEX(Data!$E$14:$E$30,MATCH(F$33,Data!$C$14:$C$30,0),0)/IF('RFPR cover'!$C$6="ED1",Data!$E$17,Data!$E$14)</f>
        <v>1.1578951670583426</v>
      </c>
      <c r="G34" s="486">
        <f>INDEX(Data!$E$14:$E$30,MATCH(G$33,Data!$C$14:$C$30,0),0)/IF('RFPR cover'!$C$6="ED1",Data!$E$17,Data!$E$14)</f>
        <v>1.1878696229692449</v>
      </c>
      <c r="H34" s="486">
        <f>INDEX(Data!$E$14:$E$30,MATCH(H$33,Data!$C$14:$C$30,0),0)/IF('RFPR cover'!$C$6="ED1",Data!$E$17,Data!$E$14)</f>
        <v>1.2022764892203943</v>
      </c>
      <c r="I34" s="487">
        <f>INDEX(Data!$E$14:$E$30,MATCH(I$33,Data!$C$14:$C$30,0),0)/IF('RFPR cover'!$C$6="ED1",Data!$E$17,Data!$E$14)</f>
        <v>1.2341368161847346</v>
      </c>
      <c r="J34" s="488">
        <f>INDEX(Data!$E$14:$E$30,MATCH(J$33,Data!$C$14:$C$30,0),0)/IF('RFPR cover'!$C$6="ED1",Data!$E$17,Data!$E$14)</f>
        <v>1.2720865232824152</v>
      </c>
    </row>
    <row r="35" spans="2:13" ht="15.75" customHeight="1">
      <c r="B35" s="492" t="s">
        <v>42</v>
      </c>
      <c r="C35" s="490">
        <f>INDEX(Data!$F$14:$F$30,MATCH(C$33,Data!$C$14:$C$30,0),0)/IF('RFPR cover'!$C$6="ED1",Data!$E$17,Data!$E$14)</f>
        <v>1.0677429242873198</v>
      </c>
      <c r="D35" s="490">
        <f>INDEX(Data!$F$14:$F$30,MATCH(D$33,Data!$C$14:$C$30,0),0)/IF('RFPR cover'!$C$6="ED1",Data!$E$17,Data!$E$14)</f>
        <v>1.1033002963114336</v>
      </c>
      <c r="E35" s="490">
        <f>INDEX(Data!$F$14:$F$30,MATCH(E$33,Data!$C$14:$C$30,0),0)/IF('RFPR cover'!$C$6="ED1",Data!$E$17,Data!$E$14)</f>
        <v>1.1402881373250229</v>
      </c>
      <c r="F35" s="490">
        <f>INDEX(Data!$F$14:$F$30,MATCH(F$33,Data!$C$14:$C$30,0),0)/IF('RFPR cover'!$C$6="ED1",Data!$E$17,Data!$E$14)</f>
        <v>1.171554102380709</v>
      </c>
      <c r="G35" s="490">
        <f>INDEX(Data!$F$14:$F$30,MATCH(G$33,Data!$C$14:$C$30,0),0)/IF('RFPR cover'!$C$6="ED1",Data!$E$17,Data!$E$14)</f>
        <v>1.1958720752017984</v>
      </c>
      <c r="H35" s="490">
        <f>INDEX(Data!$F$14:$F$30,MATCH(H$33,Data!$C$14:$C$30,0),0)/IF('RFPR cover'!$C$6="ED1",Data!$E$17,Data!$E$14)</f>
        <v>1.2220292224379279</v>
      </c>
      <c r="I35" s="490">
        <f>INDEX(Data!$F$14:$F$30,MATCH(I$33,Data!$C$14:$C$30,0),0)/IF('RFPR cover'!$C$6="ED1",Data!$E$17,Data!$E$14)</f>
        <v>1.2544129968325328</v>
      </c>
      <c r="J35" s="490">
        <f>INDEX(Data!$F$14:$F$30,MATCH(J$33,Data!$C$14:$C$30,0),0)/IF('RFPR cover'!$C$6="ED1",Data!$E$17,Data!$E$14)</f>
        <v>1.2929861964851332</v>
      </c>
    </row>
    <row r="36" spans="2:13">
      <c r="B36" s="492" t="s">
        <v>503</v>
      </c>
      <c r="C36" s="490">
        <f>INDEX(Data!$E$14:$E$30,MATCH(C$33,Data!$C$14:$C$30,0))/INDEX(Data!$E$14:$E$30,MATCH(C$33-1,Data!$C$14:$C$30,0))</f>
        <v>1.0107766093810269</v>
      </c>
      <c r="D36" s="490">
        <f>INDEX(Data!$E$14:$E$30,MATCH(D$33,Data!$C$14:$C$30,0))/INDEX(Data!$E$14:$E$30,MATCH(D$33-1,Data!$C$14:$C$30,0))</f>
        <v>1.0214274976583551</v>
      </c>
      <c r="E36" s="490">
        <f>INDEX(Data!$E$14:$E$30,MATCH(E$33,Data!$C$14:$C$30,0))/INDEX(Data!$E$14:$E$30,MATCH(E$33-1,Data!$C$14:$C$30,0))</f>
        <v>1.0374199975848328</v>
      </c>
      <c r="F36" s="490">
        <f>INDEX(Data!$E$14:$E$30,MATCH(F$33,Data!$C$14:$C$30,0))/INDEX(Data!$E$14:$E$30,MATCH(F$33-1,Data!$C$14:$C$30,0))</f>
        <v>1.0305556768082411</v>
      </c>
      <c r="G36" s="490">
        <f>INDEX(Data!$E$14:$E$30,MATCH(G$33,Data!$C$14:$C$30,0))/INDEX(Data!$E$14:$E$30,MATCH(G$33-1,Data!$C$14:$C$30,0))</f>
        <v>1.0258870204865376</v>
      </c>
      <c r="H36" s="490">
        <f>INDEX(Data!$E$14:$E$30,MATCH(H$33,Data!$C$14:$C$30,0))/INDEX(Data!$E$14:$E$30,MATCH(H$33-1,Data!$C$14:$C$30,0))</f>
        <v>1.0121283228163858</v>
      </c>
      <c r="I36" s="490">
        <f>INDEX(Data!$E$14:$E$30,MATCH(I$33,Data!$C$14:$C$30,0))/INDEX(Data!$E$14:$E$30,MATCH(I$33-1,Data!$C$14:$C$30,0))</f>
        <v>1.0265</v>
      </c>
      <c r="J36" s="490">
        <f>INDEX(Data!$E$14:$E$30,MATCH(J$33,Data!$C$14:$C$30,0))/INDEX(Data!$E$14:$E$30,MATCH(J$33-1,Data!$C$14:$C$30,0))</f>
        <v>1.0307500000000001</v>
      </c>
    </row>
    <row r="37" spans="2:13" ht="15.75" customHeight="1">
      <c r="B37" s="14" t="s">
        <v>274</v>
      </c>
      <c r="F37" s="513"/>
    </row>
    <row r="38" spans="2:13">
      <c r="C38" s="506" t="s">
        <v>275</v>
      </c>
      <c r="D38" s="118">
        <v>2017</v>
      </c>
      <c r="E38" s="119">
        <f t="shared" ref="E38:J38" si="2">D38+1</f>
        <v>2018</v>
      </c>
      <c r="F38" s="119">
        <f t="shared" si="2"/>
        <v>2019</v>
      </c>
      <c r="G38" s="119">
        <f t="shared" si="2"/>
        <v>2020</v>
      </c>
      <c r="H38" s="119">
        <f t="shared" si="2"/>
        <v>2021</v>
      </c>
      <c r="I38" s="119">
        <f t="shared" si="2"/>
        <v>2022</v>
      </c>
      <c r="J38" s="196">
        <f t="shared" si="2"/>
        <v>2023</v>
      </c>
      <c r="K38" s="958" t="s">
        <v>386</v>
      </c>
      <c r="L38" s="958"/>
      <c r="M38" s="958"/>
    </row>
    <row r="39" spans="2:13">
      <c r="B39" t="s">
        <v>387</v>
      </c>
      <c r="C39" s="201"/>
      <c r="D39" s="759"/>
      <c r="E39" s="759"/>
      <c r="F39" s="759"/>
      <c r="G39" s="759"/>
      <c r="H39" s="760">
        <v>2.5000000000000001E-2</v>
      </c>
      <c r="I39" s="760">
        <v>3.1E-2</v>
      </c>
      <c r="J39" s="761">
        <v>0.03</v>
      </c>
      <c r="K39" s="959" t="s">
        <v>600</v>
      </c>
      <c r="L39" s="959"/>
      <c r="M39" s="959"/>
    </row>
    <row r="41" spans="2:13">
      <c r="B41" s="14" t="s">
        <v>276</v>
      </c>
    </row>
    <row r="42" spans="2:13">
      <c r="C42" s="505" t="s">
        <v>277</v>
      </c>
      <c r="D42" s="118">
        <v>2017</v>
      </c>
      <c r="E42" s="119">
        <f t="shared" ref="E42:J42" si="3">D42+1</f>
        <v>2018</v>
      </c>
      <c r="F42" s="119">
        <f t="shared" si="3"/>
        <v>2019</v>
      </c>
      <c r="G42" s="119">
        <f t="shared" si="3"/>
        <v>2020</v>
      </c>
      <c r="H42" s="119">
        <f t="shared" si="3"/>
        <v>2021</v>
      </c>
      <c r="I42" s="119">
        <f t="shared" si="3"/>
        <v>2022</v>
      </c>
      <c r="J42" s="196">
        <f t="shared" si="3"/>
        <v>2023</v>
      </c>
    </row>
    <row r="43" spans="2:13">
      <c r="B43" t="s">
        <v>278</v>
      </c>
      <c r="D43" s="566"/>
      <c r="E43" s="567"/>
      <c r="F43" s="567"/>
      <c r="G43" s="567"/>
      <c r="H43" s="567"/>
      <c r="I43" s="762">
        <f>(H39*0.75)+(I39*0.25)</f>
        <v>2.6500000000000003E-2</v>
      </c>
      <c r="J43" s="763">
        <f>(I39*0.75)+(J39*0.25)</f>
        <v>3.075E-2</v>
      </c>
    </row>
    <row r="45" spans="2:13">
      <c r="B45" s="314" t="str">
        <f>"Selected Capitalisation rates for "&amp;'RFPR cover'!C5</f>
        <v>Selected Capitalisation rates for NPgY</v>
      </c>
      <c r="C45" s="272"/>
      <c r="D45" s="272"/>
      <c r="E45" s="272"/>
      <c r="F45" s="272"/>
      <c r="G45" s="272"/>
      <c r="H45" s="272"/>
      <c r="I45" s="272"/>
      <c r="J45" s="272"/>
      <c r="K45" s="272"/>
      <c r="L45" s="272"/>
      <c r="M45" s="285"/>
    </row>
    <row r="46" spans="2:13">
      <c r="B46" s="202"/>
      <c r="C46" s="42"/>
      <c r="D46" s="42"/>
      <c r="E46" s="42"/>
      <c r="F46" s="42"/>
      <c r="G46" s="42"/>
      <c r="H46" s="42"/>
      <c r="I46" s="42"/>
      <c r="J46" s="42"/>
      <c r="K46" s="42"/>
      <c r="L46" s="42"/>
      <c r="M46" s="203"/>
    </row>
    <row r="47" spans="2:13">
      <c r="B47" s="202"/>
      <c r="C47" s="313" t="s">
        <v>251</v>
      </c>
      <c r="D47" s="42"/>
      <c r="E47" s="42"/>
      <c r="F47" s="42"/>
      <c r="G47" s="42"/>
      <c r="H47" s="42"/>
      <c r="I47" s="42"/>
      <c r="J47" s="42"/>
      <c r="K47" s="42"/>
      <c r="L47" s="42"/>
      <c r="M47" s="203"/>
    </row>
    <row r="48" spans="2:13">
      <c r="B48" s="316" t="str">
        <f>INDEX($G$54:$G$57,MATCH(LEFT('RFPR cover'!$C$6,2),Data!$E$54:$E$57,0),0)</f>
        <v>Totex</v>
      </c>
      <c r="C48" s="312">
        <f>INDEX($F$73:$F$100,MATCH('RFPR cover'!$C$5,Data!$B$73:$B$100,0),0)</f>
        <v>0.72</v>
      </c>
      <c r="D48" s="42"/>
      <c r="E48" s="42"/>
      <c r="F48" s="42"/>
      <c r="G48" s="42"/>
      <c r="H48" s="42"/>
      <c r="I48" s="42"/>
      <c r="J48" s="42"/>
      <c r="K48" s="42"/>
      <c r="L48" s="42"/>
      <c r="M48" s="203"/>
    </row>
    <row r="49" spans="2:20">
      <c r="B49" s="317"/>
      <c r="C49" s="42"/>
      <c r="D49" s="42"/>
      <c r="E49" s="42"/>
      <c r="F49" s="42"/>
      <c r="G49" s="42"/>
      <c r="H49" s="42"/>
      <c r="I49" s="42"/>
      <c r="J49" s="42"/>
      <c r="K49" s="42"/>
      <c r="L49" s="42"/>
      <c r="M49" s="203"/>
    </row>
    <row r="50" spans="2:20">
      <c r="B50" s="317"/>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6" t="str">
        <f>INDEX($J$54:$J$57,MATCH(LEFT('RFPR cover'!$C$6,2),Data!$E$54:$E$57,0),0)</f>
        <v>n/a</v>
      </c>
      <c r="C51" s="318">
        <f>IFERROR(INDEX(C$106:C$115,MATCH('RFPR cover'!$C$5,Data!$B$106:$B$115,0),0),0)</f>
        <v>0</v>
      </c>
      <c r="D51" s="300">
        <f>IFERROR(INDEX(D$106:D$115,MATCH('RFPR cover'!$C$5,Data!$B$106:$B$115,0),0),0)</f>
        <v>0</v>
      </c>
      <c r="E51" s="300">
        <f>IFERROR(INDEX(E$106:E$115,MATCH('RFPR cover'!$C$5,Data!$B$106:$B$115,0),0),0)</f>
        <v>0</v>
      </c>
      <c r="F51" s="300">
        <f>IFERROR(INDEX(F$106:F$115,MATCH('RFPR cover'!$C$5,Data!$B$106:$B$115,0),0),0)</f>
        <v>0</v>
      </c>
      <c r="G51" s="300">
        <f>IFERROR(INDEX(G$106:G$115,MATCH('RFPR cover'!$C$5,Data!$B$106:$B$115,0),0),0)</f>
        <v>0</v>
      </c>
      <c r="H51" s="300">
        <f>IFERROR(INDEX(H$106:H$115,MATCH('RFPR cover'!$C$5,Data!$B$106:$B$115,0),0),0)</f>
        <v>0</v>
      </c>
      <c r="I51" s="300">
        <f>IFERROR(INDEX(I$106:I$115,MATCH('RFPR cover'!$C$5,Data!$B$106:$B$115,0),0),0)</f>
        <v>0</v>
      </c>
      <c r="J51" s="300">
        <f>IFERROR(INDEX(J$106:J$115,MATCH('RFPR cover'!$C$5,Data!$B$106:$B$115,0),0),0)</f>
        <v>0</v>
      </c>
      <c r="K51" s="42"/>
      <c r="L51" s="42"/>
      <c r="M51" s="203"/>
    </row>
    <row r="52" spans="2:20">
      <c r="B52" s="294"/>
      <c r="C52" s="295"/>
      <c r="D52" s="295"/>
      <c r="E52" s="295"/>
      <c r="F52" s="295"/>
      <c r="G52" s="295"/>
      <c r="H52" s="295"/>
      <c r="I52" s="295"/>
      <c r="J52" s="295"/>
      <c r="K52" s="295"/>
      <c r="L52" s="295"/>
      <c r="M52" s="296"/>
    </row>
    <row r="53" spans="2:20">
      <c r="B53" s="42"/>
      <c r="C53" s="42"/>
      <c r="D53" s="42"/>
      <c r="E53" s="42"/>
      <c r="F53" s="42"/>
      <c r="G53" s="42"/>
      <c r="H53" s="42"/>
      <c r="I53" s="42"/>
      <c r="J53" s="42"/>
      <c r="K53" s="42"/>
    </row>
    <row r="54" spans="2:20">
      <c r="B54" s="304"/>
      <c r="C54" s="304"/>
      <c r="E54" s="301" t="s">
        <v>171</v>
      </c>
      <c r="F54" s="330" t="s">
        <v>158</v>
      </c>
      <c r="G54" s="963" t="s">
        <v>252</v>
      </c>
      <c r="H54" s="964"/>
      <c r="I54" s="965"/>
      <c r="J54" s="972" t="s">
        <v>254</v>
      </c>
      <c r="K54" s="973"/>
    </row>
    <row r="55" spans="2:20">
      <c r="B55" s="304"/>
      <c r="C55" s="304"/>
      <c r="E55" s="302" t="s">
        <v>173</v>
      </c>
      <c r="F55" s="331" t="s">
        <v>183</v>
      </c>
      <c r="G55" s="966" t="s">
        <v>252</v>
      </c>
      <c r="H55" s="967"/>
      <c r="I55" s="968"/>
      <c r="J55" s="974" t="s">
        <v>254</v>
      </c>
      <c r="K55" s="975"/>
    </row>
    <row r="56" spans="2:20">
      <c r="B56" s="304"/>
      <c r="C56" s="304"/>
      <c r="E56" s="302" t="s">
        <v>172</v>
      </c>
      <c r="F56" s="331" t="s">
        <v>183</v>
      </c>
      <c r="G56" s="966" t="s">
        <v>243</v>
      </c>
      <c r="H56" s="967"/>
      <c r="I56" s="968"/>
      <c r="J56" s="974" t="s">
        <v>244</v>
      </c>
      <c r="K56" s="975"/>
    </row>
    <row r="57" spans="2:20">
      <c r="B57" s="304"/>
      <c r="C57" s="304"/>
      <c r="E57" s="303" t="s">
        <v>174</v>
      </c>
      <c r="F57" s="332" t="s">
        <v>183</v>
      </c>
      <c r="G57" s="969" t="s">
        <v>253</v>
      </c>
      <c r="H57" s="970"/>
      <c r="I57" s="971"/>
      <c r="J57" s="976" t="s">
        <v>255</v>
      </c>
      <c r="K57" s="977"/>
    </row>
    <row r="58" spans="2:20">
      <c r="B58" s="304"/>
      <c r="C58" s="304"/>
      <c r="E58" s="304"/>
      <c r="F58" s="440"/>
      <c r="G58" s="441"/>
      <c r="H58" s="441"/>
      <c r="I58" s="441"/>
      <c r="J58" s="442"/>
      <c r="K58" s="442"/>
    </row>
    <row r="59" spans="2:20">
      <c r="B59" s="443"/>
      <c r="C59" s="443"/>
      <c r="D59" s="218"/>
      <c r="E59" s="443"/>
      <c r="F59" s="444"/>
      <c r="G59" s="445"/>
      <c r="H59" s="445"/>
      <c r="I59" s="445"/>
      <c r="J59" s="446"/>
      <c r="K59" s="446"/>
      <c r="L59" s="218"/>
      <c r="M59" s="218"/>
      <c r="N59" s="218"/>
      <c r="O59" s="218"/>
      <c r="P59" s="218"/>
      <c r="Q59" s="218"/>
      <c r="R59" s="218"/>
      <c r="S59" s="218"/>
      <c r="T59" s="218"/>
    </row>
    <row r="60" spans="2:20" s="31" customFormat="1">
      <c r="B60" s="394"/>
      <c r="C60" s="394"/>
      <c r="E60" s="394"/>
      <c r="F60" s="447"/>
      <c r="G60" s="448"/>
      <c r="H60" s="448"/>
      <c r="I60" s="448"/>
      <c r="J60" s="449"/>
      <c r="K60" s="449"/>
    </row>
    <row r="61" spans="2:20">
      <c r="B61" s="439" t="s">
        <v>348</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36" t="s">
        <v>346</v>
      </c>
      <c r="C63" s="562"/>
      <c r="D63" s="563"/>
      <c r="E63" s="434">
        <v>2.5499999999999998E-2</v>
      </c>
      <c r="F63" s="434">
        <v>2.3799999999999998E-2</v>
      </c>
      <c r="G63" s="434">
        <v>2.2200000000000001E-2</v>
      </c>
      <c r="H63" s="434">
        <v>1.9099999999999999E-2</v>
      </c>
      <c r="I63" s="434">
        <v>1.5800000000000002E-2</v>
      </c>
      <c r="J63" s="434">
        <v>1.09E-2</v>
      </c>
      <c r="K63" s="434">
        <v>7.6E-3</v>
      </c>
      <c r="L63" s="435">
        <v>4.4000000000000003E-3</v>
      </c>
    </row>
    <row r="64" spans="2:20">
      <c r="B64" s="437" t="s">
        <v>333</v>
      </c>
      <c r="C64" s="550"/>
      <c r="D64" s="551"/>
      <c r="E64" s="396">
        <v>2.5499999999999998E-2</v>
      </c>
      <c r="F64" s="396">
        <v>2.4199999999999999E-2</v>
      </c>
      <c r="G64" s="396">
        <v>2.29E-2</v>
      </c>
      <c r="H64" s="396">
        <v>2.0899999999999998E-2</v>
      </c>
      <c r="I64" s="396">
        <v>1.9400000000000001E-2</v>
      </c>
      <c r="J64" s="396">
        <v>1.78E-2</v>
      </c>
      <c r="K64" s="396">
        <v>1.6199999999999999E-2</v>
      </c>
      <c r="L64" s="399">
        <v>1.47E-2</v>
      </c>
    </row>
    <row r="65" spans="1:20">
      <c r="B65" s="437" t="s">
        <v>61</v>
      </c>
      <c r="C65" s="395">
        <v>2.92E-2</v>
      </c>
      <c r="D65" s="396">
        <v>2.5000000000000001E-2</v>
      </c>
      <c r="E65" s="396">
        <v>2.1499999999999998E-2</v>
      </c>
      <c r="F65" s="396">
        <v>1.7899999999999999E-2</v>
      </c>
      <c r="G65" s="396">
        <v>1.5100000000000001E-2</v>
      </c>
      <c r="H65" s="396">
        <v>1.1599999999999999E-2</v>
      </c>
      <c r="I65" s="396">
        <v>1.0200000000000001E-2</v>
      </c>
      <c r="J65" s="396">
        <v>7.6E-3</v>
      </c>
      <c r="K65" s="564"/>
      <c r="L65" s="565"/>
    </row>
    <row r="66" spans="1:20">
      <c r="B66" s="437" t="s">
        <v>347</v>
      </c>
      <c r="C66" s="432">
        <v>2.92E-2</v>
      </c>
      <c r="D66" s="433">
        <v>2.7199999999999998E-2</v>
      </c>
      <c r="E66" s="433">
        <v>2.5499999999999998E-2</v>
      </c>
      <c r="F66" s="433">
        <v>2.3800000000000002E-2</v>
      </c>
      <c r="G66" s="433">
        <v>2.2200000000000001E-2</v>
      </c>
      <c r="H66" s="433">
        <v>1.9099999999999999E-2</v>
      </c>
      <c r="I66" s="433">
        <v>1.5800000000000002E-2</v>
      </c>
      <c r="J66" s="433">
        <v>1.09E-2</v>
      </c>
      <c r="K66" s="551"/>
      <c r="L66" s="552"/>
    </row>
    <row r="67" spans="1:20">
      <c r="B67" s="437" t="s">
        <v>172</v>
      </c>
      <c r="C67" s="395">
        <v>2.92E-2</v>
      </c>
      <c r="D67" s="396">
        <v>2.7199999999999998E-2</v>
      </c>
      <c r="E67" s="396">
        <v>2.5499999999999998E-2</v>
      </c>
      <c r="F67" s="396">
        <v>2.3800000000000002E-2</v>
      </c>
      <c r="G67" s="396">
        <v>2.2200000000000001E-2</v>
      </c>
      <c r="H67" s="433">
        <v>1.9099999999999999E-2</v>
      </c>
      <c r="I67" s="433">
        <v>1.5800000000000002E-2</v>
      </c>
      <c r="J67" s="433">
        <v>1.09E-2</v>
      </c>
      <c r="K67" s="551"/>
      <c r="L67" s="552"/>
    </row>
    <row r="68" spans="1:20">
      <c r="B68" s="438" t="s">
        <v>174</v>
      </c>
      <c r="C68" s="397">
        <v>2.92E-2</v>
      </c>
      <c r="D68" s="398">
        <v>2.7199999999999998E-2</v>
      </c>
      <c r="E68" s="398">
        <v>2.5499999999999998E-2</v>
      </c>
      <c r="F68" s="398">
        <v>2.3800000000000002E-2</v>
      </c>
      <c r="G68" s="398">
        <v>2.2200000000000001E-2</v>
      </c>
      <c r="H68" s="398">
        <v>1.9099999999999999E-2</v>
      </c>
      <c r="I68" s="398">
        <v>1.5800000000000002E-2</v>
      </c>
      <c r="J68" s="398">
        <v>1.09E-2</v>
      </c>
      <c r="K68" s="553"/>
      <c r="L68" s="554"/>
    </row>
    <row r="69" spans="1:20">
      <c r="I69" s="67"/>
    </row>
    <row r="70" spans="1:20">
      <c r="H70" s="67"/>
      <c r="K70" s="42"/>
      <c r="L70" s="42"/>
      <c r="M70" s="42"/>
      <c r="N70" s="42"/>
      <c r="O70" s="42"/>
      <c r="P70" s="42"/>
      <c r="Q70" s="42"/>
      <c r="R70" s="42"/>
      <c r="S70" s="42"/>
      <c r="T70" s="42"/>
    </row>
    <row r="71" spans="1:20" ht="38.25">
      <c r="B71" s="22"/>
      <c r="C71" s="74" t="s">
        <v>250</v>
      </c>
      <c r="D71" s="75" t="s">
        <v>211</v>
      </c>
      <c r="E71" s="75" t="s">
        <v>72</v>
      </c>
      <c r="F71" s="75" t="s">
        <v>273</v>
      </c>
      <c r="G71" s="75" t="s">
        <v>116</v>
      </c>
      <c r="H71" s="76" t="s">
        <v>185</v>
      </c>
      <c r="I71" s="329" t="s">
        <v>268</v>
      </c>
      <c r="J71" s="329" t="s">
        <v>480</v>
      </c>
      <c r="K71" s="960" t="s">
        <v>342</v>
      </c>
      <c r="L71" s="961"/>
      <c r="M71" s="961"/>
      <c r="N71" s="961"/>
      <c r="O71" s="961"/>
      <c r="P71" s="961"/>
      <c r="Q71" s="961"/>
      <c r="R71" s="961"/>
      <c r="S71" s="961"/>
      <c r="T71" s="962"/>
    </row>
    <row r="72" spans="1:20">
      <c r="A72" s="333" t="s">
        <v>188</v>
      </c>
      <c r="B72" s="68" t="s">
        <v>69</v>
      </c>
      <c r="C72" s="305"/>
      <c r="D72" s="70"/>
      <c r="E72" s="69"/>
      <c r="F72" s="69"/>
      <c r="G72" s="70"/>
      <c r="H72" s="71"/>
      <c r="I72" s="71"/>
      <c r="J72" s="419"/>
      <c r="K72" s="420">
        <v>2014</v>
      </c>
      <c r="L72" s="421">
        <f t="shared" ref="L72:T72" si="6">K72+1</f>
        <v>2015</v>
      </c>
      <c r="M72" s="421">
        <f t="shared" si="6"/>
        <v>2016</v>
      </c>
      <c r="N72" s="421">
        <f t="shared" si="6"/>
        <v>2017</v>
      </c>
      <c r="O72" s="421">
        <f t="shared" si="6"/>
        <v>2018</v>
      </c>
      <c r="P72" s="421">
        <f t="shared" si="6"/>
        <v>2019</v>
      </c>
      <c r="Q72" s="421">
        <f t="shared" si="6"/>
        <v>2020</v>
      </c>
      <c r="R72" s="421">
        <f t="shared" si="6"/>
        <v>2021</v>
      </c>
      <c r="S72" s="421">
        <f t="shared" si="6"/>
        <v>2022</v>
      </c>
      <c r="T72" s="422">
        <f t="shared" si="6"/>
        <v>2023</v>
      </c>
    </row>
    <row r="73" spans="1:20">
      <c r="A73" s="60" t="s">
        <v>171</v>
      </c>
      <c r="B73" s="72" t="s">
        <v>43</v>
      </c>
      <c r="C73" s="306">
        <v>0.06</v>
      </c>
      <c r="D73" s="307">
        <v>0.58109999999999995</v>
      </c>
      <c r="E73" s="308">
        <v>0.65</v>
      </c>
      <c r="F73" s="308">
        <v>0.68</v>
      </c>
      <c r="G73" s="335">
        <v>2016</v>
      </c>
      <c r="H73" s="336" t="str">
        <f t="shared" ref="H73:H97" si="7">VLOOKUP($A73,$E$54:$F$57,2,FALSE)</f>
        <v>£m 12/13</v>
      </c>
      <c r="I73" s="336" t="s">
        <v>269</v>
      </c>
      <c r="J73" s="419" t="s">
        <v>481</v>
      </c>
      <c r="K73" s="550"/>
      <c r="L73" s="551"/>
      <c r="M73" s="427">
        <f t="shared" ref="M73:M82" si="8">E$64</f>
        <v>2.5499999999999998E-2</v>
      </c>
      <c r="N73" s="427">
        <f t="shared" ref="N73:N82" si="9">F$64</f>
        <v>2.4199999999999999E-2</v>
      </c>
      <c r="O73" s="427">
        <f t="shared" ref="O73:O82" si="10">G$64</f>
        <v>2.29E-2</v>
      </c>
      <c r="P73" s="427">
        <f t="shared" ref="P73:P82" si="11">H$64</f>
        <v>2.0899999999999998E-2</v>
      </c>
      <c r="Q73" s="427">
        <f t="shared" ref="Q73:Q82" si="12">I$64</f>
        <v>1.9400000000000001E-2</v>
      </c>
      <c r="R73" s="427">
        <f t="shared" ref="R73:R82" si="13">J$64</f>
        <v>1.78E-2</v>
      </c>
      <c r="S73" s="427">
        <f t="shared" ref="S73:S82" si="14">K$64</f>
        <v>1.6199999999999999E-2</v>
      </c>
      <c r="T73" s="431">
        <f t="shared" ref="T73:T82" si="15">L$64</f>
        <v>1.47E-2</v>
      </c>
    </row>
    <row r="74" spans="1:20">
      <c r="A74" s="60" t="s">
        <v>171</v>
      </c>
      <c r="B74" s="72" t="s">
        <v>44</v>
      </c>
      <c r="C74" s="306">
        <v>0.06</v>
      </c>
      <c r="D74" s="307">
        <v>0.55843703457782867</v>
      </c>
      <c r="E74" s="308">
        <v>0.65</v>
      </c>
      <c r="F74" s="308">
        <v>0.7</v>
      </c>
      <c r="G74" s="335">
        <v>2016</v>
      </c>
      <c r="H74" s="336" t="str">
        <f t="shared" si="7"/>
        <v>£m 12/13</v>
      </c>
      <c r="I74" s="336" t="s">
        <v>269</v>
      </c>
      <c r="J74" s="419" t="s">
        <v>481</v>
      </c>
      <c r="K74" s="550"/>
      <c r="L74" s="551"/>
      <c r="M74" s="427">
        <f t="shared" si="8"/>
        <v>2.5499999999999998E-2</v>
      </c>
      <c r="N74" s="427">
        <f t="shared" si="9"/>
        <v>2.4199999999999999E-2</v>
      </c>
      <c r="O74" s="427">
        <f t="shared" si="10"/>
        <v>2.29E-2</v>
      </c>
      <c r="P74" s="427">
        <f t="shared" si="11"/>
        <v>2.0899999999999998E-2</v>
      </c>
      <c r="Q74" s="427">
        <f t="shared" si="12"/>
        <v>1.9400000000000001E-2</v>
      </c>
      <c r="R74" s="427">
        <f t="shared" si="13"/>
        <v>1.78E-2</v>
      </c>
      <c r="S74" s="427">
        <f t="shared" si="14"/>
        <v>1.6199999999999999E-2</v>
      </c>
      <c r="T74" s="431">
        <f t="shared" si="15"/>
        <v>1.47E-2</v>
      </c>
    </row>
    <row r="75" spans="1:20">
      <c r="A75" s="60" t="s">
        <v>171</v>
      </c>
      <c r="B75" s="72" t="s">
        <v>73</v>
      </c>
      <c r="C75" s="306">
        <v>0.06</v>
      </c>
      <c r="D75" s="307">
        <v>0.55843703457782867</v>
      </c>
      <c r="E75" s="308">
        <v>0.65</v>
      </c>
      <c r="F75" s="308">
        <v>0.72</v>
      </c>
      <c r="G75" s="335">
        <v>2016</v>
      </c>
      <c r="H75" s="336" t="str">
        <f t="shared" si="7"/>
        <v>£m 12/13</v>
      </c>
      <c r="I75" s="336" t="s">
        <v>269</v>
      </c>
      <c r="J75" s="419" t="s">
        <v>481</v>
      </c>
      <c r="K75" s="550"/>
      <c r="L75" s="551"/>
      <c r="M75" s="427">
        <f t="shared" si="8"/>
        <v>2.5499999999999998E-2</v>
      </c>
      <c r="N75" s="427">
        <f t="shared" si="9"/>
        <v>2.4199999999999999E-2</v>
      </c>
      <c r="O75" s="427">
        <f t="shared" si="10"/>
        <v>2.29E-2</v>
      </c>
      <c r="P75" s="427">
        <f t="shared" si="11"/>
        <v>2.0899999999999998E-2</v>
      </c>
      <c r="Q75" s="427">
        <f t="shared" si="12"/>
        <v>1.9400000000000001E-2</v>
      </c>
      <c r="R75" s="427">
        <f t="shared" si="13"/>
        <v>1.78E-2</v>
      </c>
      <c r="S75" s="427">
        <f t="shared" si="14"/>
        <v>1.6199999999999999E-2</v>
      </c>
      <c r="T75" s="431">
        <f t="shared" si="15"/>
        <v>1.47E-2</v>
      </c>
    </row>
    <row r="76" spans="1:20">
      <c r="A76" s="60" t="s">
        <v>171</v>
      </c>
      <c r="B76" s="72" t="s">
        <v>59</v>
      </c>
      <c r="C76" s="306">
        <v>0.06</v>
      </c>
      <c r="D76" s="307">
        <v>0.53280000000000005</v>
      </c>
      <c r="E76" s="308">
        <v>0.65</v>
      </c>
      <c r="F76" s="308">
        <v>0.68</v>
      </c>
      <c r="G76" s="335">
        <v>2016</v>
      </c>
      <c r="H76" s="336" t="str">
        <f t="shared" si="7"/>
        <v>£m 12/13</v>
      </c>
      <c r="I76" s="336" t="s">
        <v>269</v>
      </c>
      <c r="J76" s="419" t="s">
        <v>481</v>
      </c>
      <c r="K76" s="550"/>
      <c r="L76" s="551"/>
      <c r="M76" s="427">
        <f t="shared" si="8"/>
        <v>2.5499999999999998E-2</v>
      </c>
      <c r="N76" s="427">
        <f t="shared" si="9"/>
        <v>2.4199999999999999E-2</v>
      </c>
      <c r="O76" s="427">
        <f t="shared" si="10"/>
        <v>2.29E-2</v>
      </c>
      <c r="P76" s="427">
        <f t="shared" si="11"/>
        <v>2.0899999999999998E-2</v>
      </c>
      <c r="Q76" s="427">
        <f t="shared" si="12"/>
        <v>1.9400000000000001E-2</v>
      </c>
      <c r="R76" s="427">
        <f t="shared" si="13"/>
        <v>1.78E-2</v>
      </c>
      <c r="S76" s="427">
        <f t="shared" si="14"/>
        <v>1.6199999999999999E-2</v>
      </c>
      <c r="T76" s="431">
        <f t="shared" si="15"/>
        <v>1.47E-2</v>
      </c>
    </row>
    <row r="77" spans="1:20">
      <c r="A77" s="60" t="s">
        <v>171</v>
      </c>
      <c r="B77" s="72" t="s">
        <v>57</v>
      </c>
      <c r="C77" s="306">
        <v>0.06</v>
      </c>
      <c r="D77" s="307">
        <v>0.53280000000000005</v>
      </c>
      <c r="E77" s="308">
        <v>0.65</v>
      </c>
      <c r="F77" s="308">
        <v>0.68</v>
      </c>
      <c r="G77" s="335">
        <v>2016</v>
      </c>
      <c r="H77" s="336" t="str">
        <f t="shared" si="7"/>
        <v>£m 12/13</v>
      </c>
      <c r="I77" s="336" t="s">
        <v>269</v>
      </c>
      <c r="J77" s="419" t="s">
        <v>481</v>
      </c>
      <c r="K77" s="550"/>
      <c r="L77" s="551"/>
      <c r="M77" s="427">
        <f t="shared" si="8"/>
        <v>2.5499999999999998E-2</v>
      </c>
      <c r="N77" s="427">
        <f t="shared" si="9"/>
        <v>2.4199999999999999E-2</v>
      </c>
      <c r="O77" s="427">
        <f t="shared" si="10"/>
        <v>2.29E-2</v>
      </c>
      <c r="P77" s="427">
        <f t="shared" si="11"/>
        <v>2.0899999999999998E-2</v>
      </c>
      <c r="Q77" s="427">
        <f t="shared" si="12"/>
        <v>1.9400000000000001E-2</v>
      </c>
      <c r="R77" s="427">
        <f t="shared" si="13"/>
        <v>1.78E-2</v>
      </c>
      <c r="S77" s="427">
        <f t="shared" si="14"/>
        <v>1.6199999999999999E-2</v>
      </c>
      <c r="T77" s="431">
        <f t="shared" si="15"/>
        <v>1.47E-2</v>
      </c>
    </row>
    <row r="78" spans="1:20">
      <c r="A78" s="60" t="s">
        <v>171</v>
      </c>
      <c r="B78" s="72" t="s">
        <v>58</v>
      </c>
      <c r="C78" s="306">
        <v>0.06</v>
      </c>
      <c r="D78" s="307">
        <v>0.53280000000000005</v>
      </c>
      <c r="E78" s="308">
        <v>0.65</v>
      </c>
      <c r="F78" s="308">
        <v>0.68</v>
      </c>
      <c r="G78" s="335">
        <v>2016</v>
      </c>
      <c r="H78" s="336" t="str">
        <f t="shared" si="7"/>
        <v>£m 12/13</v>
      </c>
      <c r="I78" s="336" t="s">
        <v>269</v>
      </c>
      <c r="J78" s="419" t="s">
        <v>481</v>
      </c>
      <c r="K78" s="550"/>
      <c r="L78" s="551"/>
      <c r="M78" s="427">
        <f t="shared" si="8"/>
        <v>2.5499999999999998E-2</v>
      </c>
      <c r="N78" s="427">
        <f t="shared" si="9"/>
        <v>2.4199999999999999E-2</v>
      </c>
      <c r="O78" s="427">
        <f t="shared" si="10"/>
        <v>2.29E-2</v>
      </c>
      <c r="P78" s="427">
        <f t="shared" si="11"/>
        <v>2.0899999999999998E-2</v>
      </c>
      <c r="Q78" s="427">
        <f t="shared" si="12"/>
        <v>1.9400000000000001E-2</v>
      </c>
      <c r="R78" s="427">
        <f t="shared" si="13"/>
        <v>1.78E-2</v>
      </c>
      <c r="S78" s="427">
        <f t="shared" si="14"/>
        <v>1.6199999999999999E-2</v>
      </c>
      <c r="T78" s="431">
        <f t="shared" si="15"/>
        <v>1.47E-2</v>
      </c>
    </row>
    <row r="79" spans="1:20">
      <c r="A79" s="60" t="s">
        <v>171</v>
      </c>
      <c r="B79" s="72" t="s">
        <v>45</v>
      </c>
      <c r="C79" s="306">
        <v>0.06</v>
      </c>
      <c r="D79" s="307">
        <v>0.53500000000000003</v>
      </c>
      <c r="E79" s="308">
        <v>0.65</v>
      </c>
      <c r="F79" s="308">
        <v>0.8</v>
      </c>
      <c r="G79" s="335">
        <v>2016</v>
      </c>
      <c r="H79" s="336" t="str">
        <f t="shared" si="7"/>
        <v>£m 12/13</v>
      </c>
      <c r="I79" s="336" t="s">
        <v>269</v>
      </c>
      <c r="J79" s="419" t="s">
        <v>481</v>
      </c>
      <c r="K79" s="550"/>
      <c r="L79" s="551"/>
      <c r="M79" s="427">
        <f t="shared" si="8"/>
        <v>2.5499999999999998E-2</v>
      </c>
      <c r="N79" s="427">
        <f t="shared" si="9"/>
        <v>2.4199999999999999E-2</v>
      </c>
      <c r="O79" s="427">
        <f t="shared" si="10"/>
        <v>2.29E-2</v>
      </c>
      <c r="P79" s="427">
        <f t="shared" si="11"/>
        <v>2.0899999999999998E-2</v>
      </c>
      <c r="Q79" s="427">
        <f t="shared" si="12"/>
        <v>1.9400000000000001E-2</v>
      </c>
      <c r="R79" s="427">
        <f t="shared" si="13"/>
        <v>1.78E-2</v>
      </c>
      <c r="S79" s="427">
        <f t="shared" si="14"/>
        <v>1.6199999999999999E-2</v>
      </c>
      <c r="T79" s="431">
        <f t="shared" si="15"/>
        <v>1.47E-2</v>
      </c>
    </row>
    <row r="80" spans="1:20">
      <c r="A80" s="60" t="s">
        <v>171</v>
      </c>
      <c r="B80" s="72" t="s">
        <v>46</v>
      </c>
      <c r="C80" s="306">
        <v>0.06</v>
      </c>
      <c r="D80" s="307">
        <v>0.53500000000000003</v>
      </c>
      <c r="E80" s="308">
        <v>0.65</v>
      </c>
      <c r="F80" s="308">
        <v>0.8</v>
      </c>
      <c r="G80" s="335">
        <v>2016</v>
      </c>
      <c r="H80" s="336" t="str">
        <f t="shared" si="7"/>
        <v>£m 12/13</v>
      </c>
      <c r="I80" s="336" t="s">
        <v>269</v>
      </c>
      <c r="J80" s="419" t="s">
        <v>481</v>
      </c>
      <c r="K80" s="550"/>
      <c r="L80" s="551"/>
      <c r="M80" s="427">
        <f t="shared" si="8"/>
        <v>2.5499999999999998E-2</v>
      </c>
      <c r="N80" s="427">
        <f t="shared" si="9"/>
        <v>2.4199999999999999E-2</v>
      </c>
      <c r="O80" s="427">
        <f t="shared" si="10"/>
        <v>2.29E-2</v>
      </c>
      <c r="P80" s="427">
        <f t="shared" si="11"/>
        <v>2.0899999999999998E-2</v>
      </c>
      <c r="Q80" s="427">
        <f t="shared" si="12"/>
        <v>1.9400000000000001E-2</v>
      </c>
      <c r="R80" s="427">
        <f t="shared" si="13"/>
        <v>1.78E-2</v>
      </c>
      <c r="S80" s="427">
        <f t="shared" si="14"/>
        <v>1.6199999999999999E-2</v>
      </c>
      <c r="T80" s="431">
        <f t="shared" si="15"/>
        <v>1.47E-2</v>
      </c>
    </row>
    <row r="81" spans="1:20">
      <c r="A81" s="60" t="s">
        <v>171</v>
      </c>
      <c r="B81" s="72" t="s">
        <v>47</v>
      </c>
      <c r="C81" s="306">
        <v>0.06</v>
      </c>
      <c r="D81" s="307">
        <v>0.56469999999999998</v>
      </c>
      <c r="E81" s="308">
        <v>0.65</v>
      </c>
      <c r="F81" s="308">
        <v>0.62</v>
      </c>
      <c r="G81" s="335">
        <v>2016</v>
      </c>
      <c r="H81" s="336" t="str">
        <f t="shared" si="7"/>
        <v>£m 12/13</v>
      </c>
      <c r="I81" s="336" t="s">
        <v>269</v>
      </c>
      <c r="J81" s="419" t="s">
        <v>481</v>
      </c>
      <c r="K81" s="550"/>
      <c r="L81" s="551"/>
      <c r="M81" s="427">
        <f t="shared" si="8"/>
        <v>2.5499999999999998E-2</v>
      </c>
      <c r="N81" s="427">
        <f t="shared" si="9"/>
        <v>2.4199999999999999E-2</v>
      </c>
      <c r="O81" s="427">
        <f t="shared" si="10"/>
        <v>2.29E-2</v>
      </c>
      <c r="P81" s="427">
        <f t="shared" si="11"/>
        <v>2.0899999999999998E-2</v>
      </c>
      <c r="Q81" s="427">
        <f t="shared" si="12"/>
        <v>1.9400000000000001E-2</v>
      </c>
      <c r="R81" s="427">
        <f t="shared" si="13"/>
        <v>1.78E-2</v>
      </c>
      <c r="S81" s="427">
        <f t="shared" si="14"/>
        <v>1.6199999999999999E-2</v>
      </c>
      <c r="T81" s="431">
        <f t="shared" si="15"/>
        <v>1.47E-2</v>
      </c>
    </row>
    <row r="82" spans="1:20">
      <c r="A82" s="60" t="s">
        <v>171</v>
      </c>
      <c r="B82" s="72" t="s">
        <v>48</v>
      </c>
      <c r="C82" s="306">
        <v>0.06</v>
      </c>
      <c r="D82" s="307">
        <v>0.56469999999999998</v>
      </c>
      <c r="E82" s="308">
        <v>0.65</v>
      </c>
      <c r="F82" s="308">
        <v>0.7</v>
      </c>
      <c r="G82" s="335">
        <v>2016</v>
      </c>
      <c r="H82" s="336" t="str">
        <f t="shared" si="7"/>
        <v>£m 12/13</v>
      </c>
      <c r="I82" s="336" t="s">
        <v>269</v>
      </c>
      <c r="J82" s="419" t="s">
        <v>481</v>
      </c>
      <c r="K82" s="550"/>
      <c r="L82" s="551"/>
      <c r="M82" s="427">
        <f t="shared" si="8"/>
        <v>2.5499999999999998E-2</v>
      </c>
      <c r="N82" s="427">
        <f t="shared" si="9"/>
        <v>2.4199999999999999E-2</v>
      </c>
      <c r="O82" s="427">
        <f t="shared" si="10"/>
        <v>2.29E-2</v>
      </c>
      <c r="P82" s="427">
        <f t="shared" si="11"/>
        <v>2.0899999999999998E-2</v>
      </c>
      <c r="Q82" s="427">
        <f t="shared" si="12"/>
        <v>1.9400000000000001E-2</v>
      </c>
      <c r="R82" s="427">
        <f t="shared" si="13"/>
        <v>1.78E-2</v>
      </c>
      <c r="S82" s="427">
        <f t="shared" si="14"/>
        <v>1.6199999999999999E-2</v>
      </c>
      <c r="T82" s="431">
        <f t="shared" si="15"/>
        <v>1.47E-2</v>
      </c>
    </row>
    <row r="83" spans="1:20">
      <c r="A83" s="60" t="s">
        <v>171</v>
      </c>
      <c r="B83" s="72" t="s">
        <v>245</v>
      </c>
      <c r="C83" s="306">
        <v>6.4000000000000001E-2</v>
      </c>
      <c r="D83" s="307">
        <v>0.7</v>
      </c>
      <c r="E83" s="308">
        <v>0.65</v>
      </c>
      <c r="F83" s="308">
        <v>0.8</v>
      </c>
      <c r="G83" s="335">
        <v>2016</v>
      </c>
      <c r="H83" s="336" t="str">
        <f t="shared" si="7"/>
        <v>£m 12/13</v>
      </c>
      <c r="I83" s="336" t="s">
        <v>270</v>
      </c>
      <c r="J83" s="419" t="s">
        <v>482</v>
      </c>
      <c r="K83" s="550"/>
      <c r="L83" s="551"/>
      <c r="M83" s="427">
        <f t="shared" ref="M83:T86" si="16">E$63</f>
        <v>2.5499999999999998E-2</v>
      </c>
      <c r="N83" s="427">
        <f t="shared" si="16"/>
        <v>2.3799999999999998E-2</v>
      </c>
      <c r="O83" s="427">
        <f t="shared" si="16"/>
        <v>2.2200000000000001E-2</v>
      </c>
      <c r="P83" s="427">
        <f t="shared" si="16"/>
        <v>1.9099999999999999E-2</v>
      </c>
      <c r="Q83" s="427">
        <f t="shared" si="16"/>
        <v>1.5800000000000002E-2</v>
      </c>
      <c r="R83" s="427">
        <f t="shared" si="16"/>
        <v>1.09E-2</v>
      </c>
      <c r="S83" s="427">
        <f t="shared" si="16"/>
        <v>7.6E-3</v>
      </c>
      <c r="T83" s="431">
        <f t="shared" si="16"/>
        <v>4.4000000000000003E-3</v>
      </c>
    </row>
    <row r="84" spans="1:20">
      <c r="A84" s="60" t="s">
        <v>171</v>
      </c>
      <c r="B84" s="72" t="s">
        <v>246</v>
      </c>
      <c r="C84" s="306">
        <v>6.4000000000000001E-2</v>
      </c>
      <c r="D84" s="307">
        <v>0.7</v>
      </c>
      <c r="E84" s="308">
        <v>0.65</v>
      </c>
      <c r="F84" s="308">
        <v>0.8</v>
      </c>
      <c r="G84" s="335">
        <v>2016</v>
      </c>
      <c r="H84" s="336" t="str">
        <f t="shared" si="7"/>
        <v>£m 12/13</v>
      </c>
      <c r="I84" s="336" t="s">
        <v>270</v>
      </c>
      <c r="J84" s="419" t="s">
        <v>482</v>
      </c>
      <c r="K84" s="550"/>
      <c r="L84" s="551"/>
      <c r="M84" s="427">
        <f t="shared" si="16"/>
        <v>2.5499999999999998E-2</v>
      </c>
      <c r="N84" s="427">
        <f t="shared" si="16"/>
        <v>2.3799999999999998E-2</v>
      </c>
      <c r="O84" s="427">
        <f t="shared" si="16"/>
        <v>2.2200000000000001E-2</v>
      </c>
      <c r="P84" s="427">
        <f t="shared" si="16"/>
        <v>1.9099999999999999E-2</v>
      </c>
      <c r="Q84" s="427">
        <f t="shared" si="16"/>
        <v>1.5800000000000002E-2</v>
      </c>
      <c r="R84" s="427">
        <f t="shared" si="16"/>
        <v>1.09E-2</v>
      </c>
      <c r="S84" s="427">
        <f t="shared" si="16"/>
        <v>7.6E-3</v>
      </c>
      <c r="T84" s="431">
        <f t="shared" si="16"/>
        <v>4.4000000000000003E-3</v>
      </c>
    </row>
    <row r="85" spans="1:20">
      <c r="A85" s="60" t="s">
        <v>171</v>
      </c>
      <c r="B85" s="72" t="s">
        <v>247</v>
      </c>
      <c r="C85" s="306">
        <v>6.4000000000000001E-2</v>
      </c>
      <c r="D85" s="307">
        <v>0.7</v>
      </c>
      <c r="E85" s="308">
        <v>0.65</v>
      </c>
      <c r="F85" s="308">
        <v>0.8</v>
      </c>
      <c r="G85" s="335">
        <v>2016</v>
      </c>
      <c r="H85" s="336" t="str">
        <f t="shared" si="7"/>
        <v>£m 12/13</v>
      </c>
      <c r="I85" s="336" t="s">
        <v>270</v>
      </c>
      <c r="J85" s="419" t="s">
        <v>482</v>
      </c>
      <c r="K85" s="550"/>
      <c r="L85" s="551"/>
      <c r="M85" s="427">
        <f t="shared" si="16"/>
        <v>2.5499999999999998E-2</v>
      </c>
      <c r="N85" s="427">
        <f t="shared" si="16"/>
        <v>2.3799999999999998E-2</v>
      </c>
      <c r="O85" s="427">
        <f t="shared" si="16"/>
        <v>2.2200000000000001E-2</v>
      </c>
      <c r="P85" s="427">
        <f t="shared" si="16"/>
        <v>1.9099999999999999E-2</v>
      </c>
      <c r="Q85" s="427">
        <f t="shared" si="16"/>
        <v>1.5800000000000002E-2</v>
      </c>
      <c r="R85" s="427">
        <f t="shared" si="16"/>
        <v>1.09E-2</v>
      </c>
      <c r="S85" s="427">
        <f t="shared" si="16"/>
        <v>7.6E-3</v>
      </c>
      <c r="T85" s="431">
        <f t="shared" si="16"/>
        <v>4.4000000000000003E-3</v>
      </c>
    </row>
    <row r="86" spans="1:20">
      <c r="A86" s="60" t="s">
        <v>171</v>
      </c>
      <c r="B86" s="72" t="s">
        <v>248</v>
      </c>
      <c r="C86" s="306">
        <v>6.4000000000000001E-2</v>
      </c>
      <c r="D86" s="307">
        <v>0.7</v>
      </c>
      <c r="E86" s="308">
        <v>0.65</v>
      </c>
      <c r="F86" s="308">
        <v>0.8</v>
      </c>
      <c r="G86" s="335">
        <v>2016</v>
      </c>
      <c r="H86" s="336" t="str">
        <f t="shared" si="7"/>
        <v>£m 12/13</v>
      </c>
      <c r="I86" s="336" t="s">
        <v>270</v>
      </c>
      <c r="J86" s="419" t="s">
        <v>482</v>
      </c>
      <c r="K86" s="550"/>
      <c r="L86" s="551"/>
      <c r="M86" s="427">
        <f t="shared" si="16"/>
        <v>2.5499999999999998E-2</v>
      </c>
      <c r="N86" s="427">
        <f t="shared" si="16"/>
        <v>2.3799999999999998E-2</v>
      </c>
      <c r="O86" s="427">
        <f t="shared" si="16"/>
        <v>2.2200000000000001E-2</v>
      </c>
      <c r="P86" s="427">
        <f t="shared" si="16"/>
        <v>1.9099999999999999E-2</v>
      </c>
      <c r="Q86" s="427">
        <f t="shared" si="16"/>
        <v>1.5800000000000002E-2</v>
      </c>
      <c r="R86" s="427">
        <f t="shared" si="16"/>
        <v>1.09E-2</v>
      </c>
      <c r="S86" s="427">
        <f t="shared" si="16"/>
        <v>7.6E-3</v>
      </c>
      <c r="T86" s="431">
        <f t="shared" si="16"/>
        <v>4.4000000000000003E-3</v>
      </c>
    </row>
    <row r="87" spans="1:20">
      <c r="A87" s="60" t="s">
        <v>172</v>
      </c>
      <c r="B87" s="72" t="s">
        <v>53</v>
      </c>
      <c r="C87" s="306">
        <v>6.7000000000000004E-2</v>
      </c>
      <c r="D87" s="307">
        <v>0.63039999999999996</v>
      </c>
      <c r="E87" s="308">
        <v>0.65</v>
      </c>
      <c r="F87" s="308">
        <v>0.26634501855794862</v>
      </c>
      <c r="G87" s="335">
        <v>2014</v>
      </c>
      <c r="H87" s="336" t="str">
        <f t="shared" si="7"/>
        <v>£m 09/10</v>
      </c>
      <c r="I87" s="336" t="s">
        <v>269</v>
      </c>
      <c r="J87" s="419" t="s">
        <v>482</v>
      </c>
      <c r="K87" s="429">
        <f t="shared" ref="K87:R94" si="17">C$67</f>
        <v>2.92E-2</v>
      </c>
      <c r="L87" s="427">
        <f t="shared" si="17"/>
        <v>2.7199999999999998E-2</v>
      </c>
      <c r="M87" s="427">
        <f t="shared" si="17"/>
        <v>2.5499999999999998E-2</v>
      </c>
      <c r="N87" s="427">
        <f t="shared" si="17"/>
        <v>2.3800000000000002E-2</v>
      </c>
      <c r="O87" s="427">
        <f t="shared" si="17"/>
        <v>2.2200000000000001E-2</v>
      </c>
      <c r="P87" s="427">
        <f t="shared" si="17"/>
        <v>1.9099999999999999E-2</v>
      </c>
      <c r="Q87" s="427">
        <f t="shared" si="17"/>
        <v>1.5800000000000002E-2</v>
      </c>
      <c r="R87" s="427">
        <f t="shared" si="17"/>
        <v>1.09E-2</v>
      </c>
      <c r="S87" s="551"/>
      <c r="T87" s="552"/>
    </row>
    <row r="88" spans="1:20">
      <c r="A88" s="60" t="s">
        <v>172</v>
      </c>
      <c r="B88" s="72" t="s">
        <v>54</v>
      </c>
      <c r="C88" s="306">
        <v>6.7000000000000004E-2</v>
      </c>
      <c r="D88" s="307">
        <v>0.63039999999999996</v>
      </c>
      <c r="E88" s="308">
        <v>0.65</v>
      </c>
      <c r="F88" s="308">
        <v>0.23469337831705597</v>
      </c>
      <c r="G88" s="335">
        <v>2014</v>
      </c>
      <c r="H88" s="336" t="str">
        <f t="shared" si="7"/>
        <v>£m 09/10</v>
      </c>
      <c r="I88" s="336" t="s">
        <v>269</v>
      </c>
      <c r="J88" s="419" t="s">
        <v>482</v>
      </c>
      <c r="K88" s="429">
        <f t="shared" si="17"/>
        <v>2.92E-2</v>
      </c>
      <c r="L88" s="427">
        <f t="shared" si="17"/>
        <v>2.7199999999999998E-2</v>
      </c>
      <c r="M88" s="427">
        <f t="shared" si="17"/>
        <v>2.5499999999999998E-2</v>
      </c>
      <c r="N88" s="427">
        <f t="shared" si="17"/>
        <v>2.3800000000000002E-2</v>
      </c>
      <c r="O88" s="427">
        <f t="shared" si="17"/>
        <v>2.2200000000000001E-2</v>
      </c>
      <c r="P88" s="427">
        <f t="shared" si="17"/>
        <v>1.9099999999999999E-2</v>
      </c>
      <c r="Q88" s="427">
        <f t="shared" si="17"/>
        <v>1.5800000000000002E-2</v>
      </c>
      <c r="R88" s="427">
        <f t="shared" si="17"/>
        <v>1.09E-2</v>
      </c>
      <c r="S88" s="551"/>
      <c r="T88" s="552"/>
    </row>
    <row r="89" spans="1:20">
      <c r="A89" s="60" t="s">
        <v>172</v>
      </c>
      <c r="B89" s="72" t="s">
        <v>55</v>
      </c>
      <c r="C89" s="306">
        <v>6.7000000000000004E-2</v>
      </c>
      <c r="D89" s="307">
        <v>0.63039999999999996</v>
      </c>
      <c r="E89" s="308">
        <v>0.65</v>
      </c>
      <c r="F89" s="308">
        <v>0.24946223864843597</v>
      </c>
      <c r="G89" s="335">
        <v>2014</v>
      </c>
      <c r="H89" s="336" t="str">
        <f t="shared" si="7"/>
        <v>£m 09/10</v>
      </c>
      <c r="I89" s="336" t="s">
        <v>269</v>
      </c>
      <c r="J89" s="419" t="s">
        <v>482</v>
      </c>
      <c r="K89" s="429">
        <f t="shared" si="17"/>
        <v>2.92E-2</v>
      </c>
      <c r="L89" s="427">
        <f t="shared" si="17"/>
        <v>2.7199999999999998E-2</v>
      </c>
      <c r="M89" s="427">
        <f t="shared" si="17"/>
        <v>2.5499999999999998E-2</v>
      </c>
      <c r="N89" s="427">
        <f t="shared" si="17"/>
        <v>2.3800000000000002E-2</v>
      </c>
      <c r="O89" s="427">
        <f t="shared" si="17"/>
        <v>2.2200000000000001E-2</v>
      </c>
      <c r="P89" s="427">
        <f t="shared" si="17"/>
        <v>1.9099999999999999E-2</v>
      </c>
      <c r="Q89" s="427">
        <f t="shared" si="17"/>
        <v>1.5800000000000002E-2</v>
      </c>
      <c r="R89" s="427">
        <f t="shared" si="17"/>
        <v>1.09E-2</v>
      </c>
      <c r="S89" s="551"/>
      <c r="T89" s="552"/>
    </row>
    <row r="90" spans="1:20">
      <c r="A90" s="60" t="s">
        <v>172</v>
      </c>
      <c r="B90" s="72" t="s">
        <v>56</v>
      </c>
      <c r="C90" s="306">
        <v>6.7000000000000004E-2</v>
      </c>
      <c r="D90" s="307">
        <v>0.63039999999999996</v>
      </c>
      <c r="E90" s="308">
        <v>0.65</v>
      </c>
      <c r="F90" s="308">
        <v>0.26095352485819256</v>
      </c>
      <c r="G90" s="335">
        <v>2014</v>
      </c>
      <c r="H90" s="336" t="str">
        <f t="shared" si="7"/>
        <v>£m 09/10</v>
      </c>
      <c r="I90" s="336" t="s">
        <v>269</v>
      </c>
      <c r="J90" s="419" t="s">
        <v>482</v>
      </c>
      <c r="K90" s="429">
        <f t="shared" si="17"/>
        <v>2.92E-2</v>
      </c>
      <c r="L90" s="427">
        <f t="shared" si="17"/>
        <v>2.7199999999999998E-2</v>
      </c>
      <c r="M90" s="427">
        <f t="shared" si="17"/>
        <v>2.5499999999999998E-2</v>
      </c>
      <c r="N90" s="427">
        <f t="shared" si="17"/>
        <v>2.3800000000000002E-2</v>
      </c>
      <c r="O90" s="427">
        <f t="shared" si="17"/>
        <v>2.2200000000000001E-2</v>
      </c>
      <c r="P90" s="427">
        <f t="shared" si="17"/>
        <v>1.9099999999999999E-2</v>
      </c>
      <c r="Q90" s="427">
        <f t="shared" si="17"/>
        <v>1.5800000000000002E-2</v>
      </c>
      <c r="R90" s="427">
        <f t="shared" si="17"/>
        <v>1.09E-2</v>
      </c>
      <c r="S90" s="551"/>
      <c r="T90" s="552"/>
    </row>
    <row r="91" spans="1:20">
      <c r="A91" s="60" t="s">
        <v>172</v>
      </c>
      <c r="B91" s="72" t="s">
        <v>50</v>
      </c>
      <c r="C91" s="306">
        <v>6.7000000000000004E-2</v>
      </c>
      <c r="D91" s="307">
        <v>0.63980000000000004</v>
      </c>
      <c r="E91" s="308">
        <v>0.65</v>
      </c>
      <c r="F91" s="308">
        <v>0.34984411379298247</v>
      </c>
      <c r="G91" s="335">
        <v>2014</v>
      </c>
      <c r="H91" s="336" t="str">
        <f t="shared" si="7"/>
        <v>£m 09/10</v>
      </c>
      <c r="I91" s="336" t="s">
        <v>269</v>
      </c>
      <c r="J91" s="419" t="s">
        <v>482</v>
      </c>
      <c r="K91" s="429">
        <f t="shared" si="17"/>
        <v>2.92E-2</v>
      </c>
      <c r="L91" s="427">
        <f t="shared" si="17"/>
        <v>2.7199999999999998E-2</v>
      </c>
      <c r="M91" s="427">
        <f t="shared" si="17"/>
        <v>2.5499999999999998E-2</v>
      </c>
      <c r="N91" s="427">
        <f t="shared" si="17"/>
        <v>2.3800000000000002E-2</v>
      </c>
      <c r="O91" s="427">
        <f t="shared" si="17"/>
        <v>2.2200000000000001E-2</v>
      </c>
      <c r="P91" s="427">
        <f t="shared" si="17"/>
        <v>1.9099999999999999E-2</v>
      </c>
      <c r="Q91" s="427">
        <f t="shared" si="17"/>
        <v>1.5800000000000002E-2</v>
      </c>
      <c r="R91" s="427">
        <f t="shared" si="17"/>
        <v>1.09E-2</v>
      </c>
      <c r="S91" s="551"/>
      <c r="T91" s="552"/>
    </row>
    <row r="92" spans="1:20">
      <c r="A92" s="60" t="s">
        <v>172</v>
      </c>
      <c r="B92" s="72" t="s">
        <v>52</v>
      </c>
      <c r="C92" s="306">
        <v>6.7000000000000004E-2</v>
      </c>
      <c r="D92" s="307">
        <v>0.63729999999999998</v>
      </c>
      <c r="E92" s="308">
        <v>0.65</v>
      </c>
      <c r="F92" s="308">
        <v>0.35129049661183626</v>
      </c>
      <c r="G92" s="335">
        <v>2014</v>
      </c>
      <c r="H92" s="336" t="str">
        <f t="shared" si="7"/>
        <v>£m 09/10</v>
      </c>
      <c r="I92" s="336" t="s">
        <v>269</v>
      </c>
      <c r="J92" s="419" t="s">
        <v>482</v>
      </c>
      <c r="K92" s="429">
        <f t="shared" si="17"/>
        <v>2.92E-2</v>
      </c>
      <c r="L92" s="427">
        <f t="shared" si="17"/>
        <v>2.7199999999999998E-2</v>
      </c>
      <c r="M92" s="427">
        <f t="shared" si="17"/>
        <v>2.5499999999999998E-2</v>
      </c>
      <c r="N92" s="427">
        <f t="shared" si="17"/>
        <v>2.3800000000000002E-2</v>
      </c>
      <c r="O92" s="427">
        <f t="shared" si="17"/>
        <v>2.2200000000000001E-2</v>
      </c>
      <c r="P92" s="427">
        <f t="shared" si="17"/>
        <v>1.9099999999999999E-2</v>
      </c>
      <c r="Q92" s="427">
        <f t="shared" si="17"/>
        <v>1.5800000000000002E-2</v>
      </c>
      <c r="R92" s="427">
        <f t="shared" si="17"/>
        <v>1.09E-2</v>
      </c>
      <c r="S92" s="551"/>
      <c r="T92" s="552"/>
    </row>
    <row r="93" spans="1:20">
      <c r="A93" s="60" t="s">
        <v>172</v>
      </c>
      <c r="B93" s="72" t="s">
        <v>51</v>
      </c>
      <c r="C93" s="306">
        <v>6.7000000000000004E-2</v>
      </c>
      <c r="D93" s="307">
        <v>0.63729999999999998</v>
      </c>
      <c r="E93" s="308">
        <v>0.65</v>
      </c>
      <c r="F93" s="308">
        <v>0.32230855902021693</v>
      </c>
      <c r="G93" s="335">
        <v>2014</v>
      </c>
      <c r="H93" s="336" t="str">
        <f t="shared" si="7"/>
        <v>£m 09/10</v>
      </c>
      <c r="I93" s="336" t="s">
        <v>269</v>
      </c>
      <c r="J93" s="419" t="s">
        <v>482</v>
      </c>
      <c r="K93" s="429">
        <f t="shared" si="17"/>
        <v>2.92E-2</v>
      </c>
      <c r="L93" s="427">
        <f t="shared" si="17"/>
        <v>2.7199999999999998E-2</v>
      </c>
      <c r="M93" s="427">
        <f t="shared" si="17"/>
        <v>2.5499999999999998E-2</v>
      </c>
      <c r="N93" s="427">
        <f t="shared" si="17"/>
        <v>2.3800000000000002E-2</v>
      </c>
      <c r="O93" s="427">
        <f t="shared" si="17"/>
        <v>2.2200000000000001E-2</v>
      </c>
      <c r="P93" s="427">
        <f t="shared" si="17"/>
        <v>1.9099999999999999E-2</v>
      </c>
      <c r="Q93" s="427">
        <f t="shared" si="17"/>
        <v>1.5800000000000002E-2</v>
      </c>
      <c r="R93" s="427">
        <f t="shared" si="17"/>
        <v>1.09E-2</v>
      </c>
      <c r="S93" s="551"/>
      <c r="T93" s="552"/>
    </row>
    <row r="94" spans="1:20">
      <c r="A94" s="60" t="s">
        <v>172</v>
      </c>
      <c r="B94" s="72" t="s">
        <v>49</v>
      </c>
      <c r="C94" s="306">
        <v>6.7000000000000004E-2</v>
      </c>
      <c r="D94" s="307">
        <v>0.63170000000000004</v>
      </c>
      <c r="E94" s="308">
        <v>0.65</v>
      </c>
      <c r="F94" s="308">
        <v>0.35781904469402892</v>
      </c>
      <c r="G94" s="335">
        <v>2014</v>
      </c>
      <c r="H94" s="336" t="str">
        <f t="shared" si="7"/>
        <v>£m 09/10</v>
      </c>
      <c r="I94" s="336" t="s">
        <v>269</v>
      </c>
      <c r="J94" s="419" t="s">
        <v>482</v>
      </c>
      <c r="K94" s="429">
        <f t="shared" si="17"/>
        <v>2.92E-2</v>
      </c>
      <c r="L94" s="427">
        <f t="shared" si="17"/>
        <v>2.7199999999999998E-2</v>
      </c>
      <c r="M94" s="427">
        <f t="shared" si="17"/>
        <v>2.5499999999999998E-2</v>
      </c>
      <c r="N94" s="427">
        <f t="shared" si="17"/>
        <v>2.3800000000000002E-2</v>
      </c>
      <c r="O94" s="427">
        <f t="shared" si="17"/>
        <v>2.2200000000000001E-2</v>
      </c>
      <c r="P94" s="427">
        <f t="shared" si="17"/>
        <v>1.9099999999999999E-2</v>
      </c>
      <c r="Q94" s="427">
        <f t="shared" si="17"/>
        <v>1.5800000000000002E-2</v>
      </c>
      <c r="R94" s="427">
        <f t="shared" si="17"/>
        <v>1.09E-2</v>
      </c>
      <c r="S94" s="551"/>
      <c r="T94" s="552"/>
    </row>
    <row r="95" spans="1:20">
      <c r="A95" s="60" t="s">
        <v>174</v>
      </c>
      <c r="B95" s="72" t="s">
        <v>113</v>
      </c>
      <c r="C95" s="306">
        <v>6.8000000000000005E-2</v>
      </c>
      <c r="D95" s="307">
        <v>0.44359999999999999</v>
      </c>
      <c r="E95" s="308">
        <v>0.625</v>
      </c>
      <c r="F95" s="308">
        <v>0.64400000000000002</v>
      </c>
      <c r="G95" s="335">
        <v>2014</v>
      </c>
      <c r="H95" s="336" t="str">
        <f t="shared" si="7"/>
        <v>£m 09/10</v>
      </c>
      <c r="I95" s="336" t="s">
        <v>269</v>
      </c>
      <c r="J95" s="419" t="s">
        <v>482</v>
      </c>
      <c r="K95" s="429">
        <f t="shared" ref="K95:R96" si="18">C$68</f>
        <v>2.92E-2</v>
      </c>
      <c r="L95" s="427">
        <f t="shared" si="18"/>
        <v>2.7199999999999998E-2</v>
      </c>
      <c r="M95" s="427">
        <f t="shared" si="18"/>
        <v>2.5499999999999998E-2</v>
      </c>
      <c r="N95" s="427">
        <f t="shared" si="18"/>
        <v>2.3800000000000002E-2</v>
      </c>
      <c r="O95" s="427">
        <f t="shared" si="18"/>
        <v>2.2200000000000001E-2</v>
      </c>
      <c r="P95" s="427">
        <f t="shared" si="18"/>
        <v>1.9099999999999999E-2</v>
      </c>
      <c r="Q95" s="427">
        <f t="shared" si="18"/>
        <v>1.5800000000000002E-2</v>
      </c>
      <c r="R95" s="427">
        <f t="shared" si="18"/>
        <v>1.09E-2</v>
      </c>
      <c r="S95" s="551"/>
      <c r="T95" s="552"/>
    </row>
    <row r="96" spans="1:20">
      <c r="A96" s="60" t="s">
        <v>174</v>
      </c>
      <c r="B96" s="72" t="s">
        <v>114</v>
      </c>
      <c r="C96" s="306">
        <v>6.8000000000000005E-2</v>
      </c>
      <c r="D96" s="307">
        <v>0.44359999999999999</v>
      </c>
      <c r="E96" s="308">
        <v>0.625</v>
      </c>
      <c r="F96" s="308">
        <v>0.374</v>
      </c>
      <c r="G96" s="335">
        <v>2014</v>
      </c>
      <c r="H96" s="336" t="str">
        <f t="shared" si="7"/>
        <v>£m 09/10</v>
      </c>
      <c r="I96" s="336" t="s">
        <v>269</v>
      </c>
      <c r="J96" s="419" t="s">
        <v>482</v>
      </c>
      <c r="K96" s="429">
        <f t="shared" si="18"/>
        <v>2.92E-2</v>
      </c>
      <c r="L96" s="427">
        <f t="shared" si="18"/>
        <v>2.7199999999999998E-2</v>
      </c>
      <c r="M96" s="427">
        <f t="shared" si="18"/>
        <v>2.5499999999999998E-2</v>
      </c>
      <c r="N96" s="427">
        <f t="shared" si="18"/>
        <v>2.3800000000000002E-2</v>
      </c>
      <c r="O96" s="427">
        <f t="shared" si="18"/>
        <v>2.2200000000000001E-2</v>
      </c>
      <c r="P96" s="427">
        <f t="shared" si="18"/>
        <v>1.9099999999999999E-2</v>
      </c>
      <c r="Q96" s="427">
        <f t="shared" si="18"/>
        <v>1.5800000000000002E-2</v>
      </c>
      <c r="R96" s="427">
        <f t="shared" si="18"/>
        <v>1.09E-2</v>
      </c>
      <c r="S96" s="551"/>
      <c r="T96" s="552"/>
    </row>
    <row r="97" spans="1:20">
      <c r="A97" s="60" t="s">
        <v>173</v>
      </c>
      <c r="B97" s="72" t="s">
        <v>111</v>
      </c>
      <c r="C97" s="306">
        <v>7.0000000000000007E-2</v>
      </c>
      <c r="D97" s="307">
        <v>0.46889999999999998</v>
      </c>
      <c r="E97" s="308">
        <v>0.6</v>
      </c>
      <c r="F97" s="308">
        <v>0.85</v>
      </c>
      <c r="G97" s="335">
        <v>2014</v>
      </c>
      <c r="H97" s="336" t="str">
        <f t="shared" si="7"/>
        <v>£m 09/10</v>
      </c>
      <c r="I97" s="336" t="s">
        <v>269</v>
      </c>
      <c r="J97" s="419" t="s">
        <v>482</v>
      </c>
      <c r="K97" s="429">
        <f t="shared" ref="K97:R99" si="19">C$66</f>
        <v>2.92E-2</v>
      </c>
      <c r="L97" s="427">
        <f t="shared" si="19"/>
        <v>2.7199999999999998E-2</v>
      </c>
      <c r="M97" s="427">
        <f t="shared" si="19"/>
        <v>2.5499999999999998E-2</v>
      </c>
      <c r="N97" s="427">
        <f t="shared" si="19"/>
        <v>2.3800000000000002E-2</v>
      </c>
      <c r="O97" s="427">
        <f t="shared" si="19"/>
        <v>2.2200000000000001E-2</v>
      </c>
      <c r="P97" s="427">
        <f t="shared" si="19"/>
        <v>1.9099999999999999E-2</v>
      </c>
      <c r="Q97" s="427">
        <f t="shared" si="19"/>
        <v>1.5800000000000002E-2</v>
      </c>
      <c r="R97" s="427">
        <f t="shared" si="19"/>
        <v>1.09E-2</v>
      </c>
      <c r="S97" s="551"/>
      <c r="T97" s="552"/>
    </row>
    <row r="98" spans="1:20">
      <c r="A98" s="60" t="s">
        <v>173</v>
      </c>
      <c r="B98" s="72" t="s">
        <v>112</v>
      </c>
      <c r="C98" s="306">
        <v>7.0000000000000007E-2</v>
      </c>
      <c r="D98" s="307">
        <v>0.46889999999999998</v>
      </c>
      <c r="E98" s="308">
        <v>0.6</v>
      </c>
      <c r="F98" s="308">
        <v>0.27900000000000003</v>
      </c>
      <c r="G98" s="325">
        <v>2014</v>
      </c>
      <c r="H98" s="326" t="str">
        <f>VLOOKUP($A98,$E$54:$F$57,2,FALSE)</f>
        <v>£m 09/10</v>
      </c>
      <c r="I98" s="323" t="s">
        <v>269</v>
      </c>
      <c r="J98" s="419" t="s">
        <v>482</v>
      </c>
      <c r="K98" s="429">
        <f t="shared" si="19"/>
        <v>2.92E-2</v>
      </c>
      <c r="L98" s="427">
        <f t="shared" si="19"/>
        <v>2.7199999999999998E-2</v>
      </c>
      <c r="M98" s="427">
        <f t="shared" si="19"/>
        <v>2.5499999999999998E-2</v>
      </c>
      <c r="N98" s="427">
        <f t="shared" si="19"/>
        <v>2.3800000000000002E-2</v>
      </c>
      <c r="O98" s="427">
        <f t="shared" si="19"/>
        <v>2.2200000000000001E-2</v>
      </c>
      <c r="P98" s="427">
        <f t="shared" si="19"/>
        <v>1.9099999999999999E-2</v>
      </c>
      <c r="Q98" s="427">
        <f t="shared" si="19"/>
        <v>1.5800000000000002E-2</v>
      </c>
      <c r="R98" s="427">
        <f t="shared" si="19"/>
        <v>1.09E-2</v>
      </c>
      <c r="S98" s="551"/>
      <c r="T98" s="552"/>
    </row>
    <row r="99" spans="1:20">
      <c r="A99" s="60" t="s">
        <v>173</v>
      </c>
      <c r="B99" s="72" t="s">
        <v>60</v>
      </c>
      <c r="C99" s="306">
        <v>7.0000000000000007E-2</v>
      </c>
      <c r="D99" s="307">
        <v>0.5</v>
      </c>
      <c r="E99" s="308">
        <v>0.55000000000000004</v>
      </c>
      <c r="F99" s="308">
        <v>0.9</v>
      </c>
      <c r="G99" s="325">
        <v>2014</v>
      </c>
      <c r="H99" s="326" t="str">
        <f>VLOOKUP($A99,$E$54:$F$57,2,FALSE)</f>
        <v>£m 09/10</v>
      </c>
      <c r="I99" s="323" t="s">
        <v>270</v>
      </c>
      <c r="J99" s="419" t="s">
        <v>482</v>
      </c>
      <c r="K99" s="429">
        <f t="shared" si="19"/>
        <v>2.92E-2</v>
      </c>
      <c r="L99" s="427">
        <f t="shared" si="19"/>
        <v>2.7199999999999998E-2</v>
      </c>
      <c r="M99" s="427">
        <f t="shared" si="19"/>
        <v>2.5499999999999998E-2</v>
      </c>
      <c r="N99" s="427">
        <f t="shared" si="19"/>
        <v>2.3800000000000002E-2</v>
      </c>
      <c r="O99" s="427">
        <f t="shared" si="19"/>
        <v>2.2200000000000001E-2</v>
      </c>
      <c r="P99" s="427">
        <f t="shared" si="19"/>
        <v>1.9099999999999999E-2</v>
      </c>
      <c r="Q99" s="427">
        <f t="shared" si="19"/>
        <v>1.5800000000000002E-2</v>
      </c>
      <c r="R99" s="427">
        <f t="shared" si="19"/>
        <v>1.09E-2</v>
      </c>
      <c r="S99" s="551"/>
      <c r="T99" s="552"/>
    </row>
    <row r="100" spans="1:20">
      <c r="A100" s="60" t="s">
        <v>173</v>
      </c>
      <c r="B100" s="73" t="s">
        <v>61</v>
      </c>
      <c r="C100" s="309">
        <v>7.0000000000000007E-2</v>
      </c>
      <c r="D100" s="310">
        <v>0.5</v>
      </c>
      <c r="E100" s="311">
        <v>0.55000000000000004</v>
      </c>
      <c r="F100" s="311">
        <v>0.9</v>
      </c>
      <c r="G100" s="327">
        <v>2014</v>
      </c>
      <c r="H100" s="328" t="str">
        <f>VLOOKUP($A100,$E$54:$F$57,2,FALSE)</f>
        <v>£m 09/10</v>
      </c>
      <c r="I100" s="324" t="s">
        <v>270</v>
      </c>
      <c r="J100" s="419" t="s">
        <v>482</v>
      </c>
      <c r="K100" s="430">
        <f t="shared" ref="K100:R100" si="20">C$65</f>
        <v>2.92E-2</v>
      </c>
      <c r="L100" s="428">
        <f t="shared" si="20"/>
        <v>2.5000000000000001E-2</v>
      </c>
      <c r="M100" s="428">
        <f t="shared" si="20"/>
        <v>2.1499999999999998E-2</v>
      </c>
      <c r="N100" s="428">
        <f t="shared" si="20"/>
        <v>1.7899999999999999E-2</v>
      </c>
      <c r="O100" s="428">
        <f t="shared" si="20"/>
        <v>1.5100000000000001E-2</v>
      </c>
      <c r="P100" s="428">
        <f t="shared" si="20"/>
        <v>1.1599999999999999E-2</v>
      </c>
      <c r="Q100" s="428">
        <f t="shared" si="20"/>
        <v>1.0200000000000001E-2</v>
      </c>
      <c r="R100" s="428">
        <f t="shared" si="20"/>
        <v>7.6E-3</v>
      </c>
      <c r="S100" s="553"/>
      <c r="T100" s="554"/>
    </row>
    <row r="101" spans="1:20">
      <c r="I101" s="67"/>
    </row>
    <row r="102" spans="1:20">
      <c r="I102" s="67"/>
    </row>
    <row r="103" spans="1:20">
      <c r="I103" s="67"/>
    </row>
    <row r="104" spans="1:20" ht="13.5">
      <c r="B104" s="14" t="s">
        <v>249</v>
      </c>
      <c r="D104" s="297"/>
      <c r="E104" s="297"/>
      <c r="F104" s="297"/>
      <c r="G104" s="297"/>
      <c r="H104" s="297"/>
      <c r="I104" s="297"/>
      <c r="J104" s="297"/>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1" t="s">
        <v>53</v>
      </c>
      <c r="C106" s="298">
        <v>0.5</v>
      </c>
      <c r="D106" s="298">
        <v>0.5714285714285714</v>
      </c>
      <c r="E106" s="298">
        <v>0.64285714285714279</v>
      </c>
      <c r="F106" s="298">
        <v>0.71428571428571419</v>
      </c>
      <c r="G106" s="298">
        <v>0.78571428571428559</v>
      </c>
      <c r="H106" s="298">
        <v>0.85714285714285698</v>
      </c>
      <c r="I106" s="298">
        <v>0.92857142857142838</v>
      </c>
      <c r="J106" s="299">
        <v>1</v>
      </c>
    </row>
    <row r="107" spans="1:20">
      <c r="B107" s="302"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2"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2"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2"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2"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2"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2" t="s">
        <v>49</v>
      </c>
      <c r="C113" s="413">
        <v>0.5</v>
      </c>
      <c r="D113" s="413">
        <v>0.5714285714285714</v>
      </c>
      <c r="E113" s="413">
        <v>0.64285714285714279</v>
      </c>
      <c r="F113" s="413">
        <v>0.71428571428571419</v>
      </c>
      <c r="G113" s="413">
        <v>0.78571428571428559</v>
      </c>
      <c r="H113" s="413">
        <v>0.85714285714285698</v>
      </c>
      <c r="I113" s="413">
        <v>0.92857142857142838</v>
      </c>
      <c r="J113" s="414">
        <v>1</v>
      </c>
    </row>
    <row r="114" spans="2:15">
      <c r="B114" s="302" t="s">
        <v>113</v>
      </c>
      <c r="C114" s="220">
        <v>0.9</v>
      </c>
      <c r="D114" s="220">
        <v>0.9</v>
      </c>
      <c r="E114" s="220">
        <v>0.9</v>
      </c>
      <c r="F114" s="220">
        <v>0.9</v>
      </c>
      <c r="G114" s="220">
        <v>0.9</v>
      </c>
      <c r="H114" s="220">
        <v>0.9</v>
      </c>
      <c r="I114" s="220">
        <v>0.9</v>
      </c>
      <c r="J114" s="221">
        <v>0.9</v>
      </c>
    </row>
    <row r="115" spans="2:15">
      <c r="B115" s="303" t="s">
        <v>114</v>
      </c>
      <c r="C115" s="558"/>
      <c r="D115" s="558"/>
      <c r="E115" s="558"/>
      <c r="F115" s="558"/>
      <c r="G115" s="558"/>
      <c r="H115" s="558"/>
      <c r="I115" s="558"/>
      <c r="J115" s="558"/>
    </row>
    <row r="116" spans="2:15">
      <c r="B116" s="394"/>
      <c r="C116" s="453"/>
      <c r="D116" s="453"/>
      <c r="E116" s="453"/>
      <c r="F116" s="453"/>
      <c r="G116" s="453"/>
      <c r="H116" s="453"/>
      <c r="I116" s="453"/>
      <c r="J116" s="453"/>
      <c r="M116" s="31"/>
      <c r="N116" s="31"/>
      <c r="O116" s="31"/>
    </row>
    <row r="117" spans="2:15">
      <c r="B117" s="394"/>
      <c r="C117" s="453"/>
      <c r="D117" s="453"/>
      <c r="E117" s="453"/>
      <c r="F117" s="453"/>
      <c r="G117" s="453"/>
      <c r="H117" s="453"/>
      <c r="I117" s="453"/>
      <c r="J117" s="453"/>
      <c r="K117" s="360"/>
      <c r="L117" s="360"/>
      <c r="M117" s="31"/>
      <c r="N117" s="31"/>
      <c r="O117" s="31"/>
    </row>
    <row r="118" spans="2:15">
      <c r="B118" s="463"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54" t="s">
        <v>43</v>
      </c>
      <c r="C119" s="555"/>
      <c r="D119" s="556"/>
      <c r="E119" s="456">
        <v>1.5575632164737283</v>
      </c>
      <c r="F119" s="456">
        <v>1.4734141240658321</v>
      </c>
      <c r="G119" s="456">
        <v>1.4689588897025405</v>
      </c>
      <c r="H119" s="456">
        <v>1.4707200530126929</v>
      </c>
      <c r="I119" s="456">
        <v>1.4674716260161711</v>
      </c>
      <c r="J119" s="456">
        <v>1.4486206224386007</v>
      </c>
      <c r="K119" s="456">
        <v>1.4956798325868756</v>
      </c>
      <c r="L119" s="457">
        <v>1.4397148718051931</v>
      </c>
      <c r="M119" s="31"/>
      <c r="N119" s="31"/>
      <c r="O119" s="31"/>
    </row>
    <row r="120" spans="2:15">
      <c r="B120" s="454" t="s">
        <v>44</v>
      </c>
      <c r="C120" s="557"/>
      <c r="D120" s="558"/>
      <c r="E120" s="458">
        <v>-0.65871781800535345</v>
      </c>
      <c r="F120" s="458">
        <v>-0.63543772576063684</v>
      </c>
      <c r="G120" s="458">
        <v>-0.58907862874233818</v>
      </c>
      <c r="H120" s="458">
        <v>-0.58178188190178026</v>
      </c>
      <c r="I120" s="458">
        <v>-0.56823918867341305</v>
      </c>
      <c r="J120" s="458">
        <v>-0.51933170333654122</v>
      </c>
      <c r="K120" s="458">
        <v>-0.47962665852661612</v>
      </c>
      <c r="L120" s="459">
        <v>-0.4656874701170608</v>
      </c>
      <c r="M120" s="31"/>
      <c r="N120" s="31"/>
      <c r="O120" s="31"/>
    </row>
    <row r="121" spans="2:15">
      <c r="B121" s="454" t="s">
        <v>73</v>
      </c>
      <c r="C121" s="557"/>
      <c r="D121" s="558"/>
      <c r="E121" s="458">
        <v>-0.86626036283610952</v>
      </c>
      <c r="F121" s="458">
        <v>-0.81019773780890636</v>
      </c>
      <c r="G121" s="458">
        <v>-0.78919084241395188</v>
      </c>
      <c r="H121" s="458">
        <v>-0.79061873066036981</v>
      </c>
      <c r="I121" s="458">
        <v>-0.74432653414361061</v>
      </c>
      <c r="J121" s="458">
        <v>-0.70697274816976396</v>
      </c>
      <c r="K121" s="458">
        <v>-0.65350946162011747</v>
      </c>
      <c r="L121" s="459">
        <v>-0.66429758885743451</v>
      </c>
      <c r="M121" s="31"/>
      <c r="N121" s="31"/>
      <c r="O121" s="31"/>
    </row>
    <row r="122" spans="2:15">
      <c r="B122" s="454" t="s">
        <v>59</v>
      </c>
      <c r="C122" s="557"/>
      <c r="D122" s="558"/>
      <c r="E122" s="458">
        <v>-3.2612134183503572</v>
      </c>
      <c r="F122" s="458">
        <v>-3.3462554451402173</v>
      </c>
      <c r="G122" s="458">
        <v>-3.1732919768141143</v>
      </c>
      <c r="H122" s="458">
        <v>-3.1232404745251841</v>
      </c>
      <c r="I122" s="458">
        <v>-3.0767551306224106</v>
      </c>
      <c r="J122" s="458">
        <v>-2.9342177182087767</v>
      </c>
      <c r="K122" s="458">
        <v>-2.8825938479182072</v>
      </c>
      <c r="L122" s="459">
        <v>-2.7237011003750218</v>
      </c>
      <c r="M122" s="31"/>
      <c r="N122" s="31"/>
      <c r="O122" s="31"/>
    </row>
    <row r="123" spans="2:15">
      <c r="B123" s="454" t="s">
        <v>57</v>
      </c>
      <c r="C123" s="557"/>
      <c r="D123" s="558"/>
      <c r="E123" s="458">
        <v>-2.4260972367898193</v>
      </c>
      <c r="F123" s="458">
        <v>-2.3690383662844163</v>
      </c>
      <c r="G123" s="458">
        <v>-2.2433276600060932</v>
      </c>
      <c r="H123" s="458">
        <v>-2.1466020621213828</v>
      </c>
      <c r="I123" s="458">
        <v>-2.174009678716605</v>
      </c>
      <c r="J123" s="458">
        <v>-2.0538927838998693</v>
      </c>
      <c r="K123" s="458">
        <v>-1.9044581231060691</v>
      </c>
      <c r="L123" s="459">
        <v>-1.8008611131009082</v>
      </c>
      <c r="M123" s="31"/>
      <c r="N123" s="31"/>
      <c r="O123" s="31"/>
    </row>
    <row r="124" spans="2:15">
      <c r="B124" s="454" t="s">
        <v>58</v>
      </c>
      <c r="C124" s="557"/>
      <c r="D124" s="558"/>
      <c r="E124" s="458">
        <v>-2.1861012409352765</v>
      </c>
      <c r="F124" s="458">
        <v>-2.3820447425774849</v>
      </c>
      <c r="G124" s="458">
        <v>-2.2418672366929897</v>
      </c>
      <c r="H124" s="458">
        <v>-2.1147812646907029</v>
      </c>
      <c r="I124" s="458">
        <v>-2.0146177086326591</v>
      </c>
      <c r="J124" s="458">
        <v>-1.9421313262105093</v>
      </c>
      <c r="K124" s="458">
        <v>-1.9248856430948595</v>
      </c>
      <c r="L124" s="459">
        <v>-1.8464451304225615</v>
      </c>
      <c r="M124" s="31"/>
      <c r="N124" s="31"/>
      <c r="O124" s="31"/>
    </row>
    <row r="125" spans="2:15">
      <c r="B125" s="454" t="s">
        <v>45</v>
      </c>
      <c r="C125" s="557"/>
      <c r="D125" s="558"/>
      <c r="E125" s="458">
        <v>-1.8633532543800757</v>
      </c>
      <c r="F125" s="458">
        <v>-1.8182980405067262</v>
      </c>
      <c r="G125" s="458">
        <v>-1.83946756302578</v>
      </c>
      <c r="H125" s="458">
        <v>-1.7415973428180247</v>
      </c>
      <c r="I125" s="458">
        <v>-1.6798002111470465</v>
      </c>
      <c r="J125" s="458">
        <v>-1.5974456358596774</v>
      </c>
      <c r="K125" s="458">
        <v>-1.5016396120831343</v>
      </c>
      <c r="L125" s="459">
        <v>-1.4453638876860204</v>
      </c>
      <c r="M125" s="31"/>
      <c r="N125" s="31"/>
      <c r="O125" s="31"/>
    </row>
    <row r="126" spans="2:15">
      <c r="B126" s="454" t="s">
        <v>46</v>
      </c>
      <c r="C126" s="557"/>
      <c r="D126" s="558"/>
      <c r="E126" s="458">
        <v>-2.1317145269512103</v>
      </c>
      <c r="F126" s="458">
        <v>-2.193973633026753</v>
      </c>
      <c r="G126" s="458">
        <v>-1.9869010217130036</v>
      </c>
      <c r="H126" s="458">
        <v>-1.8037552784318813</v>
      </c>
      <c r="I126" s="458">
        <v>-1.7767942495618843</v>
      </c>
      <c r="J126" s="458">
        <v>-1.7901472583807538</v>
      </c>
      <c r="K126" s="458">
        <v>-1.6444113686346382</v>
      </c>
      <c r="L126" s="459">
        <v>-1.467384504290556</v>
      </c>
      <c r="M126" s="31"/>
      <c r="N126" s="31"/>
      <c r="O126" s="31"/>
    </row>
    <row r="127" spans="2:15">
      <c r="B127" s="454" t="s">
        <v>47</v>
      </c>
      <c r="C127" s="557"/>
      <c r="D127" s="558"/>
      <c r="E127" s="458">
        <v>0.16599721814464838</v>
      </c>
      <c r="F127" s="458">
        <v>0.16631900606776751</v>
      </c>
      <c r="G127" s="458">
        <v>0.16554337895881124</v>
      </c>
      <c r="H127" s="458">
        <v>0.16569741136821181</v>
      </c>
      <c r="I127" s="458">
        <v>0.16622630759870036</v>
      </c>
      <c r="J127" s="458">
        <v>0.16380302414374548</v>
      </c>
      <c r="K127" s="458">
        <v>0.16593344617950709</v>
      </c>
      <c r="L127" s="459">
        <v>0.16036688822048883</v>
      </c>
      <c r="M127" s="31"/>
      <c r="N127" s="31"/>
      <c r="O127" s="31"/>
    </row>
    <row r="128" spans="2:15">
      <c r="B128" s="454" t="s">
        <v>48</v>
      </c>
      <c r="C128" s="557"/>
      <c r="D128" s="558"/>
      <c r="E128" s="458">
        <v>0.3648271976377423</v>
      </c>
      <c r="F128" s="458">
        <v>0.37109083837102003</v>
      </c>
      <c r="G128" s="458">
        <v>0.36071859106606846</v>
      </c>
      <c r="H128" s="458">
        <v>0.35927814835295946</v>
      </c>
      <c r="I128" s="458">
        <v>0.3227419487574148</v>
      </c>
      <c r="J128" s="458">
        <v>0.32139075529498529</v>
      </c>
      <c r="K128" s="458">
        <v>0.32876178406363676</v>
      </c>
      <c r="L128" s="459">
        <v>0.31920430794598709</v>
      </c>
      <c r="M128" s="31"/>
      <c r="N128" s="31"/>
      <c r="O128" s="31"/>
    </row>
    <row r="129" spans="2:15">
      <c r="B129" s="454" t="s">
        <v>245</v>
      </c>
      <c r="C129" s="557"/>
      <c r="D129" s="558"/>
      <c r="E129" s="458">
        <v>7.1281196754416492</v>
      </c>
      <c r="F129" s="458">
        <v>6.9674138399666772</v>
      </c>
      <c r="G129" s="458">
        <v>6.2034025893135132</v>
      </c>
      <c r="H129" s="458">
        <v>6.3085978915797085</v>
      </c>
      <c r="I129" s="458">
        <v>6.2376648400128394</v>
      </c>
      <c r="J129" s="458">
        <v>6.4865819943041139</v>
      </c>
      <c r="K129" s="458">
        <v>6.8152516624832584</v>
      </c>
      <c r="L129" s="459">
        <v>6.6271056201039169</v>
      </c>
      <c r="M129" s="31"/>
      <c r="N129" s="31"/>
      <c r="O129" s="31"/>
    </row>
    <row r="130" spans="2:15">
      <c r="B130" s="454" t="s">
        <v>246</v>
      </c>
      <c r="C130" s="557"/>
      <c r="D130" s="558"/>
      <c r="E130" s="458">
        <v>6.5079014730517413</v>
      </c>
      <c r="F130" s="458">
        <v>6.5166167406950333</v>
      </c>
      <c r="G130" s="458">
        <v>6.3292456496722922</v>
      </c>
      <c r="H130" s="458">
        <v>6.4407397408462082</v>
      </c>
      <c r="I130" s="458">
        <v>6.6367331985058957</v>
      </c>
      <c r="J130" s="458">
        <v>6.7568163761394304</v>
      </c>
      <c r="K130" s="458">
        <v>6.6961234445143969</v>
      </c>
      <c r="L130" s="459">
        <v>6.7647427548792596</v>
      </c>
      <c r="M130" s="31"/>
      <c r="N130" s="31"/>
      <c r="O130" s="31"/>
    </row>
    <row r="131" spans="2:15">
      <c r="B131" s="454" t="s">
        <v>247</v>
      </c>
      <c r="C131" s="557"/>
      <c r="D131" s="558"/>
      <c r="E131" s="458">
        <v>3.6763138465229663</v>
      </c>
      <c r="F131" s="458">
        <v>3.6748350873956013</v>
      </c>
      <c r="G131" s="458">
        <v>3.4998529635433906</v>
      </c>
      <c r="H131" s="458">
        <v>3.724685546648324</v>
      </c>
      <c r="I131" s="458">
        <v>3.4121739487309477</v>
      </c>
      <c r="J131" s="458">
        <v>3.4202241027689042</v>
      </c>
      <c r="K131" s="458">
        <v>3.3053549439575329</v>
      </c>
      <c r="L131" s="459">
        <v>3.3633285641010966</v>
      </c>
      <c r="M131" s="31"/>
      <c r="N131" s="31"/>
      <c r="O131" s="31"/>
    </row>
    <row r="132" spans="2:15">
      <c r="B132" s="454" t="s">
        <v>248</v>
      </c>
      <c r="C132" s="557"/>
      <c r="D132" s="558"/>
      <c r="E132" s="458">
        <v>5.3762701961708466</v>
      </c>
      <c r="F132" s="458">
        <v>5.3775969760840585</v>
      </c>
      <c r="G132" s="458">
        <v>5.2618102801807671</v>
      </c>
      <c r="H132" s="458">
        <v>5.360849180672294</v>
      </c>
      <c r="I132" s="458">
        <v>5.2665238228731912</v>
      </c>
      <c r="J132" s="458">
        <v>5.3271179030285305</v>
      </c>
      <c r="K132" s="458">
        <v>5.3223294006601192</v>
      </c>
      <c r="L132" s="459">
        <v>5.5699880746272257</v>
      </c>
      <c r="M132" s="31"/>
      <c r="N132" s="31"/>
      <c r="O132" s="31"/>
    </row>
    <row r="133" spans="2:15">
      <c r="B133" s="454" t="s">
        <v>53</v>
      </c>
      <c r="C133" s="460">
        <v>1.4371556068940596</v>
      </c>
      <c r="D133" s="458">
        <v>1.3718015630879741</v>
      </c>
      <c r="E133" s="458">
        <v>1.3507660107019517</v>
      </c>
      <c r="F133" s="458">
        <v>1.356812198977974</v>
      </c>
      <c r="G133" s="458">
        <v>1.3598136386487443</v>
      </c>
      <c r="H133" s="458">
        <v>1.3501475065962032</v>
      </c>
      <c r="I133" s="458">
        <v>1.3298433305384654</v>
      </c>
      <c r="J133" s="458">
        <v>1.3174540960763355</v>
      </c>
      <c r="K133" s="558"/>
      <c r="L133" s="559"/>
      <c r="M133" s="31"/>
      <c r="N133" s="31"/>
      <c r="O133" s="31"/>
    </row>
    <row r="134" spans="2:15">
      <c r="B134" s="454" t="s">
        <v>54</v>
      </c>
      <c r="C134" s="460">
        <v>1.2224510767557433</v>
      </c>
      <c r="D134" s="458">
        <v>1.2198157429394254</v>
      </c>
      <c r="E134" s="458">
        <v>1.2942164825881293</v>
      </c>
      <c r="F134" s="458">
        <v>1.2596396269108345</v>
      </c>
      <c r="G134" s="458">
        <v>1.2840112184368913</v>
      </c>
      <c r="H134" s="458">
        <v>1.2678511857965422</v>
      </c>
      <c r="I134" s="458">
        <v>1.2592019055105816</v>
      </c>
      <c r="J134" s="458">
        <v>1.257376658609527</v>
      </c>
      <c r="K134" s="558"/>
      <c r="L134" s="559"/>
      <c r="M134" s="31"/>
      <c r="N134" s="31"/>
      <c r="O134" s="31"/>
    </row>
    <row r="135" spans="2:15">
      <c r="B135" s="454" t="s">
        <v>55</v>
      </c>
      <c r="C135" s="460">
        <v>0.82325002294811445</v>
      </c>
      <c r="D135" s="458">
        <v>0.82663571281128501</v>
      </c>
      <c r="E135" s="458">
        <v>0.79640504595610451</v>
      </c>
      <c r="F135" s="458">
        <v>0.78757021450124798</v>
      </c>
      <c r="G135" s="458">
        <v>0.81133252861207505</v>
      </c>
      <c r="H135" s="458">
        <v>0.81064228783969072</v>
      </c>
      <c r="I135" s="458">
        <v>0.80900368952296353</v>
      </c>
      <c r="J135" s="458">
        <v>0.78043276967968189</v>
      </c>
      <c r="K135" s="558"/>
      <c r="L135" s="559"/>
      <c r="M135" s="31"/>
      <c r="N135" s="31"/>
      <c r="O135" s="31"/>
    </row>
    <row r="136" spans="2:15">
      <c r="B136" s="454" t="s">
        <v>56</v>
      </c>
      <c r="C136" s="460">
        <v>1.0893959849781105</v>
      </c>
      <c r="D136" s="458">
        <v>1.027913194554035</v>
      </c>
      <c r="E136" s="458">
        <v>1.0066987144123654</v>
      </c>
      <c r="F136" s="458">
        <v>1.0192350900597893</v>
      </c>
      <c r="G136" s="458">
        <v>1.0341480780318344</v>
      </c>
      <c r="H136" s="458">
        <v>1.0204240792759967</v>
      </c>
      <c r="I136" s="458">
        <v>1.0137739549704501</v>
      </c>
      <c r="J136" s="458">
        <v>0.9898055017218621</v>
      </c>
      <c r="K136" s="558"/>
      <c r="L136" s="559"/>
      <c r="M136" s="31"/>
      <c r="N136" s="31"/>
      <c r="O136" s="31"/>
    </row>
    <row r="137" spans="2:15">
      <c r="B137" s="454" t="s">
        <v>50</v>
      </c>
      <c r="C137" s="460">
        <v>3.0675250143183739</v>
      </c>
      <c r="D137" s="458">
        <v>3.1629219417602221</v>
      </c>
      <c r="E137" s="458">
        <v>3.2156604222069194</v>
      </c>
      <c r="F137" s="458">
        <v>3.1773534622131239</v>
      </c>
      <c r="G137" s="458">
        <v>2.9925267771957293</v>
      </c>
      <c r="H137" s="458">
        <v>2.9953978987575276</v>
      </c>
      <c r="I137" s="458">
        <v>3.008780645638939</v>
      </c>
      <c r="J137" s="458">
        <v>3.0035530345258876</v>
      </c>
      <c r="K137" s="558"/>
      <c r="L137" s="559"/>
      <c r="M137" s="31"/>
      <c r="N137" s="31"/>
      <c r="O137" s="31"/>
    </row>
    <row r="138" spans="2:15">
      <c r="B138" s="454" t="s">
        <v>52</v>
      </c>
      <c r="C138" s="460">
        <v>2.1240897362733717</v>
      </c>
      <c r="D138" s="458">
        <v>2.0350723340362249</v>
      </c>
      <c r="E138" s="458">
        <v>1.9686998072928457</v>
      </c>
      <c r="F138" s="458">
        <v>2.0858456765056492</v>
      </c>
      <c r="G138" s="458">
        <v>2.1150393198028121</v>
      </c>
      <c r="H138" s="458">
        <v>2.0960407823683633</v>
      </c>
      <c r="I138" s="458">
        <v>1.9709648894580449</v>
      </c>
      <c r="J138" s="458">
        <v>1.9558237270696361</v>
      </c>
      <c r="K138" s="558"/>
      <c r="L138" s="559"/>
      <c r="M138" s="31"/>
      <c r="N138" s="31"/>
      <c r="O138" s="31"/>
    </row>
    <row r="139" spans="2:15">
      <c r="B139" s="454" t="s">
        <v>51</v>
      </c>
      <c r="C139" s="460">
        <v>4.3724011747736116</v>
      </c>
      <c r="D139" s="458">
        <v>4.1057641662653896</v>
      </c>
      <c r="E139" s="458">
        <v>4.0545669929819539</v>
      </c>
      <c r="F139" s="458">
        <v>4.1740927460581894</v>
      </c>
      <c r="G139" s="458">
        <v>4.2397101975440528</v>
      </c>
      <c r="H139" s="458">
        <v>4.2461477210751069</v>
      </c>
      <c r="I139" s="458">
        <v>4.1078523076276792</v>
      </c>
      <c r="J139" s="458">
        <v>4.0575944965475035</v>
      </c>
      <c r="K139" s="558"/>
      <c r="L139" s="559"/>
      <c r="M139" s="31"/>
      <c r="N139" s="31"/>
      <c r="O139" s="31"/>
    </row>
    <row r="140" spans="2:15">
      <c r="B140" s="454" t="s">
        <v>49</v>
      </c>
      <c r="C140" s="460">
        <v>1.3982776671905828</v>
      </c>
      <c r="D140" s="458">
        <v>1.3864649866746799</v>
      </c>
      <c r="E140" s="458">
        <v>1.3673040530931269</v>
      </c>
      <c r="F140" s="458">
        <v>1.3493453776780693</v>
      </c>
      <c r="G140" s="458">
        <v>1.3347777856873293</v>
      </c>
      <c r="H140" s="458">
        <v>1.3354887108693174</v>
      </c>
      <c r="I140" s="458">
        <v>1.3597799661606067</v>
      </c>
      <c r="J140" s="458">
        <v>1.3515240072037848</v>
      </c>
      <c r="K140" s="558"/>
      <c r="L140" s="559"/>
      <c r="M140" s="31"/>
      <c r="N140" s="31"/>
      <c r="O140" s="31"/>
    </row>
    <row r="141" spans="2:15">
      <c r="B141" s="454" t="s">
        <v>113</v>
      </c>
      <c r="C141" s="460">
        <v>-1.1295718210052885</v>
      </c>
      <c r="D141" s="458">
        <v>-1.1444007312827333</v>
      </c>
      <c r="E141" s="458">
        <v>-1.1763817360750841</v>
      </c>
      <c r="F141" s="458">
        <v>-1.5927557463957547</v>
      </c>
      <c r="G141" s="458">
        <v>-1.8565667598967899</v>
      </c>
      <c r="H141" s="458">
        <v>-1.2720416735170972</v>
      </c>
      <c r="I141" s="458">
        <v>-1.1039739947823479</v>
      </c>
      <c r="J141" s="458">
        <v>-1.018311326547777</v>
      </c>
      <c r="K141" s="558"/>
      <c r="L141" s="559"/>
      <c r="M141" s="31"/>
      <c r="N141" s="31"/>
      <c r="O141" s="31"/>
    </row>
    <row r="142" spans="2:15">
      <c r="B142" s="454" t="s">
        <v>114</v>
      </c>
      <c r="C142" s="460">
        <v>-0.43181154987245485</v>
      </c>
      <c r="D142" s="458">
        <v>-0.39947195996305995</v>
      </c>
      <c r="E142" s="458">
        <v>-0.34734317043598018</v>
      </c>
      <c r="F142" s="458">
        <v>-0.3193206524905472</v>
      </c>
      <c r="G142" s="458">
        <v>-0.31265626882301373</v>
      </c>
      <c r="H142" s="458">
        <v>-0.30799379948941219</v>
      </c>
      <c r="I142" s="458">
        <v>-0.32570922921081308</v>
      </c>
      <c r="J142" s="458">
        <v>-0.31552026220892354</v>
      </c>
      <c r="K142" s="558"/>
      <c r="L142" s="559"/>
      <c r="M142" s="31"/>
      <c r="N142" s="31"/>
      <c r="O142" s="31"/>
    </row>
    <row r="143" spans="2:15">
      <c r="B143" s="454" t="s">
        <v>111</v>
      </c>
      <c r="C143" s="460">
        <v>15.168246288518162</v>
      </c>
      <c r="D143" s="458">
        <v>16.275110005972994</v>
      </c>
      <c r="E143" s="458">
        <v>15.614702904478012</v>
      </c>
      <c r="F143" s="458">
        <v>14.911674359737152</v>
      </c>
      <c r="G143" s="458">
        <v>13.033415757853545</v>
      </c>
      <c r="H143" s="458">
        <v>12.556067765830047</v>
      </c>
      <c r="I143" s="458">
        <v>11.285100906339711</v>
      </c>
      <c r="J143" s="458">
        <v>9.8268179419485548</v>
      </c>
      <c r="K143" s="558"/>
      <c r="L143" s="559"/>
      <c r="M143" s="31"/>
      <c r="N143" s="31"/>
      <c r="O143" s="31"/>
    </row>
    <row r="144" spans="2:15">
      <c r="B144" s="454" t="s">
        <v>112</v>
      </c>
      <c r="C144" s="460">
        <v>0.93219394583370063</v>
      </c>
      <c r="D144" s="458">
        <v>0.89969793099769957</v>
      </c>
      <c r="E144" s="458">
        <v>0.87783267686821997</v>
      </c>
      <c r="F144" s="458">
        <v>0.87232109317784756</v>
      </c>
      <c r="G144" s="458">
        <v>0.89875958568159287</v>
      </c>
      <c r="H144" s="458">
        <v>0.82801710222961222</v>
      </c>
      <c r="I144" s="458">
        <v>0.88417658562860901</v>
      </c>
      <c r="J144" s="458">
        <v>0.89982415652833247</v>
      </c>
      <c r="K144" s="558"/>
      <c r="L144" s="559"/>
      <c r="M144" s="31"/>
      <c r="N144" s="31"/>
      <c r="O144" s="31"/>
    </row>
    <row r="145" spans="1:15">
      <c r="B145" s="454" t="s">
        <v>60</v>
      </c>
      <c r="C145" s="460">
        <v>10.952751093909903</v>
      </c>
      <c r="D145" s="458">
        <v>1.3412683602121493</v>
      </c>
      <c r="E145" s="458">
        <v>22.190179414419269</v>
      </c>
      <c r="F145" s="458">
        <v>7.0488483253947072</v>
      </c>
      <c r="G145" s="458">
        <v>6.9020695692988534</v>
      </c>
      <c r="H145" s="458">
        <v>6.9425238085580094</v>
      </c>
      <c r="I145" s="458">
        <v>7.0785069781779111</v>
      </c>
      <c r="J145" s="458">
        <v>5.2688524500291916</v>
      </c>
      <c r="K145" s="558"/>
      <c r="L145" s="559"/>
      <c r="M145" s="31"/>
      <c r="N145" s="31"/>
      <c r="O145" s="31"/>
    </row>
    <row r="146" spans="1:15">
      <c r="B146" s="455" t="s">
        <v>61</v>
      </c>
      <c r="C146" s="461">
        <v>4.7850556060781999</v>
      </c>
      <c r="D146" s="462">
        <v>4.9736597194598335</v>
      </c>
      <c r="E146" s="462">
        <v>5.6988662496343032</v>
      </c>
      <c r="F146" s="462">
        <v>3.7921077312788807</v>
      </c>
      <c r="G146" s="462">
        <v>2.8512563802087829</v>
      </c>
      <c r="H146" s="462">
        <v>2.8799765245720623</v>
      </c>
      <c r="I146" s="462">
        <v>2.9074703511454074</v>
      </c>
      <c r="J146" s="462">
        <v>2.8191074376225309</v>
      </c>
      <c r="K146" s="560"/>
      <c r="L146" s="561"/>
      <c r="M146" s="31"/>
      <c r="N146" s="31"/>
      <c r="O146" s="31"/>
    </row>
    <row r="147" spans="1:15">
      <c r="B147" s="31"/>
      <c r="C147" s="31"/>
      <c r="D147" s="31"/>
      <c r="E147" s="31"/>
      <c r="F147" s="31"/>
      <c r="G147" s="31"/>
      <c r="H147" s="31"/>
      <c r="I147" s="31"/>
      <c r="J147" s="31"/>
      <c r="K147" s="31"/>
      <c r="L147" s="31"/>
      <c r="M147" s="31"/>
      <c r="N147" s="31"/>
      <c r="O147" s="31"/>
    </row>
    <row r="148" spans="1:15">
      <c r="B148" s="394"/>
      <c r="C148" s="360"/>
      <c r="D148" s="360"/>
      <c r="E148" s="360"/>
      <c r="F148" s="360"/>
      <c r="G148" s="360"/>
      <c r="H148" s="360"/>
      <c r="I148" s="360"/>
      <c r="J148" s="360"/>
      <c r="K148" s="31"/>
      <c r="L148" s="31"/>
      <c r="M148" s="31"/>
    </row>
    <row r="149" spans="1:15">
      <c r="B149" s="417" t="str">
        <f>LEFT('RFPR cover'!C6,2)</f>
        <v>ED</v>
      </c>
      <c r="C149" s="415"/>
      <c r="D149" s="415"/>
      <c r="E149" s="415"/>
      <c r="F149" s="415"/>
      <c r="G149" s="415"/>
      <c r="H149" s="415"/>
      <c r="I149" s="415"/>
      <c r="J149" s="415"/>
      <c r="K149" s="415"/>
      <c r="L149" s="416"/>
    </row>
    <row r="150" spans="1:15" ht="14.25" customHeight="1">
      <c r="A150" s="206"/>
      <c r="B150" s="451" t="s">
        <v>406</v>
      </c>
      <c r="C150" s="452"/>
      <c r="D150" s="452"/>
      <c r="E150" s="452"/>
      <c r="F150" s="450"/>
      <c r="G150" s="450"/>
      <c r="H150" s="450"/>
      <c r="I150" s="450"/>
      <c r="J150" s="450"/>
      <c r="K150" s="450"/>
      <c r="L150" s="450"/>
      <c r="M150" s="450"/>
      <c r="N150" s="450"/>
    </row>
    <row r="151" spans="1:15" s="31" customFormat="1" ht="14.25" customHeight="1">
      <c r="A151" s="793"/>
      <c r="B151" s="794"/>
      <c r="C151" s="795"/>
      <c r="D151" s="795"/>
      <c r="E151" s="795"/>
      <c r="F151" s="796"/>
      <c r="G151" s="796"/>
      <c r="H151" s="796"/>
      <c r="I151" s="796"/>
      <c r="J151" s="796"/>
      <c r="K151" s="796"/>
      <c r="L151" s="796"/>
      <c r="M151" s="796"/>
      <c r="N151" s="796"/>
    </row>
    <row r="152" spans="1:15">
      <c r="A152" s="204"/>
      <c r="B152" s="797" t="s">
        <v>412</v>
      </c>
      <c r="C152" s="207"/>
      <c r="D152" s="207"/>
      <c r="E152" s="798" t="b">
        <f>OR((LEFT('RFPR cover'!$C$6,2)=Data!F152),'RFPR cover'!$C$5=Data!F152)</f>
        <v>1</v>
      </c>
      <c r="F152" s="359" t="str">
        <f>B162</f>
        <v>ED</v>
      </c>
      <c r="G152" s="799"/>
    </row>
    <row r="153" spans="1:15">
      <c r="A153" s="204"/>
      <c r="B153" s="814" t="str">
        <f>CHOOSE(MATCH(TRUE,$E$152:$E$159,0),B163,B173,B183,E183,B193,E193,B203,E203)&amp;""</f>
        <v>Broad measure of customer service</v>
      </c>
      <c r="C153" s="207"/>
      <c r="D153" s="207"/>
      <c r="E153" s="800" t="b">
        <f>OR((LEFT('RFPR cover'!$C$6,2)=Data!F153),'RFPR cover'!$C$5=Data!F153)</f>
        <v>0</v>
      </c>
      <c r="F153" s="360" t="str">
        <f>B172</f>
        <v>GD</v>
      </c>
      <c r="G153" s="203"/>
    </row>
    <row r="154" spans="1:15" ht="25.5">
      <c r="A154" s="204"/>
      <c r="B154" s="815" t="str">
        <f t="shared" ref="B154:B160" si="23">CHOOSE(MATCH(TRUE,$E$152:$E$159,0),B164,B174,B184,E184,B194,E194,B204,E204)&amp;""</f>
        <v>Interruptions-related quality of service</v>
      </c>
      <c r="C154" s="207"/>
      <c r="D154" s="207"/>
      <c r="E154" s="800" t="b">
        <f>OR((LEFT('RFPR cover'!$C$6,2)=Data!F154),'RFPR cover'!$C$5=Data!F154)</f>
        <v>0</v>
      </c>
      <c r="F154" s="813" t="str">
        <f>B182</f>
        <v>NGGT (TO)</v>
      </c>
      <c r="G154" s="203"/>
    </row>
    <row r="155" spans="1:15">
      <c r="A155" s="204"/>
      <c r="B155" s="815" t="str">
        <f t="shared" si="23"/>
        <v>Incentive on connections engagement</v>
      </c>
      <c r="C155" s="207"/>
      <c r="D155" s="207"/>
      <c r="E155" s="800" t="b">
        <f>OR((LEFT('RFPR cover'!$C$6,2)=Data!F155),'RFPR cover'!$C$5=Data!F155)</f>
        <v>0</v>
      </c>
      <c r="F155" s="801" t="str">
        <f>E182</f>
        <v>NGGT (SO)</v>
      </c>
      <c r="G155" s="203"/>
    </row>
    <row r="156" spans="1:15">
      <c r="A156" s="204"/>
      <c r="B156" s="815" t="str">
        <f t="shared" si="23"/>
        <v>Time to Connect Incentive</v>
      </c>
      <c r="C156" s="207"/>
      <c r="D156" s="207"/>
      <c r="E156" s="800" t="b">
        <f>OR((LEFT('RFPR cover'!$C$6,2)=Data!F156),'RFPR cover'!$C$5=Data!F156)</f>
        <v>0</v>
      </c>
      <c r="F156" s="801" t="str">
        <f>B192</f>
        <v>NGET (TO)</v>
      </c>
      <c r="G156" s="203"/>
    </row>
    <row r="157" spans="1:15">
      <c r="A157" s="204"/>
      <c r="B157" s="816" t="str">
        <f t="shared" si="23"/>
        <v>Losses discretionary reward scheme</v>
      </c>
      <c r="C157" s="207"/>
      <c r="D157" s="207"/>
      <c r="E157" s="800" t="b">
        <f>OR((LEFT('RFPR cover'!$C$6,2)=Data!F157),'RFPR cover'!$C$5=Data!F157)</f>
        <v>0</v>
      </c>
      <c r="F157" s="801" t="s">
        <v>602</v>
      </c>
      <c r="G157" s="203"/>
    </row>
    <row r="158" spans="1:15">
      <c r="A158" s="204"/>
      <c r="B158" s="816" t="str">
        <f t="shared" si="23"/>
        <v/>
      </c>
      <c r="C158" s="207"/>
      <c r="D158" s="207"/>
      <c r="E158" s="800" t="b">
        <f>OR((LEFT('RFPR cover'!$C$6,2)=Data!F158),'RFPR cover'!$C$5=Data!F158)</f>
        <v>0</v>
      </c>
      <c r="F158" s="801" t="str">
        <f>B202</f>
        <v>SPT</v>
      </c>
      <c r="G158" s="203"/>
    </row>
    <row r="159" spans="1:15">
      <c r="A159" s="204"/>
      <c r="B159" s="816" t="str">
        <f t="shared" si="23"/>
        <v/>
      </c>
      <c r="C159" s="207"/>
      <c r="D159" s="207"/>
      <c r="E159" s="802" t="b">
        <f>OR((LEFT('RFPR cover'!$C$6,2)=Data!F159),'RFPR cover'!$C$5=Data!F159)</f>
        <v>0</v>
      </c>
      <c r="F159" s="803" t="str">
        <f>E202</f>
        <v>SHET</v>
      </c>
      <c r="G159" s="296"/>
    </row>
    <row r="160" spans="1:15">
      <c r="A160" s="204"/>
      <c r="B160" s="207" t="str">
        <f t="shared" si="23"/>
        <v/>
      </c>
      <c r="C160" s="207"/>
      <c r="D160" s="207"/>
      <c r="E160" s="59"/>
      <c r="F160" s="801"/>
      <c r="G160" s="42"/>
    </row>
    <row r="161" spans="1:7">
      <c r="A161" s="204"/>
      <c r="B161" s="207"/>
      <c r="C161" s="207"/>
      <c r="D161" s="207"/>
      <c r="E161" s="59"/>
      <c r="F161" s="801"/>
      <c r="G161" s="42"/>
    </row>
    <row r="162" spans="1:7" ht="12" customHeight="1">
      <c r="A162" s="204"/>
      <c r="B162" s="953" t="s">
        <v>171</v>
      </c>
      <c r="C162" s="949"/>
      <c r="D162" s="207"/>
      <c r="E162" s="207"/>
    </row>
    <row r="163" spans="1:7">
      <c r="A163" s="204"/>
      <c r="B163" s="954" t="s">
        <v>407</v>
      </c>
      <c r="C163" s="955"/>
      <c r="D163" s="207"/>
      <c r="E163" s="207"/>
    </row>
    <row r="164" spans="1:7">
      <c r="A164" s="204"/>
      <c r="B164" s="954" t="s">
        <v>408</v>
      </c>
      <c r="C164" s="955"/>
      <c r="D164" s="207"/>
      <c r="E164" s="207"/>
    </row>
    <row r="165" spans="1:7">
      <c r="A165" s="204"/>
      <c r="B165" s="956" t="s">
        <v>409</v>
      </c>
      <c r="C165" s="957"/>
      <c r="D165" s="207"/>
      <c r="E165" s="207"/>
    </row>
    <row r="166" spans="1:7">
      <c r="A166" s="204"/>
      <c r="B166" s="956" t="s">
        <v>410</v>
      </c>
      <c r="C166" s="957"/>
      <c r="D166" s="207"/>
      <c r="E166" s="207"/>
    </row>
    <row r="167" spans="1:7">
      <c r="A167" s="204"/>
      <c r="B167" s="956" t="s">
        <v>411</v>
      </c>
      <c r="C167" s="957"/>
      <c r="D167" s="207"/>
      <c r="E167" s="207"/>
    </row>
    <row r="168" spans="1:7">
      <c r="A168" s="204"/>
      <c r="B168" s="956"/>
      <c r="C168" s="957"/>
      <c r="D168" s="207"/>
      <c r="E168" s="207"/>
    </row>
    <row r="169" spans="1:7">
      <c r="A169" s="204"/>
      <c r="B169" s="956"/>
      <c r="C169" s="957"/>
      <c r="D169" s="207"/>
      <c r="E169" s="207"/>
    </row>
    <row r="170" spans="1:7">
      <c r="A170" s="204"/>
      <c r="B170" s="207"/>
      <c r="C170" s="207"/>
      <c r="D170" s="207"/>
      <c r="E170" s="207"/>
    </row>
    <row r="171" spans="1:7">
      <c r="A171" s="204"/>
      <c r="B171" s="207"/>
      <c r="C171" s="207"/>
      <c r="D171" s="207"/>
      <c r="E171" s="207"/>
    </row>
    <row r="172" spans="1:7">
      <c r="A172" s="204"/>
      <c r="B172" s="953" t="s">
        <v>172</v>
      </c>
      <c r="C172" s="949"/>
      <c r="D172" s="207"/>
      <c r="E172" s="207"/>
    </row>
    <row r="173" spans="1:7" ht="12.75" customHeight="1">
      <c r="A173" s="204"/>
      <c r="B173" s="950" t="s">
        <v>222</v>
      </c>
      <c r="C173" s="952"/>
      <c r="D173" s="207"/>
      <c r="E173" s="207"/>
    </row>
    <row r="174" spans="1:7" ht="12.75" customHeight="1">
      <c r="A174" s="204"/>
      <c r="B174" s="944" t="s">
        <v>223</v>
      </c>
      <c r="C174" s="946"/>
      <c r="D174" s="207"/>
      <c r="E174" s="207"/>
    </row>
    <row r="175" spans="1:7" ht="12.75" customHeight="1">
      <c r="A175" s="204"/>
      <c r="B175" s="944" t="s">
        <v>224</v>
      </c>
      <c r="C175" s="946"/>
      <c r="D175" s="207"/>
      <c r="E175" s="207"/>
    </row>
    <row r="176" spans="1:7" ht="12.75" customHeight="1">
      <c r="A176" s="204"/>
      <c r="B176" s="944" t="s">
        <v>225</v>
      </c>
      <c r="C176" s="946"/>
      <c r="D176" s="207"/>
      <c r="E176" s="207"/>
    </row>
    <row r="177" spans="1:9" ht="12.75" customHeight="1">
      <c r="A177" s="204"/>
      <c r="B177" s="941" t="s">
        <v>305</v>
      </c>
      <c r="C177" s="943"/>
      <c r="D177" s="207"/>
      <c r="E177" s="207"/>
    </row>
    <row r="178" spans="1:9" ht="12.75" customHeight="1">
      <c r="A178" s="204"/>
      <c r="B178" s="941"/>
      <c r="C178" s="943"/>
      <c r="D178" s="207"/>
      <c r="E178" s="207"/>
    </row>
    <row r="179" spans="1:9" ht="12.75" customHeight="1">
      <c r="A179" s="204"/>
      <c r="B179" s="941"/>
      <c r="C179" s="943"/>
      <c r="D179" s="207"/>
      <c r="E179" s="207"/>
    </row>
    <row r="180" spans="1:9">
      <c r="A180" s="204"/>
      <c r="B180" s="207"/>
      <c r="C180" s="207"/>
      <c r="D180" s="207"/>
      <c r="E180" s="207"/>
    </row>
    <row r="181" spans="1:9">
      <c r="A181" s="204"/>
      <c r="B181" s="207"/>
      <c r="C181" s="207"/>
      <c r="D181" s="207"/>
      <c r="E181" s="207"/>
    </row>
    <row r="182" spans="1:9">
      <c r="A182" s="204"/>
      <c r="B182" s="947" t="str">
        <f>B95</f>
        <v>NGGT (TO)</v>
      </c>
      <c r="C182" s="979"/>
      <c r="D182" s="207"/>
      <c r="E182" s="947" t="str">
        <f>B96</f>
        <v>NGGT (SO)</v>
      </c>
      <c r="F182" s="948"/>
      <c r="G182" s="948"/>
      <c r="H182" s="948"/>
      <c r="I182" s="949"/>
    </row>
    <row r="183" spans="1:9" ht="12.4" customHeight="1">
      <c r="A183" s="204"/>
      <c r="B183" s="950" t="s">
        <v>218</v>
      </c>
      <c r="C183" s="952"/>
      <c r="D183" s="207"/>
      <c r="E183" s="944" t="s">
        <v>535</v>
      </c>
      <c r="F183" s="945" t="s">
        <v>535</v>
      </c>
      <c r="G183" s="945" t="s">
        <v>535</v>
      </c>
      <c r="H183" s="945" t="s">
        <v>535</v>
      </c>
      <c r="I183" s="946" t="s">
        <v>535</v>
      </c>
    </row>
    <row r="184" spans="1:9" ht="12.4" customHeight="1">
      <c r="A184" s="204"/>
      <c r="B184" s="944" t="s">
        <v>226</v>
      </c>
      <c r="C184" s="946"/>
      <c r="D184" s="207"/>
      <c r="E184" s="944" t="s">
        <v>536</v>
      </c>
      <c r="F184" s="945" t="s">
        <v>536</v>
      </c>
      <c r="G184" s="945" t="s">
        <v>536</v>
      </c>
      <c r="H184" s="945" t="s">
        <v>536</v>
      </c>
      <c r="I184" s="946" t="s">
        <v>536</v>
      </c>
    </row>
    <row r="185" spans="1:9" ht="12.4" customHeight="1">
      <c r="A185" s="204"/>
      <c r="B185" s="944"/>
      <c r="C185" s="946"/>
      <c r="D185" s="207"/>
      <c r="E185" s="944" t="s">
        <v>537</v>
      </c>
      <c r="F185" s="945" t="s">
        <v>537</v>
      </c>
      <c r="G185" s="945" t="s">
        <v>537</v>
      </c>
      <c r="H185" s="945" t="s">
        <v>537</v>
      </c>
      <c r="I185" s="946" t="s">
        <v>537</v>
      </c>
    </row>
    <row r="186" spans="1:9" ht="12.4" customHeight="1">
      <c r="A186" s="204"/>
      <c r="B186" s="944"/>
      <c r="C186" s="946"/>
      <c r="D186" s="207"/>
      <c r="E186" s="944" t="s">
        <v>538</v>
      </c>
      <c r="F186" s="945" t="s">
        <v>538</v>
      </c>
      <c r="G186" s="945" t="s">
        <v>538</v>
      </c>
      <c r="H186" s="945" t="s">
        <v>538</v>
      </c>
      <c r="I186" s="946" t="s">
        <v>538</v>
      </c>
    </row>
    <row r="187" spans="1:9" ht="12.4" customHeight="1">
      <c r="A187" s="204"/>
      <c r="B187" s="941"/>
      <c r="C187" s="943"/>
      <c r="D187" s="207"/>
      <c r="E187" s="944" t="s">
        <v>539</v>
      </c>
      <c r="F187" s="945" t="s">
        <v>539</v>
      </c>
      <c r="G187" s="945" t="s">
        <v>539</v>
      </c>
      <c r="H187" s="945" t="s">
        <v>539</v>
      </c>
      <c r="I187" s="946" t="s">
        <v>539</v>
      </c>
    </row>
    <row r="188" spans="1:9" ht="12.4" customHeight="1">
      <c r="A188" s="204"/>
      <c r="B188" s="941"/>
      <c r="C188" s="943"/>
      <c r="D188" s="207"/>
      <c r="E188" s="944" t="s">
        <v>540</v>
      </c>
      <c r="F188" s="945" t="s">
        <v>540</v>
      </c>
      <c r="G188" s="945" t="s">
        <v>540</v>
      </c>
      <c r="H188" s="945" t="s">
        <v>540</v>
      </c>
      <c r="I188" s="946" t="s">
        <v>540</v>
      </c>
    </row>
    <row r="189" spans="1:9" ht="12.4" customHeight="1">
      <c r="A189" s="204"/>
      <c r="B189" s="941"/>
      <c r="C189" s="943"/>
      <c r="D189" s="207"/>
      <c r="E189" s="944" t="s">
        <v>541</v>
      </c>
      <c r="F189" s="945" t="s">
        <v>541</v>
      </c>
      <c r="G189" s="945" t="s">
        <v>541</v>
      </c>
      <c r="H189" s="945" t="s">
        <v>541</v>
      </c>
      <c r="I189" s="946" t="s">
        <v>541</v>
      </c>
    </row>
    <row r="190" spans="1:9">
      <c r="A190" s="204"/>
      <c r="B190" s="207"/>
      <c r="C190" s="207"/>
      <c r="D190" s="207"/>
      <c r="E190" s="207"/>
    </row>
    <row r="191" spans="1:9">
      <c r="A191" s="204"/>
      <c r="B191" s="207"/>
      <c r="C191" s="207"/>
      <c r="D191" s="207"/>
      <c r="E191" s="207"/>
    </row>
    <row r="192" spans="1:9">
      <c r="A192" s="204"/>
      <c r="B192" s="947" t="str">
        <f>B97</f>
        <v>NGET (TO)</v>
      </c>
      <c r="C192" s="979"/>
      <c r="D192" s="207"/>
      <c r="E192" s="947" t="str">
        <f>B98</f>
        <v>NGET (SO)</v>
      </c>
      <c r="F192" s="948"/>
      <c r="G192" s="948"/>
      <c r="H192" s="948"/>
      <c r="I192" s="949"/>
    </row>
    <row r="193" spans="1:9" ht="12.75" customHeight="1">
      <c r="A193" s="204"/>
      <c r="B193" s="950" t="s">
        <v>217</v>
      </c>
      <c r="C193" s="952"/>
      <c r="D193" s="207"/>
      <c r="E193" s="944" t="s">
        <v>542</v>
      </c>
      <c r="F193" s="945" t="s">
        <v>542</v>
      </c>
      <c r="G193" s="945" t="s">
        <v>542</v>
      </c>
      <c r="H193" s="945" t="s">
        <v>542</v>
      </c>
      <c r="I193" s="946" t="s">
        <v>542</v>
      </c>
    </row>
    <row r="194" spans="1:9" ht="12.75" customHeight="1">
      <c r="A194" s="204"/>
      <c r="B194" s="944" t="s">
        <v>218</v>
      </c>
      <c r="C194" s="946"/>
      <c r="D194" s="207"/>
      <c r="E194" s="944" t="s">
        <v>543</v>
      </c>
      <c r="F194" s="945" t="s">
        <v>543</v>
      </c>
      <c r="G194" s="945" t="s">
        <v>543</v>
      </c>
      <c r="H194" s="945" t="s">
        <v>543</v>
      </c>
      <c r="I194" s="946" t="s">
        <v>543</v>
      </c>
    </row>
    <row r="195" spans="1:9" ht="12.75" customHeight="1">
      <c r="A195" s="204"/>
      <c r="B195" s="944" t="s">
        <v>219</v>
      </c>
      <c r="C195" s="946"/>
      <c r="D195" s="207"/>
      <c r="E195" s="944" t="s">
        <v>544</v>
      </c>
      <c r="F195" s="945" t="s">
        <v>544</v>
      </c>
      <c r="G195" s="945" t="s">
        <v>544</v>
      </c>
      <c r="H195" s="945" t="s">
        <v>544</v>
      </c>
      <c r="I195" s="946" t="s">
        <v>544</v>
      </c>
    </row>
    <row r="196" spans="1:9" ht="12.75" customHeight="1">
      <c r="A196" s="204"/>
      <c r="B196" s="944" t="s">
        <v>220</v>
      </c>
      <c r="C196" s="946"/>
      <c r="D196" s="207"/>
      <c r="E196" s="944"/>
      <c r="F196" s="945"/>
      <c r="G196" s="945"/>
      <c r="H196" s="945"/>
      <c r="I196" s="946"/>
    </row>
    <row r="197" spans="1:9" ht="12.75" customHeight="1">
      <c r="A197" s="204"/>
      <c r="B197" s="941"/>
      <c r="C197" s="943"/>
      <c r="D197" s="207"/>
      <c r="E197" s="941"/>
      <c r="F197" s="942"/>
      <c r="G197" s="942"/>
      <c r="H197" s="942"/>
      <c r="I197" s="943"/>
    </row>
    <row r="198" spans="1:9" ht="12.75" customHeight="1">
      <c r="A198" s="204"/>
      <c r="B198" s="941"/>
      <c r="C198" s="943"/>
      <c r="D198" s="207"/>
      <c r="E198" s="941"/>
      <c r="F198" s="942"/>
      <c r="G198" s="942"/>
      <c r="H198" s="942"/>
      <c r="I198" s="943"/>
    </row>
    <row r="199" spans="1:9" ht="12.75" customHeight="1">
      <c r="A199" s="204"/>
      <c r="B199" s="941"/>
      <c r="C199" s="943"/>
      <c r="D199" s="207"/>
      <c r="E199" s="941"/>
      <c r="F199" s="942"/>
      <c r="G199" s="942"/>
      <c r="H199" s="942"/>
      <c r="I199" s="943"/>
    </row>
    <row r="200" spans="1:9" s="31" customFormat="1" ht="12.75" customHeight="1">
      <c r="A200" s="790"/>
      <c r="B200" s="790"/>
      <c r="C200" s="790"/>
      <c r="D200" s="791"/>
      <c r="E200" s="792"/>
      <c r="F200" s="792"/>
      <c r="G200" s="792"/>
      <c r="H200" s="792"/>
      <c r="I200" s="792"/>
    </row>
    <row r="201" spans="1:9" s="31" customFormat="1" ht="12.75" customHeight="1">
      <c r="A201" s="790"/>
      <c r="B201" s="790"/>
      <c r="C201" s="790"/>
      <c r="D201" s="791"/>
      <c r="E201" s="792"/>
      <c r="F201" s="792"/>
      <c r="G201" s="792"/>
      <c r="H201" s="792"/>
      <c r="I201" s="792"/>
    </row>
    <row r="202" spans="1:9">
      <c r="A202" s="204"/>
      <c r="B202" s="947" t="str">
        <f>B145</f>
        <v>SPT</v>
      </c>
      <c r="C202" s="979"/>
      <c r="D202" s="207"/>
      <c r="E202" s="947" t="str">
        <f>B100</f>
        <v>SHET</v>
      </c>
      <c r="F202" s="948"/>
      <c r="G202" s="948"/>
      <c r="H202" s="948"/>
      <c r="I202" s="949"/>
    </row>
    <row r="203" spans="1:9" ht="12.75" customHeight="1">
      <c r="A203" s="204"/>
      <c r="B203" s="950" t="s">
        <v>217</v>
      </c>
      <c r="C203" s="952"/>
      <c r="D203" s="207"/>
      <c r="E203" s="950" t="s">
        <v>217</v>
      </c>
      <c r="F203" s="951"/>
      <c r="G203" s="951"/>
      <c r="H203" s="951"/>
      <c r="I203" s="952"/>
    </row>
    <row r="204" spans="1:9" ht="12.75" customHeight="1">
      <c r="A204" s="204"/>
      <c r="B204" s="944" t="s">
        <v>218</v>
      </c>
      <c r="C204" s="946"/>
      <c r="D204" s="207"/>
      <c r="E204" s="944" t="s">
        <v>218</v>
      </c>
      <c r="F204" s="945"/>
      <c r="G204" s="945"/>
      <c r="H204" s="945"/>
      <c r="I204" s="946"/>
    </row>
    <row r="205" spans="1:9" ht="12.75" customHeight="1">
      <c r="A205" s="204"/>
      <c r="B205" s="944" t="s">
        <v>219</v>
      </c>
      <c r="C205" s="946"/>
      <c r="D205" s="207"/>
      <c r="E205" s="944" t="s">
        <v>219</v>
      </c>
      <c r="F205" s="945"/>
      <c r="G205" s="945"/>
      <c r="H205" s="945"/>
      <c r="I205" s="946"/>
    </row>
    <row r="206" spans="1:9" ht="12.75" customHeight="1">
      <c r="A206" s="204"/>
      <c r="B206" s="944" t="s">
        <v>220</v>
      </c>
      <c r="C206" s="946"/>
      <c r="D206" s="207"/>
      <c r="E206" s="944" t="s">
        <v>220</v>
      </c>
      <c r="F206" s="945"/>
      <c r="G206" s="945"/>
      <c r="H206" s="945"/>
      <c r="I206" s="946"/>
    </row>
    <row r="207" spans="1:9" ht="12.75" customHeight="1">
      <c r="A207" s="204"/>
      <c r="B207" s="941" t="s">
        <v>221</v>
      </c>
      <c r="C207" s="943"/>
      <c r="D207" s="207"/>
      <c r="E207" s="941" t="s">
        <v>221</v>
      </c>
      <c r="F207" s="942"/>
      <c r="G207" s="942"/>
      <c r="H207" s="942"/>
      <c r="I207" s="943"/>
    </row>
    <row r="208" spans="1:9" ht="12.75" customHeight="1">
      <c r="A208" s="204"/>
      <c r="B208" s="941"/>
      <c r="C208" s="943"/>
      <c r="D208" s="207"/>
      <c r="E208" s="941"/>
      <c r="F208" s="942"/>
      <c r="G208" s="942"/>
      <c r="H208" s="942"/>
      <c r="I208" s="943"/>
    </row>
    <row r="209" spans="1:14" ht="12.75" customHeight="1">
      <c r="A209" s="204"/>
      <c r="B209" s="941"/>
      <c r="C209" s="943"/>
      <c r="D209" s="207"/>
      <c r="E209" s="941"/>
      <c r="F209" s="942"/>
      <c r="G209" s="942"/>
      <c r="H209" s="942"/>
      <c r="I209" s="943"/>
    </row>
    <row r="210" spans="1:14">
      <c r="A210" s="204"/>
      <c r="D210" s="207"/>
      <c r="E210" s="207"/>
    </row>
    <row r="211" spans="1:14">
      <c r="A211" s="204"/>
      <c r="D211" s="207"/>
      <c r="E211" s="207"/>
    </row>
    <row r="212" spans="1:14" ht="12.75" customHeight="1">
      <c r="A212" s="204"/>
      <c r="B212" s="978" t="s">
        <v>239</v>
      </c>
      <c r="C212" s="978"/>
      <c r="D212" s="978"/>
      <c r="E212" s="286"/>
      <c r="F212" s="218"/>
      <c r="G212" s="218"/>
      <c r="H212" s="218"/>
      <c r="I212" s="218"/>
      <c r="J212" s="218"/>
      <c r="K212" s="218"/>
      <c r="L212" s="218"/>
      <c r="M212" s="218"/>
      <c r="N212" s="218"/>
    </row>
    <row r="213" spans="1:14">
      <c r="A213" s="204"/>
      <c r="B213" s="207"/>
      <c r="C213" s="207"/>
      <c r="D213" s="207"/>
      <c r="E213" s="207"/>
    </row>
    <row r="214" spans="1:14" ht="25.5">
      <c r="A214" s="204"/>
      <c r="B214" s="209" t="s">
        <v>128</v>
      </c>
      <c r="C214" s="208" t="s">
        <v>207</v>
      </c>
      <c r="D214" s="207"/>
      <c r="E214" s="207"/>
    </row>
    <row r="215" spans="1:14" ht="25.5">
      <c r="A215" s="204"/>
      <c r="B215" s="210" t="s">
        <v>129</v>
      </c>
      <c r="C215" s="289" t="s">
        <v>208</v>
      </c>
      <c r="D215" s="207"/>
      <c r="E215" s="207"/>
    </row>
    <row r="216" spans="1:14">
      <c r="B216" s="304"/>
      <c r="C216" s="42"/>
      <c r="D216" s="42"/>
      <c r="E216" s="42"/>
      <c r="F216" s="42"/>
      <c r="G216" s="42"/>
      <c r="H216" s="42"/>
      <c r="I216" s="42"/>
      <c r="J216" s="42"/>
    </row>
    <row r="217" spans="1:14">
      <c r="B217" s="205"/>
      <c r="I217" s="67"/>
    </row>
    <row r="218" spans="1:14">
      <c r="B218" s="806" t="s">
        <v>414</v>
      </c>
      <c r="I218" s="67"/>
    </row>
    <row r="219" spans="1:14">
      <c r="B219" s="808" t="s">
        <v>287</v>
      </c>
    </row>
    <row r="220" spans="1:14">
      <c r="B220" s="809" t="s">
        <v>286</v>
      </c>
    </row>
    <row r="221" spans="1:14">
      <c r="B221" s="812" t="s">
        <v>284</v>
      </c>
    </row>
    <row r="222" spans="1:14">
      <c r="B222" s="810"/>
    </row>
    <row r="223" spans="1:14">
      <c r="B223" s="214"/>
    </row>
    <row r="224" spans="1:14">
      <c r="B224" s="807" t="s">
        <v>282</v>
      </c>
    </row>
    <row r="225" spans="2:2">
      <c r="B225" s="811" t="s">
        <v>415</v>
      </c>
    </row>
    <row r="226" spans="2:2">
      <c r="B226" s="809" t="s">
        <v>416</v>
      </c>
    </row>
    <row r="227" spans="2:2">
      <c r="B227" s="809" t="s">
        <v>293</v>
      </c>
    </row>
    <row r="228" spans="2:2">
      <c r="B228" s="809" t="s">
        <v>417</v>
      </c>
    </row>
    <row r="229" spans="2:2">
      <c r="B229" s="809" t="s">
        <v>418</v>
      </c>
    </row>
    <row r="230" spans="2:2">
      <c r="B230" s="809" t="s">
        <v>285</v>
      </c>
    </row>
    <row r="231" spans="2:2">
      <c r="B231" s="809" t="s">
        <v>419</v>
      </c>
    </row>
    <row r="232" spans="2:2">
      <c r="B232" s="809"/>
    </row>
    <row r="233" spans="2:2">
      <c r="B233" s="810"/>
    </row>
    <row r="234" spans="2:2">
      <c r="B234" s="214"/>
    </row>
    <row r="235" spans="2:2">
      <c r="B235" s="807" t="s">
        <v>292</v>
      </c>
    </row>
    <row r="236" spans="2:2">
      <c r="B236" s="811" t="s">
        <v>420</v>
      </c>
    </row>
    <row r="237" spans="2:2">
      <c r="B237" s="809" t="s">
        <v>421</v>
      </c>
    </row>
    <row r="238" spans="2:2">
      <c r="B238" s="809" t="s">
        <v>422</v>
      </c>
    </row>
    <row r="239" spans="2:2">
      <c r="B239" s="809" t="s">
        <v>423</v>
      </c>
    </row>
    <row r="240" spans="2:2">
      <c r="B240" s="809" t="s">
        <v>424</v>
      </c>
    </row>
    <row r="241" spans="2:2">
      <c r="B241" s="810"/>
    </row>
    <row r="242" spans="2:2">
      <c r="B242" s="214"/>
    </row>
    <row r="243" spans="2:2">
      <c r="B243" s="807" t="s">
        <v>425</v>
      </c>
    </row>
    <row r="244" spans="2:2">
      <c r="B244" s="811" t="s">
        <v>426</v>
      </c>
    </row>
    <row r="245" spans="2:2">
      <c r="B245" s="809" t="s">
        <v>427</v>
      </c>
    </row>
    <row r="246" spans="2:2">
      <c r="B246" s="810"/>
    </row>
    <row r="247" spans="2:2">
      <c r="B247" s="214"/>
    </row>
    <row r="248" spans="2:2">
      <c r="B248" s="807" t="s">
        <v>428</v>
      </c>
    </row>
    <row r="249" spans="2:2">
      <c r="B249" s="811" t="s">
        <v>466</v>
      </c>
    </row>
    <row r="250" spans="2:2">
      <c r="B250" s="809" t="s">
        <v>465</v>
      </c>
    </row>
    <row r="251" spans="2:2">
      <c r="B251" s="810" t="s">
        <v>269</v>
      </c>
    </row>
    <row r="252" spans="2:2">
      <c r="B252" s="214"/>
    </row>
    <row r="253" spans="2:2">
      <c r="B253" s="807" t="s">
        <v>283</v>
      </c>
    </row>
    <row r="254" spans="2:2">
      <c r="B254" s="811" t="s">
        <v>429</v>
      </c>
    </row>
    <row r="255" spans="2:2">
      <c r="B255" s="809" t="s">
        <v>470</v>
      </c>
    </row>
    <row r="256" spans="2:2">
      <c r="B256" s="809"/>
    </row>
    <row r="257" spans="2:2">
      <c r="B257" s="810"/>
    </row>
    <row r="258" spans="2:2">
      <c r="B258" s="214"/>
    </row>
    <row r="259" spans="2:2">
      <c r="B259" s="807" t="s">
        <v>288</v>
      </c>
    </row>
    <row r="260" spans="2:2">
      <c r="B260" s="811" t="s">
        <v>289</v>
      </c>
    </row>
    <row r="261" spans="2:2">
      <c r="B261" s="809" t="s">
        <v>294</v>
      </c>
    </row>
    <row r="262" spans="2:2">
      <c r="B262" s="809"/>
    </row>
    <row r="263" spans="2:2">
      <c r="B263" s="810"/>
    </row>
    <row r="264" spans="2:2">
      <c r="B264" s="214"/>
    </row>
    <row r="265" spans="2:2">
      <c r="B265" s="807" t="s">
        <v>430</v>
      </c>
    </row>
    <row r="266" spans="2:2">
      <c r="B266" s="811" t="s">
        <v>287</v>
      </c>
    </row>
    <row r="267" spans="2:2">
      <c r="B267" s="809" t="s">
        <v>286</v>
      </c>
    </row>
    <row r="268" spans="2:2">
      <c r="B268" s="810"/>
    </row>
  </sheetData>
  <sheetProtection password="DA3D" sheet="1" objects="1" scenarios="1"/>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88" priority="20">
      <formula>AND(#REF!="Actuals",#REF!="Forecast")</formula>
    </cfRule>
  </conditionalFormatting>
  <conditionalFormatting sqref="C47">
    <cfRule type="expression" dxfId="87" priority="18">
      <formula>AND(#REF!="Actuals",#REF!="Forecast")</formula>
    </cfRule>
  </conditionalFormatting>
  <conditionalFormatting sqref="C50:J50">
    <cfRule type="expression" dxfId="86" priority="17">
      <formula>AND(#REF!="Actuals",#REF!="Forecast")</formula>
    </cfRule>
  </conditionalFormatting>
  <conditionalFormatting sqref="B14:D30">
    <cfRule type="cellIs" dxfId="85" priority="14" operator="equal">
      <formula>"Forecast"</formula>
    </cfRule>
  </conditionalFormatting>
  <conditionalFormatting sqref="B23:C30 E26:F27">
    <cfRule type="expression" dxfId="84" priority="111">
      <formula>$D13="Forecast"</formula>
    </cfRule>
  </conditionalFormatting>
  <conditionalFormatting sqref="K71">
    <cfRule type="expression" dxfId="83" priority="5">
      <formula>AND(#REF!="Actuals",#REF!="Forecast")</formula>
    </cfRule>
  </conditionalFormatting>
  <conditionalFormatting sqref="K72:T72">
    <cfRule type="expression" dxfId="82" priority="4">
      <formula>AND(#REF!="Actuals",#REF!="Forecast")</formula>
    </cfRule>
  </conditionalFormatting>
  <conditionalFormatting sqref="C62:L62">
    <cfRule type="expression" dxfId="81" priority="3">
      <formula>AND(#REF!="Actuals",#REF!="Forecast")</formula>
    </cfRule>
  </conditionalFormatting>
  <conditionalFormatting sqref="C118:L118">
    <cfRule type="expression" dxfId="80" priority="1">
      <formula>AND(#REF!="Actuals",#REF!="Forecast")</formula>
    </cfRule>
  </conditionalFormatting>
  <pageMargins left="0.7" right="0.7" top="0.75" bottom="0.75" header="0.3" footer="0.3"/>
  <pageSetup paperSize="8" scale="5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3"/>
  <sheetViews>
    <sheetView showGridLines="0" zoomScale="80" zoomScaleNormal="80" workbookViewId="0">
      <pane ySplit="3" topLeftCell="A4" activePane="bottomLeft" state="frozen"/>
      <selection activeCell="A4" sqref="A4"/>
      <selection pane="bottomLeft" activeCell="B39" sqref="B39"/>
    </sheetView>
  </sheetViews>
  <sheetFormatPr defaultRowHeight="12.75"/>
  <cols>
    <col min="1" max="1" width="8.375" customWidth="1"/>
    <col min="2" max="2" width="23.75" customWidth="1"/>
    <col min="3" max="3" width="25.75" customWidth="1"/>
    <col min="4" max="4" width="9.75" customWidth="1"/>
  </cols>
  <sheetData>
    <row r="1" spans="1:14" s="31" customFormat="1" ht="20.25">
      <c r="A1" s="889" t="s">
        <v>83</v>
      </c>
      <c r="B1" s="889"/>
      <c r="C1" s="889"/>
      <c r="D1" s="889"/>
      <c r="E1" s="889"/>
      <c r="F1" s="889"/>
      <c r="G1" s="889"/>
      <c r="H1" s="889"/>
      <c r="I1" s="32" t="s">
        <v>84</v>
      </c>
      <c r="J1" s="33"/>
      <c r="K1" s="33"/>
      <c r="L1" s="33"/>
      <c r="M1" s="33"/>
    </row>
    <row r="2" spans="1:14" s="31" customFormat="1" ht="20.25">
      <c r="A2" s="889" t="str">
        <f>'RFPR cover'!C5</f>
        <v>NPgY</v>
      </c>
      <c r="B2" s="889"/>
      <c r="C2" s="889"/>
      <c r="D2" s="889"/>
      <c r="E2" s="889"/>
      <c r="F2" s="889"/>
      <c r="G2" s="889"/>
      <c r="H2" s="889"/>
      <c r="I2" s="33"/>
      <c r="J2" s="33"/>
      <c r="K2" s="33"/>
      <c r="L2" s="33"/>
      <c r="M2" s="33"/>
      <c r="N2" s="360"/>
    </row>
    <row r="3" spans="1:14" s="31" customFormat="1" ht="20.25">
      <c r="A3" s="889">
        <f>'RFPR cover'!C7</f>
        <v>2021</v>
      </c>
      <c r="B3" s="889"/>
      <c r="C3" s="889"/>
      <c r="D3" s="889"/>
      <c r="E3" s="889"/>
      <c r="F3" s="889"/>
      <c r="G3" s="889"/>
      <c r="H3" s="889"/>
      <c r="I3" s="33"/>
      <c r="J3" s="33"/>
      <c r="K3" s="33"/>
      <c r="L3" s="33"/>
      <c r="M3" s="33"/>
      <c r="N3" s="360"/>
    </row>
    <row r="4" spans="1:14">
      <c r="A4" s="24"/>
      <c r="B4" s="24"/>
      <c r="C4" s="24"/>
      <c r="D4" s="24"/>
      <c r="E4" s="24"/>
      <c r="F4" s="24"/>
      <c r="G4" s="24"/>
      <c r="H4" s="24"/>
      <c r="I4" s="543"/>
      <c r="J4" s="543"/>
      <c r="K4" s="543"/>
      <c r="L4" s="543"/>
      <c r="M4" s="543"/>
      <c r="N4" s="42"/>
    </row>
    <row r="5" spans="1:14">
      <c r="A5" s="24"/>
      <c r="B5" s="24"/>
      <c r="C5" s="24"/>
      <c r="D5" s="24"/>
      <c r="E5" s="24"/>
      <c r="F5" s="24"/>
      <c r="G5" s="24"/>
      <c r="H5" s="24"/>
      <c r="I5" s="543"/>
      <c r="J5" s="543"/>
      <c r="K5" s="543"/>
      <c r="L5" s="543"/>
      <c r="M5" s="543"/>
      <c r="N5" s="42"/>
    </row>
    <row r="6" spans="1:14">
      <c r="A6" s="24"/>
      <c r="B6" s="25" t="s">
        <v>85</v>
      </c>
      <c r="C6" s="24"/>
      <c r="D6" s="24"/>
      <c r="E6" s="24"/>
      <c r="F6" s="24"/>
      <c r="G6" s="24"/>
      <c r="H6" s="24"/>
      <c r="I6" s="543"/>
      <c r="J6" s="543"/>
      <c r="K6" s="543"/>
      <c r="L6" s="543"/>
      <c r="M6" s="543"/>
      <c r="N6" s="42"/>
    </row>
    <row r="7" spans="1:14">
      <c r="A7" s="24"/>
      <c r="B7" s="24"/>
      <c r="C7" s="24"/>
      <c r="D7" s="24"/>
      <c r="E7" s="24"/>
      <c r="F7" s="24"/>
      <c r="G7" s="24"/>
      <c r="H7" s="24"/>
      <c r="I7" s="543"/>
      <c r="J7" s="543"/>
      <c r="K7" s="543"/>
      <c r="L7" s="543"/>
      <c r="M7" s="543"/>
      <c r="N7" s="42"/>
    </row>
    <row r="8" spans="1:14">
      <c r="A8" s="24"/>
      <c r="B8" s="47" t="s">
        <v>86</v>
      </c>
      <c r="C8" s="47" t="s">
        <v>87</v>
      </c>
      <c r="D8" s="982" t="s">
        <v>88</v>
      </c>
      <c r="E8" s="983"/>
      <c r="F8" s="983"/>
      <c r="G8" s="983"/>
      <c r="H8" s="983"/>
      <c r="I8" s="543"/>
      <c r="J8" s="543"/>
      <c r="K8" s="543"/>
      <c r="L8" s="543"/>
      <c r="M8" s="543"/>
      <c r="N8" s="42"/>
    </row>
    <row r="9" spans="1:14">
      <c r="A9" s="24"/>
      <c r="B9" s="26" t="s">
        <v>89</v>
      </c>
      <c r="C9" s="46">
        <v>44407</v>
      </c>
      <c r="D9" s="980"/>
      <c r="E9" s="981"/>
      <c r="F9" s="981"/>
      <c r="G9" s="981"/>
      <c r="H9" s="981"/>
      <c r="I9" s="24"/>
      <c r="J9" s="24"/>
      <c r="K9" s="24"/>
      <c r="L9" s="24"/>
      <c r="M9" s="24"/>
    </row>
    <row r="10" spans="1:14">
      <c r="A10" s="24"/>
      <c r="B10" s="26" t="s">
        <v>90</v>
      </c>
      <c r="C10" s="46"/>
      <c r="D10" s="980"/>
      <c r="E10" s="981"/>
      <c r="F10" s="981"/>
      <c r="G10" s="981"/>
      <c r="H10" s="981"/>
      <c r="I10" s="24"/>
      <c r="J10" s="24"/>
      <c r="K10" s="24"/>
      <c r="L10" s="24"/>
      <c r="M10" s="24"/>
    </row>
    <row r="11" spans="1:14">
      <c r="A11" s="24"/>
      <c r="B11" s="26" t="s">
        <v>91</v>
      </c>
      <c r="C11" s="46"/>
      <c r="D11" s="980"/>
      <c r="E11" s="981"/>
      <c r="F11" s="981"/>
      <c r="G11" s="981"/>
      <c r="H11" s="981"/>
      <c r="I11" s="24"/>
      <c r="J11" s="24"/>
      <c r="K11" s="24"/>
      <c r="L11" s="24"/>
      <c r="M11" s="24"/>
    </row>
    <row r="12" spans="1:14">
      <c r="A12" s="24"/>
      <c r="B12" s="26" t="s">
        <v>92</v>
      </c>
      <c r="C12" s="46"/>
      <c r="D12" s="980"/>
      <c r="E12" s="981"/>
      <c r="F12" s="981"/>
      <c r="G12" s="981"/>
      <c r="H12" s="981"/>
      <c r="I12" s="24"/>
      <c r="J12" s="24"/>
      <c r="K12" s="24"/>
      <c r="L12" s="24"/>
      <c r="M12" s="24"/>
    </row>
    <row r="13" spans="1:14">
      <c r="A13" s="24"/>
      <c r="B13" s="26" t="s">
        <v>93</v>
      </c>
      <c r="C13" s="46"/>
      <c r="D13" s="980"/>
      <c r="E13" s="981"/>
      <c r="F13" s="981"/>
      <c r="G13" s="981"/>
      <c r="H13" s="981"/>
      <c r="I13" s="24"/>
      <c r="J13" s="24"/>
      <c r="K13" s="24"/>
      <c r="L13" s="24"/>
      <c r="M13" s="24"/>
    </row>
    <row r="14" spans="1:14">
      <c r="A14" s="24"/>
      <c r="B14" s="26" t="s">
        <v>94</v>
      </c>
      <c r="C14" s="46"/>
      <c r="D14" s="980"/>
      <c r="E14" s="981"/>
      <c r="F14" s="981"/>
      <c r="G14" s="981"/>
      <c r="H14" s="981"/>
      <c r="I14" s="24"/>
      <c r="J14" s="24"/>
      <c r="K14" s="24"/>
      <c r="L14" s="24"/>
      <c r="M14" s="24"/>
    </row>
    <row r="15" spans="1:14">
      <c r="A15" s="24"/>
      <c r="B15" s="26" t="s">
        <v>95</v>
      </c>
      <c r="C15" s="46"/>
      <c r="D15" s="980"/>
      <c r="E15" s="981"/>
      <c r="F15" s="981"/>
      <c r="G15" s="981"/>
      <c r="H15" s="981"/>
      <c r="I15" s="24"/>
      <c r="J15" s="24"/>
      <c r="K15" s="24"/>
      <c r="L15" s="24"/>
      <c r="M15" s="24"/>
    </row>
    <row r="16" spans="1:14">
      <c r="A16" s="24"/>
      <c r="B16" s="26" t="s">
        <v>96</v>
      </c>
      <c r="C16" s="46"/>
      <c r="D16" s="980"/>
      <c r="E16" s="981"/>
      <c r="F16" s="981"/>
      <c r="G16" s="981"/>
      <c r="H16" s="981"/>
      <c r="I16" s="24"/>
      <c r="J16" s="24"/>
      <c r="K16" s="24"/>
      <c r="L16" s="24"/>
      <c r="M16" s="24"/>
    </row>
    <row r="17" spans="1:13">
      <c r="A17" s="24"/>
      <c r="B17" s="26" t="s">
        <v>97</v>
      </c>
      <c r="C17" s="46"/>
      <c r="D17" s="980"/>
      <c r="E17" s="981"/>
      <c r="F17" s="981"/>
      <c r="G17" s="981"/>
      <c r="H17" s="981"/>
      <c r="I17" s="24"/>
      <c r="J17" s="24"/>
      <c r="K17" s="24"/>
      <c r="L17" s="24"/>
      <c r="M17" s="24"/>
    </row>
    <row r="18" spans="1:13">
      <c r="A18" s="24"/>
      <c r="B18" s="26" t="s">
        <v>98</v>
      </c>
      <c r="C18" s="46"/>
      <c r="D18" s="980"/>
      <c r="E18" s="981"/>
      <c r="F18" s="981"/>
      <c r="G18" s="981"/>
      <c r="H18" s="981"/>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262</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99</v>
      </c>
    </row>
    <row r="25" spans="1:13">
      <c r="B25" s="287" t="s">
        <v>261</v>
      </c>
    </row>
    <row r="26" spans="1:13">
      <c r="B26" s="287" t="s">
        <v>100</v>
      </c>
    </row>
    <row r="27" spans="1:13">
      <c r="B27" s="287" t="s">
        <v>264</v>
      </c>
    </row>
    <row r="28" spans="1:13">
      <c r="B28" s="287" t="s">
        <v>236</v>
      </c>
    </row>
    <row r="29" spans="1:13">
      <c r="B29" s="287" t="s">
        <v>101</v>
      </c>
    </row>
    <row r="30" spans="1:13">
      <c r="B30" s="287" t="s">
        <v>260</v>
      </c>
    </row>
    <row r="31" spans="1:13">
      <c r="B31" s="287" t="s">
        <v>265</v>
      </c>
    </row>
    <row r="32" spans="1:13">
      <c r="B32" s="287" t="s">
        <v>258</v>
      </c>
    </row>
    <row r="33" spans="2:2">
      <c r="B33" s="287" t="s">
        <v>266</v>
      </c>
    </row>
  </sheetData>
  <sheetProtection password="DA3D"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8" location="'R8 - Net Debt'!A1" display="R8 - Net Debt"/>
    <hyperlink ref="B29" location="'R9 - RAV'!A1" display="R9 - RAV"/>
    <hyperlink ref="B31" location="'R11 - Dividends'!A1" display="R11 - Dividends"/>
    <hyperlink ref="B32" location="'R12 - Pensions'!A1" display="R12 - Pensions"/>
    <hyperlink ref="B33" location="'R13 - Other Activities '!A1" display="R13 - Other Activities"/>
    <hyperlink ref="B30" location="'R10 - Tax'!A1" display="R10 - Tax"/>
  </hyperlinks>
  <pageMargins left="0.70866141732283472" right="0.70866141732283472" top="0.74803149606299213" bottom="0.74803149606299213"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894" t="s">
        <v>238</v>
      </c>
      <c r="B1" s="903"/>
      <c r="C1" s="904"/>
      <c r="D1" s="904"/>
      <c r="E1" s="904"/>
      <c r="F1" s="904"/>
      <c r="G1" s="257"/>
      <c r="H1" s="257"/>
      <c r="I1" s="258"/>
      <c r="J1" s="258"/>
      <c r="K1" s="259"/>
      <c r="L1" s="259"/>
      <c r="M1" s="259"/>
      <c r="N1" s="259"/>
      <c r="O1" s="361" t="s">
        <v>84</v>
      </c>
    </row>
    <row r="2" spans="1:16" s="31" customFormat="1" ht="20.25">
      <c r="A2" s="897" t="str">
        <f>'RFPR cover'!C5</f>
        <v>NPgY</v>
      </c>
      <c r="B2" s="905"/>
      <c r="C2" s="889"/>
      <c r="D2" s="889"/>
      <c r="E2" s="889"/>
      <c r="F2" s="889"/>
      <c r="G2" s="29"/>
      <c r="H2" s="29"/>
      <c r="I2" s="27"/>
      <c r="J2" s="27"/>
      <c r="K2" s="27"/>
      <c r="L2" s="27"/>
      <c r="M2" s="27"/>
      <c r="N2" s="27"/>
      <c r="O2" s="124"/>
    </row>
    <row r="3" spans="1:16" s="31" customFormat="1" ht="23.25">
      <c r="A3" s="900">
        <f>'RFPR cover'!C7</f>
        <v>2021</v>
      </c>
      <c r="B3" s="906" t="str">
        <f>IF('RFPR cover'!C5=Data!B98,"Not required to be completed for System Operator",(IF('RFPR cover'!C5=Data!B96,"Not required to be completed for System Operator","")))</f>
        <v/>
      </c>
      <c r="C3" s="907"/>
      <c r="D3" s="907"/>
      <c r="E3" s="907"/>
      <c r="F3" s="907"/>
      <c r="G3" s="261"/>
      <c r="H3" s="261"/>
      <c r="I3" s="256"/>
      <c r="J3" s="256"/>
      <c r="K3" s="256"/>
      <c r="L3" s="256"/>
      <c r="M3" s="256"/>
      <c r="N3" s="256"/>
      <c r="O3" s="262"/>
    </row>
    <row r="4" spans="1:16" ht="12.75" customHeight="1"/>
    <row r="5" spans="1:16">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2021</v>
      </c>
      <c r="N6" s="195" t="s">
        <v>109</v>
      </c>
    </row>
    <row r="7" spans="1:16">
      <c r="C7" s="173"/>
      <c r="D7" s="173"/>
      <c r="E7" s="173"/>
      <c r="F7" s="173"/>
      <c r="G7" s="173"/>
      <c r="H7" s="173"/>
      <c r="I7" s="173"/>
      <c r="J7" s="173"/>
      <c r="K7" s="173"/>
      <c r="L7" s="173"/>
      <c r="M7" s="173"/>
      <c r="N7" s="173"/>
      <c r="O7" s="173"/>
    </row>
    <row r="8" spans="1:16">
      <c r="B8" s="526" t="s">
        <v>108</v>
      </c>
      <c r="C8" s="418"/>
      <c r="D8" s="418"/>
      <c r="E8" s="418"/>
      <c r="F8" s="418"/>
      <c r="G8" s="418"/>
      <c r="H8" s="418"/>
      <c r="I8" s="418"/>
      <c r="J8" s="418"/>
      <c r="K8" s="418"/>
      <c r="L8" s="527"/>
      <c r="M8" s="218"/>
      <c r="N8" s="218"/>
      <c r="O8" s="218"/>
    </row>
    <row r="9" spans="1:16">
      <c r="B9" s="198"/>
      <c r="D9" s="42"/>
      <c r="E9" s="42"/>
      <c r="F9" s="42"/>
      <c r="G9" s="42"/>
      <c r="H9" s="42"/>
      <c r="I9" s="42"/>
      <c r="J9" s="42"/>
      <c r="K9" s="42"/>
      <c r="L9" s="49"/>
    </row>
    <row r="10" spans="1:16">
      <c r="B10" s="253" t="s">
        <v>214</v>
      </c>
      <c r="C10" s="255" t="s">
        <v>7</v>
      </c>
      <c r="D10" s="502">
        <f t="shared" ref="D10:K19" si="1">D48/D$65</f>
        <v>0.06</v>
      </c>
      <c r="E10" s="504">
        <f t="shared" si="1"/>
        <v>0.06</v>
      </c>
      <c r="F10" s="504">
        <f t="shared" si="1"/>
        <v>0.06</v>
      </c>
      <c r="G10" s="504">
        <f t="shared" si="1"/>
        <v>0.06</v>
      </c>
      <c r="H10" s="504">
        <f t="shared" si="1"/>
        <v>0.06</v>
      </c>
      <c r="I10" s="504">
        <f t="shared" si="1"/>
        <v>0.06</v>
      </c>
      <c r="J10" s="504">
        <f t="shared" si="1"/>
        <v>0.06</v>
      </c>
      <c r="K10" s="503">
        <f t="shared" si="1"/>
        <v>0.06</v>
      </c>
      <c r="L10" s="174"/>
      <c r="M10" s="503">
        <f>AVERAGE(D48:INDEX(D48:K48,0,MATCH('RFPR cover'!$C$7,$D$6:$K$6,0)))/AVERAGE($D$65:INDEX($D$65:$K$65,0,MATCH('RFPR cover'!$C$7,$D$6:$K$6,0)))</f>
        <v>5.9999999999999991E-2</v>
      </c>
      <c r="N10" s="503">
        <f>AVERAGE(D48:K48)/AVERAGE($D$65:$K$65)</f>
        <v>5.9999999999999991E-2</v>
      </c>
    </row>
    <row r="11" spans="1:16">
      <c r="B11" s="253" t="str">
        <f t="shared" ref="B11:B18" si="2">B49</f>
        <v>Totex outperformance</v>
      </c>
      <c r="C11" s="255" t="s">
        <v>7</v>
      </c>
      <c r="D11" s="176">
        <f t="shared" si="1"/>
        <v>-1.404403265034304E-2</v>
      </c>
      <c r="E11" s="177">
        <f t="shared" si="1"/>
        <v>-4.8063009047575964E-3</v>
      </c>
      <c r="F11" s="177">
        <f t="shared" si="1"/>
        <v>-1.6299223049220273E-3</v>
      </c>
      <c r="G11" s="177">
        <f t="shared" si="1"/>
        <v>5.2242402286486883E-3</v>
      </c>
      <c r="H11" s="177">
        <f t="shared" si="1"/>
        <v>-3.3832178225470925E-3</v>
      </c>
      <c r="I11" s="177">
        <f t="shared" si="1"/>
        <v>4.3144645847515962E-2</v>
      </c>
      <c r="J11" s="177">
        <f t="shared" si="1"/>
        <v>-6.2824508397338044E-3</v>
      </c>
      <c r="K11" s="178">
        <f t="shared" si="1"/>
        <v>-4.7814509179163363E-3</v>
      </c>
      <c r="L11" s="174"/>
      <c r="M11" s="178">
        <f>AVERAGE(D49:INDEX(D49:K49,0,MATCH('RFPR cover'!$C$7,$D$6:$K$6,0)))/AVERAGE($D$65:INDEX($D$65:$K$65,0,MATCH('RFPR cover'!$C$7,$D$6:$K$6,0)))</f>
        <v>4.4124559181174649E-3</v>
      </c>
      <c r="N11" s="178">
        <f t="shared" ref="N11:N19" si="3">AVERAGE(D49:K49)/AVERAGE($D$65:$K$65)</f>
        <v>1.8239426040829187E-3</v>
      </c>
      <c r="P11" s="174"/>
    </row>
    <row r="12" spans="1:16">
      <c r="B12" s="253" t="str">
        <f t="shared" si="2"/>
        <v>IQI Reward</v>
      </c>
      <c r="C12" s="255" t="s">
        <v>7</v>
      </c>
      <c r="D12" s="176">
        <f t="shared" si="1"/>
        <v>-1.6732220855456136E-3</v>
      </c>
      <c r="E12" s="177">
        <f t="shared" si="1"/>
        <v>-1.5360859547903789E-3</v>
      </c>
      <c r="F12" s="177">
        <f t="shared" si="1"/>
        <v>-1.4800030159965332E-3</v>
      </c>
      <c r="G12" s="177">
        <f t="shared" si="1"/>
        <v>-1.4657087583052906E-3</v>
      </c>
      <c r="H12" s="177">
        <f t="shared" si="1"/>
        <v>-1.3607023408768106E-3</v>
      </c>
      <c r="I12" s="177">
        <f t="shared" si="1"/>
        <v>-1.2756177979789376E-3</v>
      </c>
      <c r="J12" s="177">
        <f t="shared" si="1"/>
        <v>-1.1621109205087398E-3</v>
      </c>
      <c r="K12" s="178">
        <f t="shared" si="1"/>
        <v>-1.1626973318278999E-3</v>
      </c>
      <c r="L12" s="174"/>
      <c r="M12" s="178">
        <f>AVERAGE(D50:INDEX(D50:K50,0,MATCH('RFPR cover'!$C$7,$D$6:$K$6,0)))/AVERAGE($D$65:INDEX($D$65:$K$65,0,MATCH('RFPR cover'!$C$7,$D$6:$K$6,0)))</f>
        <v>-1.4624107381579258E-3</v>
      </c>
      <c r="N12" s="178">
        <f t="shared" si="3"/>
        <v>-1.3842733105643914E-3</v>
      </c>
    </row>
    <row r="13" spans="1:16">
      <c r="B13" s="253" t="str">
        <f t="shared" si="2"/>
        <v>Broad measure of customer service</v>
      </c>
      <c r="C13" s="255" t="s">
        <v>7</v>
      </c>
      <c r="D13" s="176">
        <f t="shared" si="1"/>
        <v>2.3391094035203671E-3</v>
      </c>
      <c r="E13" s="177">
        <f t="shared" si="1"/>
        <v>3.7477565731209093E-3</v>
      </c>
      <c r="F13" s="177">
        <f t="shared" si="1"/>
        <v>3.8909524110464313E-3</v>
      </c>
      <c r="G13" s="177">
        <f t="shared" si="1"/>
        <v>4.0683357809076911E-3</v>
      </c>
      <c r="H13" s="177">
        <f t="shared" si="1"/>
        <v>4.9339926344057093E-3</v>
      </c>
      <c r="I13" s="177">
        <f t="shared" si="1"/>
        <v>4.6723134160717231E-3</v>
      </c>
      <c r="J13" s="177">
        <f t="shared" si="1"/>
        <v>5.6281986404478658E-3</v>
      </c>
      <c r="K13" s="178">
        <f t="shared" si="1"/>
        <v>5.7496230591834192E-3</v>
      </c>
      <c r="L13" s="174"/>
      <c r="M13" s="178">
        <f>AVERAGE(D51:INDEX(D51:K51,0,MATCH('RFPR cover'!$C$7,$D$6:$K$6,0)))/AVERAGE($D$65:INDEX($D$65:$K$65,0,MATCH('RFPR cover'!$C$7,$D$6:$K$6,0)))</f>
        <v>3.9594015058445498E-3</v>
      </c>
      <c r="N13" s="178">
        <f t="shared" si="3"/>
        <v>4.4099852362287162E-3</v>
      </c>
    </row>
    <row r="14" spans="1:16">
      <c r="B14" s="253" t="str">
        <f t="shared" si="2"/>
        <v>Interruptions-related quality of service</v>
      </c>
      <c r="C14" s="255" t="s">
        <v>7</v>
      </c>
      <c r="D14" s="176">
        <f t="shared" si="1"/>
        <v>2.0475312186249175E-2</v>
      </c>
      <c r="E14" s="177">
        <f t="shared" si="1"/>
        <v>2.0732099254015156E-2</v>
      </c>
      <c r="F14" s="177">
        <f t="shared" si="1"/>
        <v>2.0422143426760554E-2</v>
      </c>
      <c r="G14" s="177">
        <f t="shared" si="1"/>
        <v>2.0243649383981762E-2</v>
      </c>
      <c r="H14" s="177">
        <f t="shared" si="1"/>
        <v>1.7121772256622727E-2</v>
      </c>
      <c r="I14" s="177">
        <f t="shared" si="1"/>
        <v>1.656567023578475E-2</v>
      </c>
      <c r="J14" s="177">
        <f t="shared" si="1"/>
        <v>1.4196207606892755E-2</v>
      </c>
      <c r="K14" s="178">
        <f t="shared" si="1"/>
        <v>1.3860320596398294E-2</v>
      </c>
      <c r="L14" s="174"/>
      <c r="M14" s="178">
        <f>AVERAGE(D52:INDEX(D52:K52,0,MATCH('RFPR cover'!$C$7,$D$6:$K$6,0)))/AVERAGE($D$65:INDEX($D$65:$K$65,0,MATCH('RFPR cover'!$C$7,$D$6:$K$6,0)))</f>
        <v>1.9226769770849035E-2</v>
      </c>
      <c r="N14" s="178">
        <f t="shared" si="3"/>
        <v>1.7872449190494851E-2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1.0886280630999835E-3</v>
      </c>
      <c r="E16" s="177">
        <f t="shared" si="1"/>
        <v>9.2142663351178463E-4</v>
      </c>
      <c r="F16" s="177">
        <f t="shared" si="1"/>
        <v>9.5546817841122146E-5</v>
      </c>
      <c r="G16" s="177">
        <f t="shared" si="1"/>
        <v>5.2977831690571885E-4</v>
      </c>
      <c r="H16" s="177">
        <f t="shared" si="1"/>
        <v>1.4933321766776248E-4</v>
      </c>
      <c r="I16" s="177">
        <f t="shared" si="1"/>
        <v>0</v>
      </c>
      <c r="J16" s="177">
        <f t="shared" si="1"/>
        <v>7.5139048475137695E-5</v>
      </c>
      <c r="K16" s="178">
        <f t="shared" si="1"/>
        <v>1.494142205016306E-3</v>
      </c>
      <c r="L16" s="174"/>
      <c r="M16" s="178">
        <f>AVERAGE(D54:INDEX(D54:K54,0,MATCH('RFPR cover'!$C$7,$D$6:$K$6,0)))/AVERAGE($D$65:INDEX($D$65:$K$65,0,MATCH('RFPR cover'!$C$7,$D$6:$K$6,0)))</f>
        <v>4.5603861519525815E-4</v>
      </c>
      <c r="N16" s="178">
        <f t="shared" si="3"/>
        <v>5.4309062837862797E-4</v>
      </c>
    </row>
    <row r="17" spans="2:16">
      <c r="B17" s="253" t="str">
        <f t="shared" si="2"/>
        <v>Losses discretionary reward scheme</v>
      </c>
      <c r="C17" s="255" t="s">
        <v>7</v>
      </c>
      <c r="D17" s="176">
        <f t="shared" si="1"/>
        <v>0</v>
      </c>
      <c r="E17" s="177">
        <f t="shared" si="1"/>
        <v>2.687494347742705E-4</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4.4034789960498978E-5</v>
      </c>
      <c r="N17" s="178">
        <f t="shared" si="3"/>
        <v>3.2565736427397027E-5</v>
      </c>
    </row>
    <row r="18" spans="2:16">
      <c r="B18" s="253" t="str">
        <f t="shared" si="2"/>
        <v xml:space="preserve">Network Innovation </v>
      </c>
      <c r="C18" s="255" t="s">
        <v>7</v>
      </c>
      <c r="D18" s="176">
        <f t="shared" si="1"/>
        <v>-1.4942220518113417E-4</v>
      </c>
      <c r="E18" s="177">
        <f t="shared" si="1"/>
        <v>-1.369880163206817E-4</v>
      </c>
      <c r="F18" s="177">
        <f t="shared" si="1"/>
        <v>-3.8907155972293592E-4</v>
      </c>
      <c r="G18" s="177">
        <f t="shared" si="1"/>
        <v>-3.8616655146943312E-4</v>
      </c>
      <c r="H18" s="177">
        <f t="shared" si="1"/>
        <v>-3.5944903609043903E-4</v>
      </c>
      <c r="I18" s="177">
        <f t="shared" si="1"/>
        <v>-3.704974200319231E-4</v>
      </c>
      <c r="J18" s="177">
        <f t="shared" si="1"/>
        <v>-3.7399669980769376E-4</v>
      </c>
      <c r="K18" s="178">
        <f t="shared" si="1"/>
        <v>-3.5607777557199172E-4</v>
      </c>
      <c r="L18" s="174"/>
      <c r="M18" s="178">
        <f>AVERAGE(D56:INDEX(D56:K56,0,MATCH('RFPR cover'!$C$7,$D$6:$K$6,0)))/AVERAGE($D$65:INDEX($D$65:$K$65,0,MATCH('RFPR cover'!$C$7,$D$6:$K$6,0)))</f>
        <v>-3.005061533079794E-4</v>
      </c>
      <c r="N18" s="178">
        <f t="shared" si="3"/>
        <v>-3.1729504161654001E-4</v>
      </c>
    </row>
    <row r="19" spans="2:16">
      <c r="B19" s="253" t="str">
        <f>B57</f>
        <v>Penalties and fines</v>
      </c>
      <c r="C19" s="255" t="s">
        <v>7</v>
      </c>
      <c r="D19" s="186">
        <f t="shared" si="1"/>
        <v>-2.8567999928562327E-4</v>
      </c>
      <c r="E19" s="187">
        <f t="shared" si="1"/>
        <v>-2.2724595793770233E-4</v>
      </c>
      <c r="F19" s="187">
        <f t="shared" si="1"/>
        <v>-2.3422169391846873E-4</v>
      </c>
      <c r="G19" s="187">
        <f t="shared" si="1"/>
        <v>-3.2294002174791388E-4</v>
      </c>
      <c r="H19" s="187">
        <f t="shared" si="1"/>
        <v>-3.5044273260330779E-4</v>
      </c>
      <c r="I19" s="187">
        <f t="shared" si="1"/>
        <v>-2.6427622887957775E-4</v>
      </c>
      <c r="J19" s="187">
        <f t="shared" si="1"/>
        <v>-2.5373299922662327E-4</v>
      </c>
      <c r="K19" s="188">
        <f t="shared" si="1"/>
        <v>-2.422880009457433E-4</v>
      </c>
      <c r="L19" s="174"/>
      <c r="M19" s="188">
        <f>AVERAGE(D57:INDEX(D57:K57,0,MATCH('RFPR cover'!$C$7,$D$6:$K$6,0)))/AVERAGE($D$65:INDEX($D$65:$K$65,0,MATCH('RFPR cover'!$C$7,$D$6:$K$6,0)))</f>
        <v>-2.8114520451944061E-4</v>
      </c>
      <c r="N19" s="188">
        <f t="shared" si="3"/>
        <v>-2.7250330038192848E-4</v>
      </c>
    </row>
    <row r="20" spans="2:16">
      <c r="B20" s="254" t="str">
        <f>B58</f>
        <v>RoRE - Operational performance</v>
      </c>
      <c r="C20" s="255" t="s">
        <v>7</v>
      </c>
      <c r="D20" s="189">
        <f t="shared" ref="D20:K20" si="4">SUM(D10:D19)</f>
        <v>6.7750692712514105E-2</v>
      </c>
      <c r="E20" s="190">
        <f t="shared" si="4"/>
        <v>7.8963411061615765E-2</v>
      </c>
      <c r="F20" s="190">
        <f t="shared" si="4"/>
        <v>8.0675424081088132E-2</v>
      </c>
      <c r="G20" s="190">
        <f t="shared" si="4"/>
        <v>8.7891188378921223E-2</v>
      </c>
      <c r="H20" s="190">
        <f t="shared" si="4"/>
        <v>7.6751286176578545E-2</v>
      </c>
      <c r="I20" s="190">
        <f t="shared" si="4"/>
        <v>0.12247223805248199</v>
      </c>
      <c r="J20" s="190">
        <f t="shared" si="4"/>
        <v>7.1827253836538901E-2</v>
      </c>
      <c r="K20" s="191">
        <f t="shared" si="4"/>
        <v>7.4561571834336052E-2</v>
      </c>
      <c r="L20" s="175"/>
      <c r="M20" s="191">
        <f>SUM(M10:M19)</f>
        <v>8.6054638503981457E-2</v>
      </c>
      <c r="N20" s="191">
        <f>SUM(N10:N19)</f>
        <v>8.2707961743049646E-2</v>
      </c>
    </row>
    <row r="21" spans="2:16">
      <c r="B21" s="253" t="str">
        <f>B59</f>
        <v>Debt performance - at notional gearing</v>
      </c>
      <c r="C21" s="255" t="s">
        <v>7</v>
      </c>
      <c r="D21" s="176">
        <f>(D59)/D$65</f>
        <v>-3.4554990336569051E-2</v>
      </c>
      <c r="E21" s="177">
        <f t="shared" ref="E21:K21" si="5">(E59)/E$65</f>
        <v>-2.147272802775908E-2</v>
      </c>
      <c r="F21" s="177">
        <f t="shared" si="5"/>
        <v>-1.8776012583573544E-3</v>
      </c>
      <c r="G21" s="177">
        <f t="shared" si="5"/>
        <v>-1.3373818024211039E-2</v>
      </c>
      <c r="H21" s="177">
        <f t="shared" si="5"/>
        <v>-1.6191644360183118E-2</v>
      </c>
      <c r="I21" s="177">
        <f t="shared" si="5"/>
        <v>-1.794335502896504E-2</v>
      </c>
      <c r="J21" s="177">
        <f t="shared" si="5"/>
        <v>2.7207533244083589E-3</v>
      </c>
      <c r="K21" s="178">
        <f t="shared" si="5"/>
        <v>1.3056396288913526E-2</v>
      </c>
      <c r="L21" s="174"/>
      <c r="M21" s="178">
        <f>AVERAGE(D59:INDEX(D59:K59,0,MATCH('RFPR cover'!$C$7,$D$6:$K$6,0)))/AVERAGE($D$65:INDEX($D$65:$K$65,0,MATCH('RFPR cover'!$C$7,$D$6:$K$6,0)))</f>
        <v>-1.7468620670849009E-2</v>
      </c>
      <c r="N21" s="178">
        <f>AVERAGE(D59:K59)/AVERAGE($D$65:$K$65)</f>
        <v>-1.0853548978145581E-2</v>
      </c>
    </row>
    <row r="22" spans="2:16">
      <c r="B22" s="253" t="str">
        <f>B61</f>
        <v>Tax performance - at notional gearing</v>
      </c>
      <c r="C22" s="255" t="s">
        <v>7</v>
      </c>
      <c r="D22" s="176">
        <f>(D61)/D$65</f>
        <v>-4.7746910148925275E-3</v>
      </c>
      <c r="E22" s="177">
        <f t="shared" ref="E22:K22" si="6">(E61)/E$65</f>
        <v>-1.5819421828371495E-3</v>
      </c>
      <c r="F22" s="177">
        <f t="shared" si="6"/>
        <v>6.1828214941668479E-3</v>
      </c>
      <c r="G22" s="177">
        <f t="shared" si="6"/>
        <v>3.4787563287785859E-3</v>
      </c>
      <c r="H22" s="177">
        <f t="shared" si="6"/>
        <v>4.6280290309299644E-4</v>
      </c>
      <c r="I22" s="177">
        <f t="shared" si="6"/>
        <v>-4.3060076736686024E-3</v>
      </c>
      <c r="J22" s="177">
        <f t="shared" si="6"/>
        <v>-3.7413413088058906E-4</v>
      </c>
      <c r="K22" s="178">
        <f t="shared" si="6"/>
        <v>1.1393231994620055E-3</v>
      </c>
      <c r="L22" s="174"/>
      <c r="M22" s="178">
        <f>AVERAGE(D61:INDEX(D61:K61,0,MATCH('RFPR cover'!$C$7,$D$6:$K$6,0)))/AVERAGE($D$65:INDEX($D$65:$K$65,0,MATCH('RFPR cover'!$C$7,$D$6:$K$6,0)))</f>
        <v>-8.2717220248334179E-5</v>
      </c>
      <c r="N22" s="178">
        <f>AVERAGE(D61:K61)/AVERAGE($D$65:$K$65)</f>
        <v>4.0039037723766711E-5</v>
      </c>
    </row>
    <row r="23" spans="2:16">
      <c r="B23" s="254" t="str">
        <f>B63</f>
        <v>RoRE - including financing and tax</v>
      </c>
      <c r="C23" s="255" t="s">
        <v>7</v>
      </c>
      <c r="D23" s="192">
        <f>SUM(D20:D22)</f>
        <v>2.8421011361052524E-2</v>
      </c>
      <c r="E23" s="193">
        <f t="shared" ref="E23:K23" si="7">SUM(E20:E22)</f>
        <v>5.5908740851019531E-2</v>
      </c>
      <c r="F23" s="193">
        <f t="shared" si="7"/>
        <v>8.4980644316897627E-2</v>
      </c>
      <c r="G23" s="193">
        <f t="shared" si="7"/>
        <v>7.7996126683488765E-2</v>
      </c>
      <c r="H23" s="193">
        <f t="shared" si="7"/>
        <v>6.1022444719488422E-2</v>
      </c>
      <c r="I23" s="193">
        <f t="shared" si="7"/>
        <v>0.10022287534984835</v>
      </c>
      <c r="J23" s="193">
        <f t="shared" si="7"/>
        <v>7.4173873030066673E-2</v>
      </c>
      <c r="K23" s="194">
        <f t="shared" si="7"/>
        <v>8.8757291322711582E-2</v>
      </c>
      <c r="L23" s="175"/>
      <c r="M23" s="194">
        <f>SUM(M20:M22)</f>
        <v>6.8503300612884122E-2</v>
      </c>
      <c r="N23" s="194">
        <f>SUM(N20:N22)</f>
        <v>7.1894451802627823E-2</v>
      </c>
    </row>
    <row r="26" spans="2:16" s="31" customFormat="1">
      <c r="B26" s="464"/>
      <c r="C26" s="360"/>
    </row>
    <row r="27" spans="2:16">
      <c r="B27" s="526" t="s">
        <v>215</v>
      </c>
      <c r="C27" s="418"/>
      <c r="D27" s="218"/>
      <c r="E27" s="218"/>
      <c r="F27" s="218"/>
      <c r="G27" s="218"/>
      <c r="H27" s="218"/>
      <c r="I27" s="218"/>
      <c r="J27" s="218"/>
      <c r="K27" s="218"/>
      <c r="L27" s="527"/>
      <c r="M27" s="218"/>
      <c r="N27" s="218"/>
      <c r="O27" s="218"/>
    </row>
    <row r="28" spans="2:16">
      <c r="B28" s="198"/>
      <c r="L28" s="49"/>
    </row>
    <row r="29" spans="2:16">
      <c r="B29" s="253" t="s">
        <v>214</v>
      </c>
      <c r="C29" s="255" t="s">
        <v>7</v>
      </c>
      <c r="D29" s="176">
        <f t="shared" ref="D29:K38" si="8">D48/D$66</f>
        <v>4.2677794499165082E-2</v>
      </c>
      <c r="E29" s="177">
        <f t="shared" si="8"/>
        <v>4.1909405904548572E-2</v>
      </c>
      <c r="F29" s="177">
        <f t="shared" si="8"/>
        <v>4.0082739455616967E-2</v>
      </c>
      <c r="G29" s="177">
        <f t="shared" si="8"/>
        <v>3.9306246291500653E-2</v>
      </c>
      <c r="H29" s="177">
        <f t="shared" si="8"/>
        <v>3.9718655443797754E-2</v>
      </c>
      <c r="I29" s="177">
        <f t="shared" si="8"/>
        <v>4.0916442609560892E-2</v>
      </c>
      <c r="J29" s="177">
        <f t="shared" si="8"/>
        <v>4.1292176425530396E-2</v>
      </c>
      <c r="K29" s="178">
        <f t="shared" si="8"/>
        <v>4.0616440967508979E-2</v>
      </c>
      <c r="L29" s="174"/>
      <c r="M29" s="503">
        <f>AVERAGE(D48:INDEX(D48:K48,0,MATCH('RFPR cover'!$C$7,$D$6:$K$6,0)))/AVERAGE($D$66:INDEX($D$66:$K$66,0,MATCH('RFPR cover'!$C$7,$D$6:$K$6,0)))</f>
        <v>4.0716329919759736E-2</v>
      </c>
      <c r="N29" s="503">
        <f>AVERAGE(D48:K48)/AVERAGE($D$66:$K$66)</f>
        <v>4.0776633767417497E-2</v>
      </c>
      <c r="P29" s="321"/>
    </row>
    <row r="30" spans="2:16">
      <c r="B30" s="253" t="str">
        <f t="shared" ref="B30:B37" si="9">B49</f>
        <v>Totex outperformance</v>
      </c>
      <c r="C30" s="255" t="s">
        <v>7</v>
      </c>
      <c r="D30" s="176">
        <f t="shared" si="8"/>
        <v>-9.9894723231817497E-3</v>
      </c>
      <c r="E30" s="177">
        <f t="shared" si="8"/>
        <v>-3.3571535919480863E-3</v>
      </c>
      <c r="F30" s="177">
        <f t="shared" si="8"/>
        <v>-1.0888625180181381E-3</v>
      </c>
      <c r="G30" s="177">
        <f t="shared" si="8"/>
        <v>3.4224212185538505E-3</v>
      </c>
      <c r="H30" s="177">
        <f t="shared" si="8"/>
        <v>-2.2396143830843945E-3</v>
      </c>
      <c r="I30" s="177">
        <f t="shared" si="8"/>
        <v>2.9422090428828609E-2</v>
      </c>
      <c r="J30" s="177">
        <f t="shared" si="8"/>
        <v>-4.3236011409834973E-3</v>
      </c>
      <c r="K30" s="178">
        <f t="shared" si="8"/>
        <v>-3.236758649109842E-3</v>
      </c>
      <c r="L30" s="174"/>
      <c r="M30" s="178">
        <f>AVERAGE(D49:INDEX(D49:K49,0,MATCH('RFPR cover'!$C$7,$D$6:$K$6,0)))/AVERAGE($D$66:INDEX($D$66:$K$66,0,MATCH('RFPR cover'!$C$7,$D$6:$K$6,0)))</f>
        <v>2.9943168486411178E-3</v>
      </c>
      <c r="N30" s="178">
        <f t="shared" ref="N30:N38" si="10">AVERAGE(D49:K49)/AVERAGE($D$66:$K$66)</f>
        <v>1.2395706596579827E-3</v>
      </c>
    </row>
    <row r="31" spans="2:16">
      <c r="B31" s="253" t="str">
        <f t="shared" si="9"/>
        <v>IQI Reward</v>
      </c>
      <c r="C31" s="255" t="s">
        <v>7</v>
      </c>
      <c r="D31" s="176">
        <f t="shared" si="8"/>
        <v>-1.1901571386396686E-3</v>
      </c>
      <c r="E31" s="177">
        <f t="shared" si="8"/>
        <v>-1.0729408297264339E-3</v>
      </c>
      <c r="F31" s="177">
        <f t="shared" si="8"/>
        <v>-9.8870958806193915E-4</v>
      </c>
      <c r="G31" s="177">
        <f t="shared" si="8"/>
        <v>-9.6019182409262259E-4</v>
      </c>
      <c r="H31" s="177">
        <f t="shared" si="8"/>
        <v>-9.0075445731425138E-4</v>
      </c>
      <c r="I31" s="177">
        <f t="shared" si="8"/>
        <v>-8.6989570704566082E-4</v>
      </c>
      <c r="J31" s="177">
        <f t="shared" si="8"/>
        <v>-7.997681525947068E-4</v>
      </c>
      <c r="K31" s="178">
        <f t="shared" si="8"/>
        <v>-7.870771256878016E-4</v>
      </c>
      <c r="L31" s="174"/>
      <c r="M31" s="178">
        <f>AVERAGE(D50:INDEX(D50:K50,0,MATCH('RFPR cover'!$C$7,$D$6:$K$6,0)))/AVERAGE($D$66:INDEX($D$66:$K$66,0,MATCH('RFPR cover'!$C$7,$D$6:$K$6,0)))</f>
        <v>-9.9239996821729143E-4</v>
      </c>
      <c r="N31" s="178">
        <f t="shared" si="10"/>
        <v>-9.4076676364824631E-4</v>
      </c>
    </row>
    <row r="32" spans="2:16">
      <c r="B32" s="253" t="str">
        <f t="shared" si="9"/>
        <v>Broad measure of customer service</v>
      </c>
      <c r="C32" s="255" t="s">
        <v>7</v>
      </c>
      <c r="D32" s="176">
        <f t="shared" si="8"/>
        <v>1.6638005072417807E-3</v>
      </c>
      <c r="E32" s="177">
        <f t="shared" si="8"/>
        <v>2.6177708575727361E-3</v>
      </c>
      <c r="F32" s="177">
        <f t="shared" si="8"/>
        <v>2.599333862102979E-3</v>
      </c>
      <c r="G32" s="177">
        <f t="shared" si="8"/>
        <v>2.6651834700147062E-3</v>
      </c>
      <c r="H32" s="177">
        <f t="shared" si="8"/>
        <v>3.2661925568032721E-3</v>
      </c>
      <c r="I32" s="177">
        <f t="shared" si="8"/>
        <v>3.1862407290430012E-3</v>
      </c>
      <c r="J32" s="177">
        <f t="shared" si="8"/>
        <v>3.8733428536550595E-3</v>
      </c>
      <c r="K32" s="178">
        <f t="shared" si="8"/>
        <v>3.8921537594791959E-3</v>
      </c>
      <c r="L32" s="174"/>
      <c r="M32" s="178">
        <f>AVERAGE(D51:INDEX(D51:K51,0,MATCH('RFPR cover'!$C$7,$D$6:$K$6,0)))/AVERAGE($D$66:INDEX($D$66:$K$66,0,MATCH('RFPR cover'!$C$7,$D$6:$K$6,0)))</f>
        <v>2.6868716332793369E-3</v>
      </c>
      <c r="N32" s="178">
        <f t="shared" si="10"/>
        <v>2.9970725482902755E-3</v>
      </c>
    </row>
    <row r="33" spans="2:15">
      <c r="B33" s="253" t="str">
        <f t="shared" si="9"/>
        <v>Interruptions-related quality of service</v>
      </c>
      <c r="C33" s="255" t="s">
        <v>7</v>
      </c>
      <c r="D33" s="176">
        <f t="shared" si="8"/>
        <v>1.4564019429849881E-2</v>
      </c>
      <c r="E33" s="177">
        <f t="shared" si="8"/>
        <v>1.4481166048165165E-2</v>
      </c>
      <c r="F33" s="177">
        <f t="shared" si="8"/>
        <v>1.3642924235001399E-2</v>
      </c>
      <c r="G33" s="177">
        <f t="shared" si="8"/>
        <v>1.3261697808759543E-2</v>
      </c>
      <c r="H33" s="177">
        <f t="shared" si="8"/>
        <v>1.1334229547466228E-2</v>
      </c>
      <c r="I33" s="177">
        <f t="shared" si="8"/>
        <v>1.1296804924856631E-2</v>
      </c>
      <c r="J33" s="177">
        <f t="shared" si="8"/>
        <v>9.7698718179545386E-3</v>
      </c>
      <c r="K33" s="178">
        <f t="shared" si="8"/>
        <v>9.3826148882393372E-3</v>
      </c>
      <c r="L33" s="174"/>
      <c r="M33" s="178">
        <f>AVERAGE(D52:INDEX(D52:K52,0,MATCH('RFPR cover'!$C$7,$D$6:$K$6,0)))/AVERAGE($D$66:INDEX($D$66:$K$66,0,MATCH('RFPR cover'!$C$7,$D$6:$K$6,0)))</f>
        <v>1.304739168801921E-2</v>
      </c>
      <c r="N33" s="178">
        <f t="shared" si="10"/>
        <v>1.21463052527931E-2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7.7433741271675362E-4</v>
      </c>
      <c r="E35" s="177">
        <f t="shared" si="8"/>
        <v>6.4360737991845166E-4</v>
      </c>
      <c r="F35" s="177">
        <f t="shared" si="8"/>
        <v>6.3829636755649891E-5</v>
      </c>
      <c r="G35" s="177">
        <f t="shared" si="8"/>
        <v>3.470599500698812E-4</v>
      </c>
      <c r="H35" s="177">
        <f t="shared" si="8"/>
        <v>9.8855243647658487E-5</v>
      </c>
      <c r="I35" s="177">
        <f t="shared" si="8"/>
        <v>0</v>
      </c>
      <c r="J35" s="177">
        <f t="shared" si="8"/>
        <v>5.1710914101364444E-5</v>
      </c>
      <c r="K35" s="178">
        <f t="shared" si="8"/>
        <v>1.0114456444518082E-3</v>
      </c>
      <c r="L35" s="174"/>
      <c r="M35" s="178">
        <f>AVERAGE(D54:INDEX(D54:K54,0,MATCH('RFPR cover'!$C$7,$D$6:$K$6,0)))/AVERAGE($D$66:INDEX($D$66:$K$66,0,MATCH('RFPR cover'!$C$7,$D$6:$K$6,0)))</f>
        <v>3.0947031187400812E-4</v>
      </c>
      <c r="N35" s="178">
        <f t="shared" si="10"/>
        <v>3.6909012759853258E-4</v>
      </c>
    </row>
    <row r="36" spans="2:15">
      <c r="B36" s="253" t="str">
        <f t="shared" si="9"/>
        <v>Losses discretionary reward scheme</v>
      </c>
      <c r="C36" s="255" t="s">
        <v>7</v>
      </c>
      <c r="D36" s="176">
        <f t="shared" si="8"/>
        <v>0</v>
      </c>
      <c r="E36" s="177">
        <f t="shared" si="8"/>
        <v>1.8771881914288175E-4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2.9882250599650002E-5</v>
      </c>
      <c r="N36" s="178">
        <f t="shared" si="10"/>
        <v>2.2132018461103598E-5</v>
      </c>
    </row>
    <row r="37" spans="2:15">
      <c r="B37" s="253" t="str">
        <f t="shared" si="9"/>
        <v xml:space="preserve">Network Innovation </v>
      </c>
      <c r="C37" s="255" t="s">
        <v>7</v>
      </c>
      <c r="D37" s="176">
        <f t="shared" si="8"/>
        <v>-1.0628350277220874E-4</v>
      </c>
      <c r="E37" s="177">
        <f t="shared" si="8"/>
        <v>-9.5684773000706238E-5</v>
      </c>
      <c r="F37" s="177">
        <f t="shared" si="8"/>
        <v>-2.5991756596608262E-4</v>
      </c>
      <c r="G37" s="177">
        <f t="shared" si="8"/>
        <v>-2.5297929302661672E-4</v>
      </c>
      <c r="H37" s="177">
        <f t="shared" si="8"/>
        <v>-2.379472069013562E-4</v>
      </c>
      <c r="I37" s="177">
        <f t="shared" si="8"/>
        <v>-2.5265727372877596E-4</v>
      </c>
      <c r="J37" s="177">
        <f t="shared" si="8"/>
        <v>-2.5738562851709032E-4</v>
      </c>
      <c r="K37" s="178">
        <f t="shared" si="8"/>
        <v>-2.4104353252269521E-4</v>
      </c>
      <c r="L37" s="174"/>
      <c r="M37" s="178">
        <f>AVERAGE(D56:INDEX(D56:K56,0,MATCH('RFPR cover'!$C$7,$D$6:$K$6,0)))/AVERAGE($D$66:INDEX($D$66:$K$66,0,MATCH('RFPR cover'!$C$7,$D$6:$K$6,0)))</f>
        <v>-2.039251280167598E-4</v>
      </c>
      <c r="N37" s="178">
        <f t="shared" si="10"/>
        <v>-2.1563706180358579E-4</v>
      </c>
    </row>
    <row r="38" spans="2:15">
      <c r="B38" s="253" t="str">
        <f>B57</f>
        <v>Penalties and fines</v>
      </c>
      <c r="C38" s="255" t="s">
        <v>7</v>
      </c>
      <c r="D38" s="186">
        <f t="shared" si="8"/>
        <v>-2.0320320503389096E-4</v>
      </c>
      <c r="E38" s="187">
        <f t="shared" si="8"/>
        <v>-1.5872905152298564E-4</v>
      </c>
      <c r="F38" s="187">
        <f t="shared" si="8"/>
        <v>-1.5647078553645411E-4</v>
      </c>
      <c r="G38" s="187">
        <f t="shared" si="8"/>
        <v>-2.1155933387010135E-4</v>
      </c>
      <c r="H38" s="187">
        <f t="shared" si="8"/>
        <v>-2.3198523581756218E-4</v>
      </c>
      <c r="I38" s="187">
        <f t="shared" si="8"/>
        <v>-1.8022071920037371E-4</v>
      </c>
      <c r="J38" s="187">
        <f t="shared" si="8"/>
        <v>-1.7461979615074493E-4</v>
      </c>
      <c r="K38" s="188">
        <f t="shared" si="8"/>
        <v>-1.6401460479247574E-4</v>
      </c>
      <c r="L38" s="174"/>
      <c r="M38" s="188">
        <f>AVERAGE(D57:INDEX(D57:K57,0,MATCH('RFPR cover'!$C$7,$D$6:$K$6,0)))/AVERAGE($D$66:INDEX($D$66:$K$66,0,MATCH('RFPR cover'!$C$7,$D$6:$K$6,0)))</f>
        <v>-1.9078668170953116E-4</v>
      </c>
      <c r="N38" s="188">
        <f t="shared" si="10"/>
        <v>-1.8519612133477431E-4</v>
      </c>
    </row>
    <row r="39" spans="2:15">
      <c r="B39" s="254" t="str">
        <f>B58</f>
        <v>RoRE - Operational performance</v>
      </c>
      <c r="C39" s="255" t="s">
        <v>7</v>
      </c>
      <c r="D39" s="189">
        <f t="shared" ref="D39:K39" si="11">SUM(D29:D38)</f>
        <v>4.8190835679345984E-2</v>
      </c>
      <c r="E39" s="190">
        <f t="shared" si="11"/>
        <v>5.5155160763149587E-2</v>
      </c>
      <c r="F39" s="190">
        <f t="shared" si="11"/>
        <v>5.3894866731894385E-2</v>
      </c>
      <c r="G39" s="190">
        <f t="shared" si="11"/>
        <v>5.75778782879093E-2</v>
      </c>
      <c r="H39" s="190">
        <f t="shared" si="11"/>
        <v>5.0807631508597344E-2</v>
      </c>
      <c r="I39" s="190">
        <f t="shared" si="11"/>
        <v>8.3518804992314302E-2</v>
      </c>
      <c r="J39" s="190">
        <f t="shared" si="11"/>
        <v>4.9431727292995317E-2</v>
      </c>
      <c r="K39" s="191">
        <f t="shared" si="11"/>
        <v>5.0473761347566509E-2</v>
      </c>
      <c r="L39" s="175"/>
      <c r="M39" s="191">
        <f>SUM(M29:M38)</f>
        <v>5.8397150874229475E-2</v>
      </c>
      <c r="N39" s="191">
        <f>SUM(N29:N38)</f>
        <v>5.6209204427431887E-2</v>
      </c>
    </row>
    <row r="40" spans="2:15">
      <c r="B40" s="253" t="s">
        <v>456</v>
      </c>
      <c r="C40" s="255" t="s">
        <v>7</v>
      </c>
      <c r="D40" s="176">
        <f>(D59+D60)/D$66</f>
        <v>-1.3954965110034427E-2</v>
      </c>
      <c r="E40" s="177">
        <f t="shared" ref="E40:K40" si="12">(E59+E60)/E$66</f>
        <v>-6.9974420640951896E-3</v>
      </c>
      <c r="F40" s="177">
        <f t="shared" si="12"/>
        <v>2.824817328252109E-3</v>
      </c>
      <c r="G40" s="177">
        <f t="shared" si="12"/>
        <v>-2.4831892181272422E-3</v>
      </c>
      <c r="H40" s="177">
        <f t="shared" si="12"/>
        <v>-4.1545754817664772E-3</v>
      </c>
      <c r="I40" s="177">
        <f t="shared" si="12"/>
        <v>-5.3230238708310527E-3</v>
      </c>
      <c r="J40" s="177">
        <f t="shared" si="12"/>
        <v>3.9121420516774405E-3</v>
      </c>
      <c r="K40" s="178">
        <f t="shared" si="12"/>
        <v>8.4986275412814779E-3</v>
      </c>
      <c r="L40" s="174"/>
      <c r="M40" s="178">
        <f>(AVERAGE(D59:INDEX(D59:K59,0,MATCH('RFPR cover'!$C$7,$D$6:$K$6,0)))+AVERAGE(D60:INDEX(D60:K60,0,MATCH('RFPR cover'!$C$7,$D$6:$K$6,0))))/AVERAGE($D$66:INDEX($D$66:$K$66,0,MATCH('RFPR cover'!$C$7,$D$6:$K$6,0)))</f>
        <v>-4.8465317327485886E-3</v>
      </c>
      <c r="N40" s="178">
        <f>(AVERAGE(D59:K59)+AVERAGE(D60:K60))/AVERAGE($D$66:$K$66)</f>
        <v>-1.9704919349917984E-3</v>
      </c>
    </row>
    <row r="41" spans="2:15">
      <c r="B41" s="253" t="s">
        <v>457</v>
      </c>
      <c r="C41" s="255" t="s">
        <v>7</v>
      </c>
      <c r="D41" s="176">
        <f>(D61+D62)/D$66</f>
        <v>-3.3962213655098876E-3</v>
      </c>
      <c r="E41" s="177">
        <f t="shared" ref="E41:K41" si="13">(E61+E62)/E$66</f>
        <v>-1.1049709509674949E-3</v>
      </c>
      <c r="F41" s="177">
        <f t="shared" si="13"/>
        <v>4.1304070508546356E-3</v>
      </c>
      <c r="G41" s="177">
        <f t="shared" si="13"/>
        <v>2.2789475507847953E-3</v>
      </c>
      <c r="H41" s="177">
        <f t="shared" si="13"/>
        <v>3.0636515077233408E-4</v>
      </c>
      <c r="I41" s="177">
        <f t="shared" si="13"/>
        <v>-2.9364419309331653E-3</v>
      </c>
      <c r="J41" s="177">
        <f t="shared" si="13"/>
        <v>-2.5748020898556272E-4</v>
      </c>
      <c r="K41" s="178">
        <f t="shared" si="13"/>
        <v>7.7125422456436686E-4</v>
      </c>
      <c r="L41" s="174"/>
      <c r="M41" s="178">
        <f>(AVERAGE(D61:INDEX(D61:K61,0,MATCH('RFPR cover'!$C$7,$D$6:$K$6,0)))+AVERAGE(D62:INDEX(D62:K62,0,MATCH('RFPR cover'!$C$7,$D$6:$K$6,0))))/AVERAGE($D$66:INDEX($D$66:$K$66,0,MATCH('RFPR cover'!$C$7,$D$6:$K$6,0)))</f>
        <v>-5.6132360494609333E-5</v>
      </c>
      <c r="N41" s="178">
        <f>(AVERAGE(D61:K61)+AVERAGE(D62:K62))/AVERAGE($D$66:$K$66)</f>
        <v>2.7210952961031367E-5</v>
      </c>
    </row>
    <row r="42" spans="2:15">
      <c r="B42" s="254" t="str">
        <f>B63</f>
        <v>RoRE - including financing and tax</v>
      </c>
      <c r="C42" s="255" t="s">
        <v>7</v>
      </c>
      <c r="D42" s="192">
        <f>SUM(D39:D41)</f>
        <v>3.083964920380167E-2</v>
      </c>
      <c r="E42" s="193">
        <f t="shared" ref="E42:K42" si="14">SUM(E39:E41)</f>
        <v>4.7052747748086904E-2</v>
      </c>
      <c r="F42" s="193">
        <f t="shared" si="14"/>
        <v>6.0850091111001127E-2</v>
      </c>
      <c r="G42" s="193">
        <f t="shared" si="14"/>
        <v>5.7373636620566854E-2</v>
      </c>
      <c r="H42" s="193">
        <f t="shared" si="14"/>
        <v>4.6959421177603204E-2</v>
      </c>
      <c r="I42" s="193">
        <f t="shared" si="14"/>
        <v>7.5259339190550084E-2</v>
      </c>
      <c r="J42" s="193">
        <f t="shared" si="14"/>
        <v>5.3086389135687195E-2</v>
      </c>
      <c r="K42" s="194">
        <f t="shared" si="14"/>
        <v>5.9743643113412355E-2</v>
      </c>
      <c r="L42" s="175"/>
      <c r="M42" s="194">
        <f>SUM(M39:M41)</f>
        <v>5.3494486780986283E-2</v>
      </c>
      <c r="N42" s="194">
        <f>SUM(N39:N41)</f>
        <v>5.4265923445401119E-2</v>
      </c>
    </row>
    <row r="43" spans="2:15" s="31" customFormat="1">
      <c r="B43" s="465"/>
      <c r="C43" s="466"/>
      <c r="D43" s="467"/>
      <c r="E43" s="467"/>
      <c r="F43" s="467"/>
      <c r="G43" s="467"/>
      <c r="H43" s="467"/>
      <c r="I43" s="467"/>
      <c r="J43" s="467"/>
      <c r="K43" s="467"/>
      <c r="L43" s="468"/>
      <c r="M43" s="467"/>
      <c r="N43" s="467"/>
    </row>
    <row r="44" spans="2:15" s="31" customFormat="1">
      <c r="B44" s="465"/>
      <c r="C44" s="466"/>
      <c r="D44" s="467"/>
      <c r="E44" s="467"/>
      <c r="F44" s="467"/>
      <c r="G44" s="467"/>
      <c r="H44" s="467"/>
      <c r="I44" s="467"/>
      <c r="J44" s="467"/>
      <c r="K44" s="467"/>
      <c r="L44" s="468"/>
      <c r="M44" s="467"/>
      <c r="N44" s="467"/>
    </row>
    <row r="45" spans="2:15" s="31" customFormat="1">
      <c r="B45" s="520" t="s">
        <v>395</v>
      </c>
      <c r="C45" s="521"/>
      <c r="D45" s="522"/>
      <c r="E45" s="522"/>
      <c r="F45" s="522"/>
      <c r="G45" s="522"/>
      <c r="H45" s="522"/>
      <c r="I45" s="522"/>
      <c r="J45" s="522"/>
      <c r="K45" s="522"/>
      <c r="L45" s="523"/>
      <c r="M45" s="522"/>
      <c r="N45" s="522"/>
      <c r="O45" s="218"/>
    </row>
    <row r="46" spans="2:15" s="31" customFormat="1">
      <c r="B46" s="525" t="str">
        <f>"Input values provided in "&amp;'RFPR cover'!C14&amp;" prices"</f>
        <v>Input values provided in £m 12/13 prices</v>
      </c>
      <c r="C46" s="524"/>
      <c r="D46" s="524"/>
      <c r="E46" s="524"/>
      <c r="F46" s="524"/>
      <c r="G46" s="524"/>
      <c r="H46" s="524"/>
      <c r="I46" s="524"/>
      <c r="J46" s="524"/>
      <c r="K46" s="524"/>
      <c r="L46" s="524"/>
      <c r="M46" s="524"/>
      <c r="N46" s="524"/>
      <c r="O46" s="524"/>
    </row>
    <row r="48" spans="2:15">
      <c r="B48" s="248" t="s">
        <v>227</v>
      </c>
      <c r="C48" s="337" t="str">
        <f>'RFPR cover'!$C$14</f>
        <v>£m 12/13</v>
      </c>
      <c r="D48" s="179">
        <f>'R9 - RAV'!D50</f>
        <v>31.063193714191307</v>
      </c>
      <c r="E48" s="180">
        <f>'R9 - RAV'!E50</f>
        <v>31.646578185898569</v>
      </c>
      <c r="F48" s="180">
        <f>'R9 - RAV'!F50</f>
        <v>31.994158142275047</v>
      </c>
      <c r="G48" s="180">
        <f>'R9 - RAV'!G50</f>
        <v>32.364631493688307</v>
      </c>
      <c r="H48" s="180">
        <f>'R9 - RAV'!H50</f>
        <v>32.820985682907583</v>
      </c>
      <c r="I48" s="180">
        <f>'R9 - RAV'!I50</f>
        <v>33.253193046845702</v>
      </c>
      <c r="J48" s="180">
        <f>'R9 - RAV'!J50</f>
        <v>33.740813381257752</v>
      </c>
      <c r="K48" s="181">
        <f>'R9 - RAV'!K50</f>
        <v>34.280508125691433</v>
      </c>
      <c r="M48" s="96">
        <f>SUM(D48:INDEX(D48:K48,0,MATCH('RFPR cover'!$C$7,$D$6:$K$6,0)))</f>
        <v>193.14274026580651</v>
      </c>
      <c r="N48" s="96">
        <f>SUM(D48:K48)</f>
        <v>261.1640617727557</v>
      </c>
    </row>
    <row r="49" spans="2:14">
      <c r="B49" s="248" t="s">
        <v>102</v>
      </c>
      <c r="C49" s="337" t="str">
        <f>'RFPR cover'!$C$14</f>
        <v>£m 12/13</v>
      </c>
      <c r="D49" s="252">
        <f>'R4 - Totex'!D35+'R4 - Totex'!D63</f>
        <v>-7.27087511243389</v>
      </c>
      <c r="E49" s="252">
        <f>'R4 - Totex'!E35+'R4 - Totex'!E63</f>
        <v>-2.5350496227894386</v>
      </c>
      <c r="F49" s="252">
        <f>'R4 - Totex'!F35+'R4 - Totex'!F63</f>
        <v>-0.86913319972161318</v>
      </c>
      <c r="G49" s="252">
        <f>'R4 - Totex'!G35+'R4 - Totex'!G63</f>
        <v>2.8180101639119455</v>
      </c>
      <c r="H49" s="252">
        <f>'R4 - Totex'!H35+'R4 - Totex'!H63</f>
        <v>-1.8506757285995983</v>
      </c>
      <c r="I49" s="252">
        <f>'R4 - Totex'!I35+'R4 - Totex'!I63</f>
        <v>23.911620621753968</v>
      </c>
      <c r="J49" s="252">
        <f>'R4 - Totex'!J35+'R4 - Totex'!J63</f>
        <v>-3.5329166893397392</v>
      </c>
      <c r="K49" s="252">
        <f>'R4 - Totex'!K35+'R4 - Totex'!K63</f>
        <v>-2.7318427840704289</v>
      </c>
      <c r="M49" s="96">
        <f>SUM(D49:INDEX(D49:K49,0,MATCH('RFPR cover'!$C$7,$D$6:$K$6,0)))</f>
        <v>14.203897122121374</v>
      </c>
      <c r="N49" s="96">
        <f>SUM(D49:K49)</f>
        <v>7.9391376487112062</v>
      </c>
    </row>
    <row r="50" spans="2:14">
      <c r="B50" s="250" t="s">
        <v>110</v>
      </c>
      <c r="C50" s="337" t="str">
        <f>'RFPR cover'!$C$14</f>
        <v>£m 12/13</v>
      </c>
      <c r="D50" s="243">
        <f>'R4 - Totex'!D79</f>
        <v>-0.86626036283610952</v>
      </c>
      <c r="E50" s="182">
        <f>'R4 - Totex'!E79</f>
        <v>-0.81019773780890636</v>
      </c>
      <c r="F50" s="182">
        <f>'R4 - Totex'!F79</f>
        <v>-0.78919084241395188</v>
      </c>
      <c r="G50" s="182">
        <f>'R4 - Totex'!G79</f>
        <v>-0.79061873066036981</v>
      </c>
      <c r="H50" s="182">
        <f>'R4 - Totex'!H79</f>
        <v>-0.74432653414361061</v>
      </c>
      <c r="I50" s="182">
        <f>'R4 - Totex'!I79</f>
        <v>-0.70697274816976396</v>
      </c>
      <c r="J50" s="182">
        <f>'R4 - Totex'!J79</f>
        <v>-0.65350946162011747</v>
      </c>
      <c r="K50" s="183">
        <f>'R4 - Totex'!K79</f>
        <v>-0.66429758885743451</v>
      </c>
      <c r="M50" s="96">
        <f>SUM(D50:INDEX(D50:K50,0,MATCH('RFPR cover'!$C$7,$D$6:$K$6,0)))</f>
        <v>-4.7075669560327116</v>
      </c>
      <c r="N50" s="96">
        <f t="shared" ref="N50:N57" si="15">SUM(D50:K50)</f>
        <v>-6.0253740065102637</v>
      </c>
    </row>
    <row r="51" spans="2:14">
      <c r="B51" s="251" t="str">
        <f>'R5 - Output Incentives'!B39</f>
        <v>Broad measure of customer service</v>
      </c>
      <c r="C51" s="337" t="str">
        <f>'RFPR cover'!$C$14</f>
        <v>£m 12/13</v>
      </c>
      <c r="D51" s="243">
        <f>'R5 - Output Incentives'!D39</f>
        <v>1.2110034753373273</v>
      </c>
      <c r="E51" s="182">
        <f>'R5 - Output Incentives'!E39</f>
        <v>1.9767278568831024</v>
      </c>
      <c r="F51" s="182">
        <f>'R5 - Output Incentives'!F39</f>
        <v>2.0747957793847651</v>
      </c>
      <c r="G51" s="182">
        <f>'R5 - Output Incentives'!G39</f>
        <v>2.1945031390277348</v>
      </c>
      <c r="H51" s="182">
        <f>'R5 - Output Incentives'!H39</f>
        <v>2.6989750268900208</v>
      </c>
      <c r="I51" s="182">
        <f>'R5 - Output Incentives'!I39</f>
        <v>2.5894890000000022</v>
      </c>
      <c r="J51" s="182">
        <f>'R5 - Output Incentives'!J39</f>
        <v>3.1650000000000005</v>
      </c>
      <c r="K51" s="183">
        <f>'R5 - Output Incentives'!K39</f>
        <v>3.2850000000000006</v>
      </c>
      <c r="M51" s="96">
        <f>SUM(D51:INDEX(D51:K51,0,MATCH('RFPR cover'!$C$7,$D$6:$K$6,0)))</f>
        <v>12.745494277522953</v>
      </c>
      <c r="N51" s="96">
        <f t="shared" si="15"/>
        <v>19.195494277522954</v>
      </c>
    </row>
    <row r="52" spans="2:14">
      <c r="B52" s="251" t="str">
        <f>'R5 - Output Incentives'!B40</f>
        <v>Interruptions-related quality of service</v>
      </c>
      <c r="C52" s="337" t="str">
        <f>'RFPR cover'!$C$14</f>
        <v>£m 12/13</v>
      </c>
      <c r="D52" s="243">
        <f>'R5 - Output Incentives'!D40</f>
        <v>10.600476480000001</v>
      </c>
      <c r="E52" s="182">
        <f>'R5 - Output Incentives'!E40</f>
        <v>10.935</v>
      </c>
      <c r="F52" s="182">
        <f>'R5 - Output Incentives'!F40</f>
        <v>10.88982144</v>
      </c>
      <c r="G52" s="182">
        <f>'R5 - Output Incentives'!G40</f>
        <v>10.91963754</v>
      </c>
      <c r="H52" s="182">
        <f>'R5 - Output Incentives'!H40</f>
        <v>9.3658907016769799</v>
      </c>
      <c r="I52" s="182">
        <f>'R5 - Output Incentives'!I40</f>
        <v>9.1810238383489384</v>
      </c>
      <c r="J52" s="182">
        <f>'R5 - Output Incentives'!J40</f>
        <v>7.9831931930960023</v>
      </c>
      <c r="K52" s="183">
        <f>'R5 - Output Incentives'!K40</f>
        <v>7.9189805471586681</v>
      </c>
      <c r="M52" s="96">
        <f>SUM(D52:INDEX(D52:K52,0,MATCH('RFPR cover'!$C$7,$D$6:$K$6,0)))</f>
        <v>61.891850000025926</v>
      </c>
      <c r="N52" s="96">
        <f t="shared" si="15"/>
        <v>77.794023740280593</v>
      </c>
    </row>
    <row r="53" spans="2:14">
      <c r="B53" s="251" t="str">
        <f>'R5 - Output Incentives'!B41</f>
        <v>Incentive on connections engagement</v>
      </c>
      <c r="C53" s="337"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37" t="str">
        <f>'RFPR cover'!$C$14</f>
        <v>£m 12/13</v>
      </c>
      <c r="D54" s="243">
        <f>'R5 - Output Incentives'!D42</f>
        <v>0.56360440677966106</v>
      </c>
      <c r="E54" s="182">
        <f>'R5 - Output Incentives'!E42</f>
        <v>0.48599999999999999</v>
      </c>
      <c r="F54" s="182">
        <f>'R5 - Output Incentives'!F42</f>
        <v>5.0949000000000147E-2</v>
      </c>
      <c r="G54" s="182">
        <f>'R5 - Output Incentives'!G42</f>
        <v>0.28576800000000024</v>
      </c>
      <c r="H54" s="182">
        <f>'R5 - Output Incentives'!H42</f>
        <v>8.1687723317602573E-2</v>
      </c>
      <c r="I54" s="182">
        <f>'R5 - Output Incentives'!I42</f>
        <v>0</v>
      </c>
      <c r="J54" s="182">
        <f>'R5 - Output Incentives'!J42</f>
        <v>4.2254210204081682E-2</v>
      </c>
      <c r="K54" s="183">
        <f>'R5 - Output Incentives'!K42</f>
        <v>0.85366589999999987</v>
      </c>
      <c r="M54" s="96">
        <f>SUM(D54:INDEX(D54:K54,0,MATCH('RFPR cover'!$C$7,$D$6:$K$6,0)))</f>
        <v>1.468009130097264</v>
      </c>
      <c r="N54" s="96">
        <f t="shared" si="15"/>
        <v>2.3639292403013457</v>
      </c>
    </row>
    <row r="55" spans="2:14">
      <c r="B55" s="251" t="str">
        <f>'R5 - Output Incentives'!B43</f>
        <v>Losses discretionary reward scheme</v>
      </c>
      <c r="C55" s="337" t="str">
        <f>'RFPR cover'!$C$14</f>
        <v>£m 12/13</v>
      </c>
      <c r="D55" s="243">
        <f>'R5 - Output Incentives'!D43</f>
        <v>0</v>
      </c>
      <c r="E55" s="182">
        <f>'R5 - Output Incentives'!E43</f>
        <v>0.14174999999999999</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0.14174999999999999</v>
      </c>
      <c r="N55" s="96">
        <f t="shared" si="15"/>
        <v>0.14174999999999999</v>
      </c>
    </row>
    <row r="56" spans="2:14">
      <c r="B56" s="248" t="s">
        <v>498</v>
      </c>
      <c r="C56" s="337" t="str">
        <f>'RFPR cover'!$C$14</f>
        <v>£m 12/13</v>
      </c>
      <c r="D56" s="243">
        <f>-'R6 - Innovation'!D28</f>
        <v>-7.7358848412386841E-2</v>
      </c>
      <c r="E56" s="182">
        <f>-'R6 - Innovation'!E28</f>
        <v>-7.2253366150393378E-2</v>
      </c>
      <c r="F56" s="182">
        <f>-'R6 - Innovation'!F28</f>
        <v>-0.20746695017395372</v>
      </c>
      <c r="G56" s="182">
        <f>-'R6 - Innovation'!G28</f>
        <v>-0.2083023022249437</v>
      </c>
      <c r="H56" s="182">
        <f>-'R6 - Innovation'!H28</f>
        <v>-0.19662452778765385</v>
      </c>
      <c r="I56" s="182">
        <f>-'R6 - Innovation'!I28</f>
        <v>-0.20533703719466362</v>
      </c>
      <c r="J56" s="182">
        <f>-'R6 - Innovation'!J28</f>
        <v>-0.21031588089029452</v>
      </c>
      <c r="K56" s="183">
        <f>-'R6 - Innovation'!K28</f>
        <v>-0.20344211798122988</v>
      </c>
      <c r="M56" s="96">
        <f>SUM(D56:INDEX(D56:K56,0,MATCH('RFPR cover'!$C$7,$D$6:$K$6,0)))</f>
        <v>-0.96734303194399507</v>
      </c>
      <c r="N56" s="96">
        <f t="shared" si="15"/>
        <v>-1.3811010308155194</v>
      </c>
    </row>
    <row r="57" spans="2:14">
      <c r="B57" s="248" t="s">
        <v>35</v>
      </c>
      <c r="C57" s="337" t="str">
        <f>'RFPR cover'!$C$14</f>
        <v>£m 12/13</v>
      </c>
      <c r="D57" s="244">
        <f>-'R13 - Other Activities '!D8</f>
        <v>-0.1479022193013225</v>
      </c>
      <c r="E57" s="244">
        <f>-'R13 - Other Activities '!E8</f>
        <v>-0.11985928292174858</v>
      </c>
      <c r="F57" s="244">
        <f>-'R13 - Other Activities '!F8</f>
        <v>-0.12489543192631718</v>
      </c>
      <c r="G57" s="244">
        <f>-'R13 - Other Activities '!G8</f>
        <v>-0.174197246640582</v>
      </c>
      <c r="H57" s="244">
        <f>-'R13 - Other Activities '!H8</f>
        <v>-0.19169793182420292</v>
      </c>
      <c r="I57" s="244">
        <f>-'R13 - Other Activities '!I8</f>
        <v>-0.14646714094374966</v>
      </c>
      <c r="J57" s="244">
        <f>-'R13 - Other Activities '!J8</f>
        <v>-0.14268596292620522</v>
      </c>
      <c r="K57" s="244">
        <f>-'R13 - Other Activities '!K8</f>
        <v>-0.13842926308630146</v>
      </c>
      <c r="M57" s="96">
        <f>SUM(D57:INDEX(D57:K57,0,MATCH('RFPR cover'!$C$7,$D$6:$K$6,0)))</f>
        <v>-0.9050192535579229</v>
      </c>
      <c r="N57" s="96">
        <f t="shared" si="15"/>
        <v>-1.1861344795704296</v>
      </c>
    </row>
    <row r="58" spans="2:14">
      <c r="B58" s="249" t="s">
        <v>103</v>
      </c>
      <c r="C58" s="337" t="str">
        <f>'RFPR cover'!$C$14</f>
        <v>£m 12/13</v>
      </c>
      <c r="D58" s="245">
        <f t="shared" ref="D58:K58" si="16">SUM(D48:D57)</f>
        <v>35.075881533324583</v>
      </c>
      <c r="E58" s="144">
        <f t="shared" si="16"/>
        <v>41.648696033111186</v>
      </c>
      <c r="F58" s="144">
        <f t="shared" si="16"/>
        <v>43.019037937423981</v>
      </c>
      <c r="G58" s="144">
        <f t="shared" si="16"/>
        <v>47.409432057102087</v>
      </c>
      <c r="H58" s="144">
        <f t="shared" si="16"/>
        <v>41.984214412437119</v>
      </c>
      <c r="I58" s="144">
        <f t="shared" si="16"/>
        <v>67.876549580640429</v>
      </c>
      <c r="J58" s="144">
        <f t="shared" si="16"/>
        <v>40.391832789781482</v>
      </c>
      <c r="K58" s="145">
        <f t="shared" si="16"/>
        <v>42.600142818854707</v>
      </c>
      <c r="M58" s="143">
        <f>SUM(M48:M57)</f>
        <v>277.01381155403942</v>
      </c>
      <c r="N58" s="145">
        <f>SUM(N48:N57)</f>
        <v>360.00578716267557</v>
      </c>
    </row>
    <row r="59" spans="2:14">
      <c r="B59" s="248" t="s">
        <v>440</v>
      </c>
      <c r="C59" s="337" t="str">
        <f>'RFPR cover'!$C$14</f>
        <v>£m 12/13</v>
      </c>
      <c r="D59" s="243">
        <f>'R7 - Financing'!D88+'R10 - Tax'!D101</f>
        <v>-17.889805976947553</v>
      </c>
      <c r="E59" s="243">
        <f>'R7 - Financing'!E88+'R10 - Tax'!E101</f>
        <v>-11.325639439916889</v>
      </c>
      <c r="F59" s="243">
        <f>'R7 - Financing'!F88+'R10 - Tax'!F101</f>
        <v>-1.0012045264669971</v>
      </c>
      <c r="G59" s="243">
        <f>'R7 - Financing'!G88+'R10 - Tax'!G101</f>
        <v>-7.2139782002872819</v>
      </c>
      <c r="H59" s="243">
        <f>'R7 - Financing'!H88+'R10 - Tax'!H101</f>
        <v>-8.8570954621383571</v>
      </c>
      <c r="I59" s="243">
        <f>'R7 - Financing'!I88+'R10 - Tax'!I101</f>
        <v>-9.9445641447710695</v>
      </c>
      <c r="J59" s="243">
        <f>'R7 - Financing'!J88+'R10 - Tax'!J101</f>
        <v>1.5300071695883177</v>
      </c>
      <c r="K59" s="243">
        <f>'R7 - Financing'!K88+'R10 - Tax'!K101</f>
        <v>7.459664984572461</v>
      </c>
      <c r="M59" s="96">
        <f>SUM(D59:INDEX(D59:K59,0,MATCH('RFPR cover'!$C$7,$D$6:$K$6,0)))</f>
        <v>-56.232287750528151</v>
      </c>
      <c r="N59" s="96">
        <f>SUM(D59:K59)</f>
        <v>-47.242615596367372</v>
      </c>
    </row>
    <row r="60" spans="2:14">
      <c r="B60" s="248" t="s">
        <v>435</v>
      </c>
      <c r="C60" s="337" t="str">
        <f>'RFPR cover'!$C$14</f>
        <v>£m 12/13</v>
      </c>
      <c r="D60" s="243">
        <f>'R7 - Financing'!D90+'R10 - Tax'!D102</f>
        <v>7.7326319810827764</v>
      </c>
      <c r="E60" s="243">
        <f>'R7 - Financing'!E90+'R10 - Tax'!E102</f>
        <v>6.0417397376152238</v>
      </c>
      <c r="F60" s="243">
        <f>'R7 - Financing'!F90+'R10 - Tax'!F102</f>
        <v>3.2559818583210416</v>
      </c>
      <c r="G60" s="243">
        <f>'R7 - Financing'!G90+'R10 - Tax'!G102</f>
        <v>5.1693285184588147</v>
      </c>
      <c r="H60" s="243">
        <f>'R7 - Financing'!H90+'R10 - Tax'!H102</f>
        <v>5.4240169532607556</v>
      </c>
      <c r="I60" s="243">
        <f>'R7 - Financing'!I90+'R10 - Tax'!I102</f>
        <v>5.6184905889934775</v>
      </c>
      <c r="J60" s="243">
        <f>'R7 - Financing'!J90+'R10 - Tax'!J102</f>
        <v>1.6666965722131493</v>
      </c>
      <c r="K60" s="243">
        <f>'R7 - Financing'!K90+'R10 - Tax'!K102</f>
        <v>-0.28677480645027709</v>
      </c>
      <c r="M60" s="96">
        <f>SUM(D60:INDEX(D60:K60,0,MATCH('RFPR cover'!$C$7,$D$6:$K$6,0)))</f>
        <v>33.242189637732096</v>
      </c>
      <c r="N60" s="96">
        <f>SUM(D60:K60)</f>
        <v>34.622111403494969</v>
      </c>
    </row>
    <row r="61" spans="2:14">
      <c r="B61" s="248" t="s">
        <v>441</v>
      </c>
      <c r="C61" s="337" t="str">
        <f>'RFPR cover'!$C$14</f>
        <v>£m 12/13</v>
      </c>
      <c r="D61" s="243">
        <f>'R10 - Tax'!D94-'R10 - Tax'!D101</f>
        <v>-2.4719525320169211</v>
      </c>
      <c r="E61" s="243">
        <f>'R10 - Tax'!E94-'R10 - Tax'!E101</f>
        <v>-0.83438428291211508</v>
      </c>
      <c r="F61" s="243">
        <f>'R10 - Tax'!F94-'R10 - Tax'!F101</f>
        <v>3.2969028108305238</v>
      </c>
      <c r="G61" s="243">
        <f>'R10 - Tax'!G94-'R10 - Tax'!G101</f>
        <v>1.8764777772875822</v>
      </c>
      <c r="H61" s="243">
        <f>'R10 - Tax'!H94-'R10 - Tax'!H101</f>
        <v>0.25316079094038835</v>
      </c>
      <c r="I61" s="243">
        <f>'R10 - Tax'!I94-'R10 - Tax'!I101</f>
        <v>-2.3864750738950167</v>
      </c>
      <c r="J61" s="243">
        <f>'R10 - Tax'!J94-'R10 - Tax'!J101</f>
        <v>-0.21039316482668363</v>
      </c>
      <c r="K61" s="243">
        <f>'R10 - Tax'!K94-'R10 - Tax'!K101</f>
        <v>0.65094296994910072</v>
      </c>
      <c r="M61" s="96">
        <f>SUM(D61:INDEX(D61:K61,0,MATCH('RFPR cover'!$C$7,$D$6:$K$6,0)))</f>
        <v>-0.26627050976555866</v>
      </c>
      <c r="N61" s="96">
        <f>SUM(D61:K61)</f>
        <v>0.17427929535685843</v>
      </c>
    </row>
    <row r="62" spans="2:14">
      <c r="B62" s="248" t="s">
        <v>436</v>
      </c>
      <c r="C62" s="337" t="str">
        <f>'RFPR cover'!$C$14</f>
        <v>£m 12/13</v>
      </c>
      <c r="D62" s="243">
        <f>'R10 - Tax'!D96-'R10 - Tax'!D102</f>
        <v>0</v>
      </c>
      <c r="E62" s="243">
        <f>'R10 - Tax'!E96-'R10 - Tax'!E102</f>
        <v>0</v>
      </c>
      <c r="F62" s="243">
        <f>'R10 - Tax'!F96-'R10 - Tax'!F102</f>
        <v>0</v>
      </c>
      <c r="G62" s="243">
        <f>'R10 - Tax'!G96-'R10 - Tax'!G102</f>
        <v>0</v>
      </c>
      <c r="H62" s="243">
        <f>'R10 - Tax'!H96-'R10 - Tax'!H102</f>
        <v>0</v>
      </c>
      <c r="I62" s="243">
        <f>'R10 - Tax'!I96-'R10 - Tax'!I102</f>
        <v>3.5527136788005009E-15</v>
      </c>
      <c r="J62" s="243">
        <f>'R10 - Tax'!J96-'R10 - Tax'!J102</f>
        <v>0</v>
      </c>
      <c r="K62" s="243">
        <f>'R10 - Tax'!K96-'R10 - Tax'!K102</f>
        <v>0</v>
      </c>
      <c r="M62" s="96">
        <f>SUM(D62:INDEX(D62:K62,0,MATCH('RFPR cover'!$C$7,$D$6:$K$6,0)))</f>
        <v>3.5527136788005009E-15</v>
      </c>
      <c r="N62" s="96">
        <f>SUM(D62:K62)</f>
        <v>3.5527136788005009E-15</v>
      </c>
    </row>
    <row r="63" spans="2:14">
      <c r="B63" s="249" t="s">
        <v>104</v>
      </c>
      <c r="C63" s="337" t="str">
        <f>'RFPR cover'!$C$14</f>
        <v>£m 12/13</v>
      </c>
      <c r="D63" s="246">
        <f>SUM(D58:D62)</f>
        <v>22.446755005442885</v>
      </c>
      <c r="E63" s="147">
        <f t="shared" ref="E63:K63" si="17">SUM(E58:E62)</f>
        <v>35.5304120478974</v>
      </c>
      <c r="F63" s="147">
        <f t="shared" si="17"/>
        <v>48.570718080108549</v>
      </c>
      <c r="G63" s="147">
        <f t="shared" si="17"/>
        <v>47.241260152561203</v>
      </c>
      <c r="H63" s="147">
        <f t="shared" si="17"/>
        <v>38.804296694499911</v>
      </c>
      <c r="I63" s="147">
        <f t="shared" si="17"/>
        <v>61.164000950967818</v>
      </c>
      <c r="J63" s="147">
        <f t="shared" si="17"/>
        <v>43.378143366756262</v>
      </c>
      <c r="K63" s="148">
        <f t="shared" si="17"/>
        <v>50.423975966925994</v>
      </c>
      <c r="M63" s="146">
        <f>SUM(M58:M62)</f>
        <v>253.75744293147784</v>
      </c>
      <c r="N63" s="148">
        <f>SUM(N58:N62)</f>
        <v>347.55956226516003</v>
      </c>
    </row>
    <row r="64" spans="2:14">
      <c r="B64" s="248"/>
      <c r="D64" s="415"/>
    </row>
    <row r="65" spans="2:11">
      <c r="B65" s="248" t="s">
        <v>231</v>
      </c>
      <c r="C65" s="337" t="str">
        <f>'RFPR cover'!$C$14</f>
        <v>£m 12/13</v>
      </c>
      <c r="D65" s="242">
        <f>'R9 - RAV'!D46</f>
        <v>517.71989523652178</v>
      </c>
      <c r="E65" s="180">
        <f>'R9 - RAV'!E46</f>
        <v>527.44296976497617</v>
      </c>
      <c r="F65" s="180">
        <f>'R9 - RAV'!F46</f>
        <v>533.23596903791747</v>
      </c>
      <c r="G65" s="180">
        <f>'R9 - RAV'!G46</f>
        <v>539.41052489480512</v>
      </c>
      <c r="H65" s="180">
        <f>'R9 - RAV'!H46</f>
        <v>547.01642804845972</v>
      </c>
      <c r="I65" s="180">
        <f>'R9 - RAV'!I46</f>
        <v>554.21988411409507</v>
      </c>
      <c r="J65" s="180">
        <f>'R9 - RAV'!J46</f>
        <v>562.34688968762919</v>
      </c>
      <c r="K65" s="181">
        <f>'R9 - RAV'!K46</f>
        <v>571.34180209485726</v>
      </c>
    </row>
    <row r="66" spans="2:11">
      <c r="B66" s="248" t="s">
        <v>107</v>
      </c>
      <c r="C66" s="337" t="str">
        <f>'RFPR cover'!$C$14</f>
        <v>£m 12/13</v>
      </c>
      <c r="D66" s="247">
        <f>'R8 - Net Debt'!D62</f>
        <v>727.85377217182588</v>
      </c>
      <c r="E66" s="184">
        <f>'R8 - Net Debt'!E62</f>
        <v>755.11874966626181</v>
      </c>
      <c r="F66" s="184">
        <f>'R8 - Net Debt'!F62</f>
        <v>798.20288175916005</v>
      </c>
      <c r="G66" s="184">
        <f>'R8 - Net Debt'!G62</f>
        <v>823.39664931796449</v>
      </c>
      <c r="H66" s="184">
        <f>'R8 - Net Debt'!H62</f>
        <v>826.33677590998934</v>
      </c>
      <c r="I66" s="184">
        <f>'R8 - Net Debt'!I62</f>
        <v>812.70977939503155</v>
      </c>
      <c r="J66" s="184">
        <f>'R8 - Net Debt'!J62</f>
        <v>817.12363701895504</v>
      </c>
      <c r="K66" s="185">
        <f>'R8 - Net Debt'!K62</f>
        <v>844.00571071980528</v>
      </c>
    </row>
  </sheetData>
  <sheetProtection password="DA3D" sheet="1" objects="1" scenarios="1"/>
  <conditionalFormatting sqref="D5:K6">
    <cfRule type="expression" dxfId="77" priority="4">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activeCell="A4" sqref="A4"/>
      <selection pane="bottomLeft" activeCell="B21" sqref="B21"/>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08" t="s">
        <v>119</v>
      </c>
      <c r="B1" s="909"/>
      <c r="C1" s="276"/>
      <c r="D1" s="275"/>
      <c r="E1" s="275"/>
      <c r="F1" s="275"/>
      <c r="G1" s="275"/>
      <c r="H1" s="275"/>
      <c r="I1" s="275"/>
      <c r="J1" s="275"/>
      <c r="K1" s="275"/>
      <c r="L1" s="277"/>
    </row>
    <row r="2" spans="1:12" s="31" customFormat="1" ht="20.25">
      <c r="A2" s="897" t="str">
        <f>'RFPR cover'!C5</f>
        <v>NPgY</v>
      </c>
      <c r="B2" s="910"/>
      <c r="C2" s="135"/>
      <c r="D2" s="29"/>
      <c r="E2" s="29"/>
      <c r="F2" s="29"/>
      <c r="G2" s="29"/>
      <c r="H2" s="29"/>
      <c r="I2" s="27"/>
      <c r="J2" s="27"/>
      <c r="K2" s="27"/>
      <c r="L2" s="124"/>
    </row>
    <row r="3" spans="1:12" s="31" customFormat="1" ht="20.25">
      <c r="A3" s="900">
        <f>'RFPR cover'!C7</f>
        <v>2021</v>
      </c>
      <c r="B3" s="911"/>
      <c r="C3" s="278"/>
      <c r="D3" s="261"/>
      <c r="E3" s="261"/>
      <c r="F3" s="261"/>
      <c r="G3" s="261"/>
      <c r="H3" s="261"/>
      <c r="I3" s="256"/>
      <c r="J3" s="256"/>
      <c r="K3" s="256"/>
      <c r="L3" s="262"/>
    </row>
    <row r="4" spans="1:12" s="35" customFormat="1" ht="12.75" customHeight="1">
      <c r="B4" s="226"/>
      <c r="C4" s="139"/>
      <c r="L4" s="58"/>
    </row>
    <row r="5" spans="1:12" s="2" customFormat="1">
      <c r="B5" s="130"/>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64"/>
      <c r="C7" s="153"/>
      <c r="D7" s="50"/>
      <c r="E7" s="50"/>
      <c r="F7" s="50"/>
      <c r="G7" s="50"/>
      <c r="H7" s="50"/>
      <c r="I7" s="50"/>
      <c r="J7" s="50"/>
      <c r="K7" s="50"/>
      <c r="L7" s="58"/>
    </row>
    <row r="8" spans="1:12" s="2" customFormat="1">
      <c r="B8" s="765" t="s">
        <v>154</v>
      </c>
      <c r="C8" s="151"/>
      <c r="D8" s="81"/>
      <c r="E8" s="81"/>
      <c r="F8" s="81"/>
      <c r="G8" s="81"/>
      <c r="H8" s="81"/>
      <c r="I8" s="81"/>
      <c r="J8" s="81"/>
      <c r="K8" s="81"/>
      <c r="L8" s="273"/>
    </row>
    <row r="9" spans="1:12" s="35" customFormat="1">
      <c r="A9" s="2"/>
      <c r="B9" s="766"/>
      <c r="C9" s="139"/>
      <c r="L9" s="58"/>
    </row>
    <row r="10" spans="1:12" s="2" customFormat="1">
      <c r="B10" s="767" t="s">
        <v>388</v>
      </c>
      <c r="C10" s="152" t="str">
        <f>'RFPR cover'!$C$14</f>
        <v>£m 12/13</v>
      </c>
      <c r="D10" s="590">
        <v>323.60000000000002</v>
      </c>
      <c r="E10" s="591">
        <v>322</v>
      </c>
      <c r="F10" s="591">
        <v>322</v>
      </c>
      <c r="G10" s="591">
        <v>322</v>
      </c>
      <c r="H10" s="591">
        <v>322</v>
      </c>
      <c r="I10" s="591">
        <v>322</v>
      </c>
      <c r="J10" s="591"/>
      <c r="K10" s="591"/>
      <c r="L10" s="58"/>
    </row>
    <row r="11" spans="1:12" s="2" customFormat="1">
      <c r="B11" s="767" t="s">
        <v>389</v>
      </c>
      <c r="C11" s="152" t="str">
        <f>'RFPR cover'!$C$14</f>
        <v>£m 12/13</v>
      </c>
      <c r="D11" s="592">
        <v>0</v>
      </c>
      <c r="E11" s="593">
        <v>1.2</v>
      </c>
      <c r="F11" s="593">
        <v>-2.8</v>
      </c>
      <c r="G11" s="593">
        <v>-7.9</v>
      </c>
      <c r="H11" s="593">
        <v>-11.9</v>
      </c>
      <c r="I11" s="593">
        <v>-8.6</v>
      </c>
      <c r="J11" s="593"/>
      <c r="K11" s="593"/>
      <c r="L11" s="58"/>
    </row>
    <row r="12" spans="1:12" s="2" customFormat="1">
      <c r="B12" s="767" t="s">
        <v>146</v>
      </c>
      <c r="C12" s="152" t="str">
        <f>'RFPR cover'!$C$14</f>
        <v>£m 12/13</v>
      </c>
      <c r="D12" s="592">
        <v>0</v>
      </c>
      <c r="E12" s="593">
        <v>0</v>
      </c>
      <c r="F12" s="593">
        <v>-7.1184018338814683</v>
      </c>
      <c r="G12" s="593">
        <v>-1.2680552279999584</v>
      </c>
      <c r="H12" s="593">
        <v>0.79936715651976464</v>
      </c>
      <c r="I12" s="593">
        <v>-0.33603996691378851</v>
      </c>
      <c r="J12" s="593"/>
      <c r="K12" s="593"/>
      <c r="L12" s="58"/>
    </row>
    <row r="13" spans="1:12" s="2" customFormat="1">
      <c r="B13" s="767" t="s">
        <v>377</v>
      </c>
      <c r="C13" s="153" t="s">
        <v>126</v>
      </c>
      <c r="D13" s="817">
        <v>1.0820000000000001</v>
      </c>
      <c r="E13" s="818">
        <v>1.087</v>
      </c>
      <c r="F13" s="818">
        <v>1.121</v>
      </c>
      <c r="G13" s="818">
        <v>1.159</v>
      </c>
      <c r="H13" s="818">
        <v>1.198</v>
      </c>
      <c r="I13" s="818">
        <v>1.2170000000000001</v>
      </c>
      <c r="J13" s="818"/>
      <c r="K13" s="818"/>
      <c r="L13" s="58"/>
    </row>
    <row r="14" spans="1:12" s="2" customFormat="1">
      <c r="B14" s="768" t="s">
        <v>195</v>
      </c>
      <c r="C14" s="267" t="s">
        <v>127</v>
      </c>
      <c r="D14" s="625">
        <f>SUM(D10:D12)*D13</f>
        <v>350.13520000000005</v>
      </c>
      <c r="E14" s="626">
        <f t="shared" ref="E14:K14" si="1">SUM(E10:E12)*E13</f>
        <v>351.3184</v>
      </c>
      <c r="F14" s="626">
        <f t="shared" si="1"/>
        <v>349.84347154421886</v>
      </c>
      <c r="G14" s="626">
        <f t="shared" si="1"/>
        <v>362.57222399074806</v>
      </c>
      <c r="H14" s="626">
        <f t="shared" si="1"/>
        <v>372.45744185351072</v>
      </c>
      <c r="I14" s="626">
        <f t="shared" si="1"/>
        <v>380.99883936026589</v>
      </c>
      <c r="J14" s="626">
        <f t="shared" si="1"/>
        <v>0</v>
      </c>
      <c r="K14" s="627">
        <f t="shared" si="1"/>
        <v>0</v>
      </c>
      <c r="L14" s="58"/>
    </row>
    <row r="15" spans="1:12" s="2" customFormat="1">
      <c r="B15" s="214" t="s">
        <v>130</v>
      </c>
      <c r="C15" s="153" t="s">
        <v>127</v>
      </c>
      <c r="D15" s="594">
        <f>'R5 - Output Incentives'!D102</f>
        <v>8.0071736145861934</v>
      </c>
      <c r="E15" s="595">
        <f>'R5 - Output Incentives'!E102</f>
        <v>12.91239504929672</v>
      </c>
      <c r="F15" s="596">
        <f>'R5 - Output Incentives'!F102</f>
        <v>18.300072702589507</v>
      </c>
      <c r="G15" s="596">
        <f>'R5 - Output Incentives'!G102</f>
        <v>20.096163444317376</v>
      </c>
      <c r="H15" s="596">
        <f>'R5 - Output Incentives'!H102</f>
        <v>20.209826451228658</v>
      </c>
      <c r="I15" s="596">
        <f>'R5 - Output Incentives'!I102</f>
        <v>21.089873035145512</v>
      </c>
      <c r="J15" s="596">
        <f>'R5 - Output Incentives'!J102</f>
        <v>19.355661175235603</v>
      </c>
      <c r="K15" s="597">
        <f>'R5 - Output Incentives'!K102</f>
        <v>19.200140078383093</v>
      </c>
      <c r="L15" s="58"/>
    </row>
    <row r="16" spans="1:12" s="2" customFormat="1">
      <c r="B16" s="769" t="s">
        <v>390</v>
      </c>
      <c r="C16" s="153" t="s">
        <v>127</v>
      </c>
      <c r="D16" s="592">
        <v>0</v>
      </c>
      <c r="E16" s="593">
        <v>0</v>
      </c>
      <c r="F16" s="593">
        <v>0.59087356208055442</v>
      </c>
      <c r="G16" s="593">
        <v>2.3262015593388146</v>
      </c>
      <c r="H16" s="593">
        <v>-6.6216721673126573</v>
      </c>
      <c r="I16" s="593">
        <v>-7.6679877733941977</v>
      </c>
      <c r="J16" s="593"/>
      <c r="K16" s="593"/>
      <c r="L16" s="58"/>
    </row>
    <row r="17" spans="2:12" s="2" customFormat="1">
      <c r="B17" s="769" t="s">
        <v>133</v>
      </c>
      <c r="C17" s="153" t="s">
        <v>127</v>
      </c>
      <c r="D17" s="594">
        <f>'R6 - Innovation'!D12</f>
        <v>0.73822394229707533</v>
      </c>
      <c r="E17" s="595">
        <f>'R6 - Innovation'!E12</f>
        <v>0.70427741300225</v>
      </c>
      <c r="F17" s="596">
        <f>'R6 - Innovation'!F12</f>
        <v>2.0979214020467616</v>
      </c>
      <c r="G17" s="596">
        <f>'R6 - Innovation'!G12</f>
        <v>2.1707300613004969</v>
      </c>
      <c r="H17" s="596">
        <f>'R6 - Innovation'!H12</f>
        <v>2.1020787332066373</v>
      </c>
      <c r="I17" s="596">
        <f>'R6 - Innovation'!I12</f>
        <v>2.2218470296678596</v>
      </c>
      <c r="J17" s="596">
        <f>'R6 - Innovation'!J12</f>
        <v>2.3360271447153234</v>
      </c>
      <c r="K17" s="597">
        <f>'R6 - Innovation'!K12</f>
        <v>2.3291637889675827</v>
      </c>
      <c r="L17" s="58"/>
    </row>
    <row r="18" spans="2:12" s="2" customFormat="1">
      <c r="B18" s="769" t="s">
        <v>132</v>
      </c>
      <c r="C18" s="153" t="s">
        <v>127</v>
      </c>
      <c r="D18" s="594">
        <f>'R6 - Innovation'!D17</f>
        <v>1.58060117</v>
      </c>
      <c r="E18" s="595">
        <f>'R6 - Innovation'!E17</f>
        <v>8.3856570000000005E-2</v>
      </c>
      <c r="F18" s="596">
        <f>'R6 - Innovation'!F17</f>
        <v>0.24265197999999999</v>
      </c>
      <c r="G18" s="596">
        <f>'R6 - Innovation'!G17</f>
        <v>0.65832199000000002</v>
      </c>
      <c r="H18" s="596">
        <f>'R6 - Innovation'!H17</f>
        <v>8.9907860000000006E-2</v>
      </c>
      <c r="I18" s="596">
        <f>'R6 - Innovation'!I17</f>
        <v>-0.24241409999999999</v>
      </c>
      <c r="J18" s="596">
        <f>'R6 - Innovation'!J17</f>
        <v>0</v>
      </c>
      <c r="K18" s="597">
        <f>'R6 - Innovation'!K17</f>
        <v>0</v>
      </c>
      <c r="L18" s="58"/>
    </row>
    <row r="19" spans="2:12" s="2" customFormat="1">
      <c r="B19" s="538" t="s">
        <v>546</v>
      </c>
      <c r="C19" s="153" t="s">
        <v>127</v>
      </c>
      <c r="D19" s="592">
        <v>-10.991663877009819</v>
      </c>
      <c r="E19" s="593">
        <v>-11.798477154550016</v>
      </c>
      <c r="F19" s="593">
        <v>-7.5166364663786425</v>
      </c>
      <c r="G19" s="593">
        <v>0</v>
      </c>
      <c r="H19" s="593">
        <v>0</v>
      </c>
      <c r="I19" s="593">
        <v>0</v>
      </c>
      <c r="J19" s="593"/>
      <c r="K19" s="593"/>
      <c r="L19" s="58"/>
    </row>
    <row r="20" spans="2:12" s="2" customFormat="1">
      <c r="B20" s="538" t="s">
        <v>242</v>
      </c>
      <c r="C20" s="153" t="s">
        <v>127</v>
      </c>
      <c r="D20" s="592"/>
      <c r="E20" s="593"/>
      <c r="F20" s="593"/>
      <c r="G20" s="593"/>
      <c r="H20" s="593"/>
      <c r="I20" s="593"/>
      <c r="J20" s="593"/>
      <c r="K20" s="593"/>
      <c r="L20" s="58"/>
    </row>
    <row r="21" spans="2:12" s="2" customFormat="1">
      <c r="B21" s="538" t="s">
        <v>242</v>
      </c>
      <c r="C21" s="153" t="s">
        <v>127</v>
      </c>
      <c r="D21" s="592"/>
      <c r="E21" s="593"/>
      <c r="F21" s="593"/>
      <c r="G21" s="593"/>
      <c r="H21" s="593"/>
      <c r="I21" s="593"/>
      <c r="J21" s="593"/>
      <c r="K21" s="593"/>
      <c r="L21" s="58"/>
    </row>
    <row r="22" spans="2:12" s="2" customFormat="1">
      <c r="B22" s="538" t="s">
        <v>242</v>
      </c>
      <c r="C22" s="153" t="s">
        <v>127</v>
      </c>
      <c r="D22" s="592"/>
      <c r="E22" s="593"/>
      <c r="F22" s="593"/>
      <c r="G22" s="593"/>
      <c r="H22" s="593"/>
      <c r="I22" s="593"/>
      <c r="J22" s="593"/>
      <c r="K22" s="593"/>
      <c r="L22" s="58"/>
    </row>
    <row r="23" spans="2:12" s="2" customFormat="1">
      <c r="B23" s="538" t="s">
        <v>242</v>
      </c>
      <c r="C23" s="153" t="s">
        <v>127</v>
      </c>
      <c r="D23" s="592"/>
      <c r="E23" s="593"/>
      <c r="F23" s="593"/>
      <c r="G23" s="593"/>
      <c r="H23" s="593"/>
      <c r="I23" s="593"/>
      <c r="J23" s="593"/>
      <c r="K23" s="593"/>
      <c r="L23" s="58"/>
    </row>
    <row r="24" spans="2:12" s="2" customFormat="1">
      <c r="B24" s="538" t="s">
        <v>242</v>
      </c>
      <c r="C24" s="153" t="s">
        <v>127</v>
      </c>
      <c r="D24" s="592"/>
      <c r="E24" s="593"/>
      <c r="F24" s="593"/>
      <c r="G24" s="593"/>
      <c r="H24" s="593"/>
      <c r="I24" s="593"/>
      <c r="J24" s="593"/>
      <c r="K24" s="593"/>
      <c r="L24" s="58"/>
    </row>
    <row r="25" spans="2:12" s="2" customFormat="1">
      <c r="B25" s="769" t="s">
        <v>134</v>
      </c>
      <c r="C25" s="153" t="s">
        <v>127</v>
      </c>
      <c r="D25" s="592">
        <v>-13.587624</v>
      </c>
      <c r="E25" s="593">
        <v>-12.665098202797887</v>
      </c>
      <c r="F25" s="593">
        <v>-0.6775375118742093</v>
      </c>
      <c r="G25" s="593">
        <v>3.1135834761637997</v>
      </c>
      <c r="H25" s="593">
        <v>-1.7706228085388809</v>
      </c>
      <c r="I25" s="593">
        <v>-8.2260012650077101</v>
      </c>
      <c r="J25" s="593"/>
      <c r="K25" s="593"/>
      <c r="L25" s="58"/>
    </row>
    <row r="26" spans="2:12" s="2" customFormat="1">
      <c r="B26" s="764" t="s">
        <v>147</v>
      </c>
      <c r="C26" s="153" t="s">
        <v>127</v>
      </c>
      <c r="D26" s="598">
        <f>SUM(D14:D24,-D25)</f>
        <v>363.05715884987347</v>
      </c>
      <c r="E26" s="599">
        <f t="shared" ref="E26:K26" si="2">SUM(E14:E24,-E25)</f>
        <v>365.88555008054686</v>
      </c>
      <c r="F26" s="599">
        <f t="shared" si="2"/>
        <v>364.23589223643125</v>
      </c>
      <c r="G26" s="599">
        <f t="shared" si="2"/>
        <v>384.71005756954094</v>
      </c>
      <c r="H26" s="599">
        <f t="shared" si="2"/>
        <v>390.00820553917214</v>
      </c>
      <c r="I26" s="599">
        <f t="shared" si="2"/>
        <v>404.62615881669274</v>
      </c>
      <c r="J26" s="599">
        <f t="shared" si="2"/>
        <v>21.691688319950927</v>
      </c>
      <c r="K26" s="600">
        <f t="shared" si="2"/>
        <v>21.529303867350677</v>
      </c>
      <c r="L26" s="58"/>
    </row>
    <row r="27" spans="2:12" s="2" customFormat="1">
      <c r="B27" s="226"/>
      <c r="C27" s="139"/>
      <c r="D27" s="55"/>
      <c r="E27" s="55"/>
      <c r="F27" s="55"/>
      <c r="G27" s="61"/>
      <c r="H27" s="61"/>
      <c r="I27" s="61"/>
      <c r="J27" s="61"/>
      <c r="K27" s="61"/>
      <c r="L27" s="58"/>
    </row>
    <row r="28" spans="2:12" s="2" customFormat="1">
      <c r="B28" s="226" t="s">
        <v>149</v>
      </c>
      <c r="C28" s="139"/>
      <c r="D28" s="598">
        <f>IF(ISBLANK(D33),0,D33-D26)</f>
        <v>-0.65227911987341258</v>
      </c>
      <c r="E28" s="599">
        <f t="shared" ref="E28:K28" si="3">IF(ISBLANK(E33),0,E33-E26)</f>
        <v>3.0018438794531335</v>
      </c>
      <c r="F28" s="599">
        <f t="shared" si="3"/>
        <v>-1.7015628564312237</v>
      </c>
      <c r="G28" s="599">
        <f t="shared" si="3"/>
        <v>-7.877025121540953</v>
      </c>
      <c r="H28" s="599">
        <f t="shared" si="3"/>
        <v>-5.2912958791721962</v>
      </c>
      <c r="I28" s="599">
        <f t="shared" si="3"/>
        <v>-18.451760376692732</v>
      </c>
      <c r="J28" s="599">
        <f t="shared" si="3"/>
        <v>0</v>
      </c>
      <c r="K28" s="600">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65"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66" t="s">
        <v>148</v>
      </c>
      <c r="C33" s="139"/>
      <c r="D33" s="634">
        <v>362.40487973000006</v>
      </c>
      <c r="E33" s="635">
        <v>368.88739396</v>
      </c>
      <c r="F33" s="635">
        <v>362.53432938000003</v>
      </c>
      <c r="G33" s="635">
        <v>376.83303244799998</v>
      </c>
      <c r="H33" s="635">
        <v>384.71690965999994</v>
      </c>
      <c r="I33" s="635">
        <v>386.17439844</v>
      </c>
      <c r="J33" s="635"/>
      <c r="K33" s="636"/>
      <c r="L33" s="58"/>
    </row>
    <row r="34" spans="2:12" s="2" customFormat="1">
      <c r="B34" s="130"/>
      <c r="C34" s="137"/>
      <c r="L34" s="58"/>
    </row>
    <row r="35" spans="2:12" s="2" customFormat="1">
      <c r="B35" s="388" t="s">
        <v>135</v>
      </c>
      <c r="C35" s="137"/>
      <c r="L35" s="58"/>
    </row>
    <row r="36" spans="2:12" s="2" customFormat="1">
      <c r="B36" s="882" t="s">
        <v>136</v>
      </c>
      <c r="C36" s="153" t="s">
        <v>127</v>
      </c>
      <c r="D36" s="590">
        <v>0</v>
      </c>
      <c r="E36" s="591">
        <v>0</v>
      </c>
      <c r="F36" s="591">
        <v>0</v>
      </c>
      <c r="G36" s="591">
        <v>0</v>
      </c>
      <c r="H36" s="591">
        <v>0</v>
      </c>
      <c r="I36" s="591">
        <v>0</v>
      </c>
      <c r="J36" s="591"/>
      <c r="K36" s="601"/>
      <c r="L36" s="58"/>
    </row>
    <row r="37" spans="2:12" s="2" customFormat="1">
      <c r="B37" s="882" t="s">
        <v>137</v>
      </c>
      <c r="C37" s="153" t="s">
        <v>127</v>
      </c>
      <c r="D37" s="592">
        <v>2.5524942113331468</v>
      </c>
      <c r="E37" s="593">
        <v>2.3887561700000002</v>
      </c>
      <c r="F37" s="593">
        <v>2.16304644</v>
      </c>
      <c r="G37" s="593">
        <v>1.9253897398000002</v>
      </c>
      <c r="H37" s="593">
        <v>1.7323604595700006</v>
      </c>
      <c r="I37" s="593">
        <v>1.5978079299999999</v>
      </c>
      <c r="J37" s="593"/>
      <c r="K37" s="602"/>
      <c r="L37" s="58"/>
    </row>
    <row r="38" spans="2:12" s="2" customFormat="1">
      <c r="B38" s="882" t="s">
        <v>138</v>
      </c>
      <c r="C38" s="153" t="s">
        <v>127</v>
      </c>
      <c r="D38" s="592">
        <v>60.231381491653153</v>
      </c>
      <c r="E38" s="593">
        <v>55.159448353309173</v>
      </c>
      <c r="F38" s="593">
        <v>45.655768879999997</v>
      </c>
      <c r="G38" s="593">
        <v>44.598520148499375</v>
      </c>
      <c r="H38" s="593">
        <v>45.695885457312052</v>
      </c>
      <c r="I38" s="593">
        <v>41.675843793774277</v>
      </c>
      <c r="J38" s="593"/>
      <c r="K38" s="602"/>
      <c r="L38" s="58"/>
    </row>
    <row r="39" spans="2:12" s="2" customFormat="1">
      <c r="B39" s="882" t="s">
        <v>139</v>
      </c>
      <c r="C39" s="153" t="s">
        <v>127</v>
      </c>
      <c r="D39" s="592">
        <v>0</v>
      </c>
      <c r="E39" s="593">
        <v>0</v>
      </c>
      <c r="F39" s="593">
        <v>0</v>
      </c>
      <c r="G39" s="593">
        <v>0</v>
      </c>
      <c r="H39" s="593">
        <v>0</v>
      </c>
      <c r="I39" s="593">
        <v>0</v>
      </c>
      <c r="J39" s="593"/>
      <c r="K39" s="602"/>
      <c r="L39" s="58"/>
    </row>
    <row r="40" spans="2:12" s="2" customFormat="1">
      <c r="B40" s="882" t="s">
        <v>140</v>
      </c>
      <c r="C40" s="153" t="s">
        <v>127</v>
      </c>
      <c r="D40" s="592">
        <v>0</v>
      </c>
      <c r="E40" s="593">
        <v>0</v>
      </c>
      <c r="F40" s="593">
        <v>0</v>
      </c>
      <c r="G40" s="593">
        <v>0</v>
      </c>
      <c r="H40" s="593">
        <v>0</v>
      </c>
      <c r="I40" s="593">
        <v>0</v>
      </c>
      <c r="J40" s="593"/>
      <c r="K40" s="602"/>
      <c r="L40" s="58"/>
    </row>
    <row r="41" spans="2:12" s="2" customFormat="1">
      <c r="B41" s="882" t="s">
        <v>141</v>
      </c>
      <c r="C41" s="153" t="s">
        <v>127</v>
      </c>
      <c r="D41" s="592">
        <v>11.611213620000003</v>
      </c>
      <c r="E41" s="593">
        <v>14.010810109999996</v>
      </c>
      <c r="F41" s="593">
        <v>16.137005279999997</v>
      </c>
      <c r="G41" s="593">
        <v>13.146760080000004</v>
      </c>
      <c r="H41" s="593">
        <v>12.536018910000001</v>
      </c>
      <c r="I41" s="593">
        <v>13.041164690000002</v>
      </c>
      <c r="J41" s="593"/>
      <c r="K41" s="602"/>
      <c r="L41" s="58"/>
    </row>
    <row r="42" spans="2:12" s="2" customFormat="1">
      <c r="B42" s="882" t="s">
        <v>142</v>
      </c>
      <c r="C42" s="153" t="s">
        <v>127</v>
      </c>
      <c r="D42" s="592">
        <v>0</v>
      </c>
      <c r="E42" s="593">
        <v>4.3020000000000003E-2</v>
      </c>
      <c r="F42" s="593">
        <v>5.3775000000000003E-2</v>
      </c>
      <c r="G42" s="593">
        <v>7.17E-2</v>
      </c>
      <c r="H42" s="593">
        <v>7.17E-2</v>
      </c>
      <c r="I42" s="593">
        <v>0</v>
      </c>
      <c r="J42" s="593"/>
      <c r="K42" s="602"/>
      <c r="L42" s="58"/>
    </row>
    <row r="43" spans="2:12" s="2" customFormat="1">
      <c r="B43" s="883" t="s">
        <v>143</v>
      </c>
      <c r="C43" s="153" t="s">
        <v>127</v>
      </c>
      <c r="D43" s="603">
        <v>0</v>
      </c>
      <c r="E43" s="604">
        <v>0</v>
      </c>
      <c r="F43" s="604">
        <v>0</v>
      </c>
      <c r="G43" s="604">
        <v>0</v>
      </c>
      <c r="H43" s="604">
        <v>0</v>
      </c>
      <c r="I43" s="604">
        <v>0</v>
      </c>
      <c r="J43" s="604"/>
      <c r="K43" s="605"/>
      <c r="L43" s="58"/>
    </row>
    <row r="44" spans="2:12" s="2" customFormat="1">
      <c r="B44" s="881" t="s">
        <v>527</v>
      </c>
      <c r="C44" s="153" t="s">
        <v>127</v>
      </c>
      <c r="D44" s="603"/>
      <c r="E44" s="604"/>
      <c r="F44" s="604"/>
      <c r="G44" s="604"/>
      <c r="H44" s="604"/>
      <c r="I44" s="604"/>
      <c r="J44" s="604"/>
      <c r="K44" s="605"/>
      <c r="L44" s="58"/>
    </row>
    <row r="45" spans="2:12" s="2" customFormat="1">
      <c r="B45" s="388" t="s">
        <v>175</v>
      </c>
      <c r="C45" s="153" t="s">
        <v>127</v>
      </c>
      <c r="D45" s="606">
        <f>SUM(D36:D44)</f>
        <v>74.395089322986308</v>
      </c>
      <c r="E45" s="607">
        <f t="shared" ref="E45:K45" si="4">SUM(E36:E44)</f>
        <v>71.602034633309174</v>
      </c>
      <c r="F45" s="607">
        <f t="shared" si="4"/>
        <v>64.009595599999997</v>
      </c>
      <c r="G45" s="607">
        <f t="shared" si="4"/>
        <v>59.742369968299379</v>
      </c>
      <c r="H45" s="607">
        <f t="shared" si="4"/>
        <v>60.035964826882058</v>
      </c>
      <c r="I45" s="607">
        <f t="shared" si="4"/>
        <v>56.314816413774281</v>
      </c>
      <c r="J45" s="607">
        <f t="shared" si="4"/>
        <v>0</v>
      </c>
      <c r="K45" s="608">
        <f t="shared" si="4"/>
        <v>0</v>
      </c>
      <c r="L45" s="58"/>
    </row>
    <row r="46" spans="2:12" s="2" customFormat="1">
      <c r="B46" s="130"/>
      <c r="C46" s="137"/>
      <c r="L46" s="58"/>
    </row>
    <row r="47" spans="2:12" s="2" customFormat="1">
      <c r="B47" s="388" t="s">
        <v>144</v>
      </c>
      <c r="C47" s="137"/>
      <c r="L47" s="54"/>
    </row>
    <row r="48" spans="2:12" s="2" customFormat="1">
      <c r="B48" s="538" t="s">
        <v>547</v>
      </c>
      <c r="C48" s="153" t="s">
        <v>127</v>
      </c>
      <c r="D48" s="609">
        <v>23.504256774583396</v>
      </c>
      <c r="E48" s="610">
        <v>25.306005000000003</v>
      </c>
      <c r="F48" s="610">
        <v>27.096811999999996</v>
      </c>
      <c r="G48" s="610">
        <v>28.538512000000001</v>
      </c>
      <c r="H48" s="610">
        <v>31.774156999999999</v>
      </c>
      <c r="I48" s="610">
        <v>32.835915999999997</v>
      </c>
      <c r="J48" s="610"/>
      <c r="K48" s="611"/>
      <c r="L48" s="58"/>
    </row>
    <row r="49" spans="2:12" s="2" customFormat="1">
      <c r="B49" s="538" t="s">
        <v>548</v>
      </c>
      <c r="C49" s="153" t="s">
        <v>127</v>
      </c>
      <c r="D49" s="612">
        <v>-47.772511000000002</v>
      </c>
      <c r="E49" s="613">
        <v>-44.899661000000002</v>
      </c>
      <c r="F49" s="613">
        <v>-33.842848064187116</v>
      </c>
      <c r="G49" s="613">
        <v>-32.048763157899366</v>
      </c>
      <c r="H49" s="613">
        <v>-32.034719102332055</v>
      </c>
      <c r="I49" s="613">
        <v>-31.501392213774388</v>
      </c>
      <c r="J49" s="613"/>
      <c r="K49" s="614"/>
      <c r="L49" s="58"/>
    </row>
    <row r="50" spans="2:12" s="2" customFormat="1">
      <c r="B50" s="538" t="s">
        <v>549</v>
      </c>
      <c r="C50" s="153" t="s">
        <v>127</v>
      </c>
      <c r="D50" s="612">
        <v>-4.9345660000000002</v>
      </c>
      <c r="E50" s="613">
        <v>-3.6859109999999999</v>
      </c>
      <c r="F50" s="613">
        <v>-5.4199263300000018</v>
      </c>
      <c r="G50" s="613">
        <v>-4.9620084400000009</v>
      </c>
      <c r="H50" s="613">
        <v>-5.8404820900000001</v>
      </c>
      <c r="I50" s="613">
        <v>-2.7484283099998899</v>
      </c>
      <c r="J50" s="613"/>
      <c r="K50" s="614"/>
      <c r="L50" s="58"/>
    </row>
    <row r="51" spans="2:12" s="2" customFormat="1">
      <c r="B51" s="929" t="s">
        <v>591</v>
      </c>
      <c r="C51" s="153" t="s">
        <v>127</v>
      </c>
      <c r="D51" s="612"/>
      <c r="E51" s="613"/>
      <c r="F51" s="613"/>
      <c r="G51" s="613"/>
      <c r="H51" s="613">
        <v>0.18095</v>
      </c>
      <c r="I51" s="613">
        <v>0</v>
      </c>
      <c r="J51" s="613"/>
      <c r="K51" s="614"/>
      <c r="L51" s="58"/>
    </row>
    <row r="52" spans="2:12" s="2" customFormat="1">
      <c r="B52" s="929" t="s">
        <v>550</v>
      </c>
      <c r="C52" s="153" t="s">
        <v>127</v>
      </c>
      <c r="D52" s="612"/>
      <c r="E52" s="613"/>
      <c r="F52" s="613"/>
      <c r="G52" s="613">
        <v>0.61933064999999987</v>
      </c>
      <c r="H52" s="613">
        <v>0.61873101999999991</v>
      </c>
      <c r="I52" s="613">
        <v>0.16127408000000001</v>
      </c>
      <c r="J52" s="613"/>
      <c r="K52" s="614"/>
      <c r="L52" s="58"/>
    </row>
    <row r="53" spans="2:12" s="2" customFormat="1">
      <c r="B53" s="538" t="s">
        <v>242</v>
      </c>
      <c r="C53" s="153" t="s">
        <v>127</v>
      </c>
      <c r="D53" s="612"/>
      <c r="E53" s="613"/>
      <c r="F53" s="613"/>
      <c r="G53" s="613"/>
      <c r="H53" s="613"/>
      <c r="I53" s="613"/>
      <c r="J53" s="613"/>
      <c r="K53" s="614"/>
      <c r="L53" s="58"/>
    </row>
    <row r="54" spans="2:12" s="2" customFormat="1">
      <c r="B54" s="538" t="s">
        <v>242</v>
      </c>
      <c r="C54" s="153" t="s">
        <v>127</v>
      </c>
      <c r="D54" s="612"/>
      <c r="E54" s="613"/>
      <c r="F54" s="613"/>
      <c r="G54" s="613"/>
      <c r="H54" s="613"/>
      <c r="I54" s="613"/>
      <c r="J54" s="613"/>
      <c r="K54" s="614"/>
      <c r="L54" s="58"/>
    </row>
    <row r="55" spans="2:12" s="2" customFormat="1">
      <c r="B55" s="538" t="s">
        <v>242</v>
      </c>
      <c r="C55" s="153" t="s">
        <v>127</v>
      </c>
      <c r="D55" s="612"/>
      <c r="E55" s="613"/>
      <c r="F55" s="613"/>
      <c r="G55" s="613"/>
      <c r="H55" s="613"/>
      <c r="I55" s="613"/>
      <c r="J55" s="613"/>
      <c r="K55" s="614"/>
      <c r="L55" s="58"/>
    </row>
    <row r="56" spans="2:12" s="2" customFormat="1">
      <c r="B56" s="538" t="s">
        <v>242</v>
      </c>
      <c r="C56" s="153" t="s">
        <v>127</v>
      </c>
      <c r="D56" s="612"/>
      <c r="E56" s="613"/>
      <c r="F56" s="613"/>
      <c r="G56" s="613"/>
      <c r="H56" s="613"/>
      <c r="I56" s="613"/>
      <c r="J56" s="613"/>
      <c r="K56" s="614"/>
      <c r="L56" s="58"/>
    </row>
    <row r="57" spans="2:12" s="2" customFormat="1">
      <c r="B57" s="538" t="s">
        <v>242</v>
      </c>
      <c r="C57" s="153" t="s">
        <v>127</v>
      </c>
      <c r="D57" s="612"/>
      <c r="E57" s="613"/>
      <c r="F57" s="613"/>
      <c r="G57" s="613"/>
      <c r="H57" s="613"/>
      <c r="I57" s="613"/>
      <c r="J57" s="613"/>
      <c r="K57" s="614"/>
      <c r="L57" s="58"/>
    </row>
    <row r="58" spans="2:12" s="2" customFormat="1">
      <c r="B58" s="538" t="s">
        <v>242</v>
      </c>
      <c r="C58" s="153" t="s">
        <v>127</v>
      </c>
      <c r="D58" s="612"/>
      <c r="E58" s="613"/>
      <c r="F58" s="613"/>
      <c r="G58" s="613"/>
      <c r="H58" s="613"/>
      <c r="I58" s="613"/>
      <c r="J58" s="613"/>
      <c r="K58" s="614"/>
      <c r="L58" s="58"/>
    </row>
    <row r="59" spans="2:12" s="2" customFormat="1">
      <c r="B59" s="538" t="s">
        <v>242</v>
      </c>
      <c r="C59" s="153" t="s">
        <v>127</v>
      </c>
      <c r="D59" s="612"/>
      <c r="E59" s="613"/>
      <c r="F59" s="613"/>
      <c r="G59" s="613"/>
      <c r="H59" s="613"/>
      <c r="I59" s="613"/>
      <c r="J59" s="613"/>
      <c r="K59" s="614"/>
      <c r="L59" s="58"/>
    </row>
    <row r="60" spans="2:12" s="2" customFormat="1">
      <c r="B60" s="538" t="s">
        <v>242</v>
      </c>
      <c r="C60" s="153" t="s">
        <v>127</v>
      </c>
      <c r="D60" s="612"/>
      <c r="E60" s="613"/>
      <c r="F60" s="613"/>
      <c r="G60" s="613"/>
      <c r="H60" s="613"/>
      <c r="I60" s="613"/>
      <c r="J60" s="613"/>
      <c r="K60" s="614"/>
      <c r="L60" s="58"/>
    </row>
    <row r="61" spans="2:12" s="2" customFormat="1">
      <c r="B61" s="538" t="s">
        <v>242</v>
      </c>
      <c r="C61" s="153" t="s">
        <v>127</v>
      </c>
      <c r="D61" s="612"/>
      <c r="E61" s="613"/>
      <c r="F61" s="613"/>
      <c r="G61" s="613"/>
      <c r="H61" s="613"/>
      <c r="I61" s="613"/>
      <c r="J61" s="613"/>
      <c r="K61" s="614"/>
      <c r="L61" s="58"/>
    </row>
    <row r="62" spans="2:12" s="2" customFormat="1">
      <c r="B62" s="538" t="s">
        <v>242</v>
      </c>
      <c r="C62" s="153" t="s">
        <v>127</v>
      </c>
      <c r="D62" s="612"/>
      <c r="E62" s="613"/>
      <c r="F62" s="613"/>
      <c r="G62" s="613"/>
      <c r="H62" s="613"/>
      <c r="I62" s="613"/>
      <c r="J62" s="613"/>
      <c r="K62" s="614"/>
      <c r="L62" s="58"/>
    </row>
    <row r="63" spans="2:12" s="2" customFormat="1">
      <c r="B63" s="770" t="s">
        <v>153</v>
      </c>
      <c r="C63" s="153" t="s">
        <v>127</v>
      </c>
      <c r="D63" s="615"/>
      <c r="E63" s="616"/>
      <c r="F63" s="617"/>
      <c r="G63" s="616"/>
      <c r="H63" s="616"/>
      <c r="I63" s="616"/>
      <c r="J63" s="616"/>
      <c r="K63" s="618"/>
      <c r="L63" s="58"/>
    </row>
    <row r="64" spans="2:12" s="2" customFormat="1">
      <c r="B64" s="766" t="s">
        <v>176</v>
      </c>
      <c r="C64" s="153" t="s">
        <v>127</v>
      </c>
      <c r="D64" s="598">
        <f t="shared" ref="D64:K64" si="5">SUM(D48:D63)</f>
        <v>-29.202820225416605</v>
      </c>
      <c r="E64" s="599">
        <f t="shared" si="5"/>
        <v>-23.279567</v>
      </c>
      <c r="F64" s="599">
        <f t="shared" si="5"/>
        <v>-12.165962394187122</v>
      </c>
      <c r="G64" s="599">
        <f t="shared" si="5"/>
        <v>-7.8529289478993665</v>
      </c>
      <c r="H64" s="599">
        <f t="shared" si="5"/>
        <v>-5.3013631723320556</v>
      </c>
      <c r="I64" s="599">
        <f t="shared" si="5"/>
        <v>-1.2526304437742799</v>
      </c>
      <c r="J64" s="599">
        <f t="shared" si="5"/>
        <v>0</v>
      </c>
      <c r="K64" s="600">
        <f t="shared" si="5"/>
        <v>0</v>
      </c>
      <c r="L64" s="58"/>
    </row>
    <row r="65" spans="1:12" s="2" customFormat="1">
      <c r="B65" s="226"/>
      <c r="C65" s="139"/>
      <c r="D65" s="56"/>
      <c r="E65" s="56"/>
      <c r="F65" s="56"/>
      <c r="G65" s="56"/>
      <c r="H65" s="56"/>
      <c r="I65" s="56"/>
      <c r="J65" s="56"/>
      <c r="K65" s="56"/>
      <c r="L65" s="58"/>
    </row>
    <row r="66" spans="1:12" s="2" customFormat="1">
      <c r="B66" s="766" t="s">
        <v>145</v>
      </c>
      <c r="C66" s="153" t="s">
        <v>127</v>
      </c>
      <c r="D66" s="619">
        <f t="shared" ref="D66:K66" si="6">D33+D45+D64</f>
        <v>407.59714882756981</v>
      </c>
      <c r="E66" s="620">
        <f t="shared" si="6"/>
        <v>417.2098615933092</v>
      </c>
      <c r="F66" s="620">
        <f t="shared" si="6"/>
        <v>414.3779625858129</v>
      </c>
      <c r="G66" s="620">
        <f t="shared" si="6"/>
        <v>428.72247346839998</v>
      </c>
      <c r="H66" s="620">
        <f t="shared" si="6"/>
        <v>439.45151131454992</v>
      </c>
      <c r="I66" s="620">
        <f t="shared" si="6"/>
        <v>441.23658440999998</v>
      </c>
      <c r="J66" s="620">
        <f t="shared" si="6"/>
        <v>0</v>
      </c>
      <c r="K66" s="621">
        <f t="shared" si="6"/>
        <v>0</v>
      </c>
      <c r="L66" s="58"/>
    </row>
    <row r="67" spans="1:12" s="2" customFormat="1">
      <c r="B67" s="766" t="s">
        <v>193</v>
      </c>
      <c r="C67" s="153" t="s">
        <v>127</v>
      </c>
      <c r="D67" s="622">
        <v>407.62961705458349</v>
      </c>
      <c r="E67" s="623">
        <v>417.21253992999999</v>
      </c>
      <c r="F67" s="623">
        <v>414.37080744000008</v>
      </c>
      <c r="G67" s="623">
        <v>428.68229551000002</v>
      </c>
      <c r="H67" s="623">
        <v>439.41224025999998</v>
      </c>
      <c r="I67" s="623">
        <v>441.26615902999998</v>
      </c>
      <c r="J67" s="623"/>
      <c r="K67" s="624"/>
      <c r="L67" s="58"/>
    </row>
    <row r="68" spans="1:12" s="2" customFormat="1">
      <c r="B68" s="226" t="s">
        <v>121</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71"/>
      <c r="C71" s="151"/>
      <c r="D71" s="81"/>
      <c r="E71" s="81"/>
      <c r="F71" s="81"/>
      <c r="G71" s="81"/>
      <c r="H71" s="81"/>
      <c r="I71" s="81"/>
      <c r="J71" s="81"/>
      <c r="K71" s="81"/>
      <c r="L71" s="273"/>
    </row>
  </sheetData>
  <sheetProtection password="DA3D" sheet="1" objects="1" scenarios="1"/>
  <conditionalFormatting sqref="D6:K6">
    <cfRule type="expression" dxfId="76" priority="12">
      <formula>AND(D$5="Actuals",E$5="Forecast")</formula>
    </cfRule>
  </conditionalFormatting>
  <conditionalFormatting sqref="D5:K5">
    <cfRule type="expression" dxfId="75" priority="5">
      <formula>AND(D$5="Actuals",E$5="Forecast")</formula>
    </cfRule>
  </conditionalFormatting>
  <conditionalFormatting sqref="D33:K33 D36:K45 D28:H28 D66:K68 D48:K64">
    <cfRule type="expression" dxfId="74" priority="4">
      <formula>D$5="Forecast"</formula>
    </cfRule>
  </conditionalFormatting>
  <conditionalFormatting sqref="I28:K28 I10:K26">
    <cfRule type="expression" dxfId="73" priority="3">
      <formula>I$5="Forecast"</formula>
    </cfRule>
  </conditionalFormatting>
  <conditionalFormatting sqref="H10:H26">
    <cfRule type="expression" dxfId="72" priority="2">
      <formula>H$5="Forecast"</formula>
    </cfRule>
  </conditionalFormatting>
  <conditionalFormatting sqref="G10:G26">
    <cfRule type="expression" dxfId="71" priority="1">
      <formula>G$5="Forecast"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N86"/>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12" t="s">
        <v>307</v>
      </c>
      <c r="B1" s="913"/>
      <c r="C1" s="149"/>
      <c r="D1" s="122"/>
      <c r="E1" s="122"/>
      <c r="F1" s="122"/>
      <c r="G1" s="122"/>
      <c r="H1" s="122"/>
      <c r="I1" s="122"/>
      <c r="J1" s="122"/>
      <c r="K1" s="122"/>
      <c r="L1" s="123"/>
    </row>
    <row r="2" spans="1:12" s="31" customFormat="1" ht="20.25">
      <c r="A2" s="897" t="str">
        <f>'RFPR cover'!C5</f>
        <v>NPgY</v>
      </c>
      <c r="B2" s="889"/>
      <c r="C2" s="135"/>
      <c r="D2" s="29"/>
      <c r="E2" s="29"/>
      <c r="F2" s="29"/>
      <c r="G2" s="29"/>
      <c r="H2" s="29"/>
      <c r="I2" s="27"/>
      <c r="J2" s="27"/>
      <c r="K2" s="27"/>
      <c r="L2" s="124"/>
    </row>
    <row r="3" spans="1:12" s="31" customFormat="1" ht="20.25">
      <c r="A3" s="914">
        <f>'RFPR cover'!C7</f>
        <v>2021</v>
      </c>
      <c r="B3" s="915"/>
      <c r="C3" s="150"/>
      <c r="D3" s="125"/>
      <c r="E3" s="125"/>
      <c r="F3" s="125"/>
      <c r="G3" s="125"/>
      <c r="H3" s="125"/>
      <c r="I3" s="28"/>
      <c r="J3" s="28"/>
      <c r="K3" s="28"/>
      <c r="L3" s="126"/>
    </row>
    <row r="4" spans="1:12" s="2" customFormat="1" ht="12.75" customHeight="1">
      <c r="C4" s="137"/>
    </row>
    <row r="5" spans="1:12" s="2" customFormat="1">
      <c r="B5" s="3"/>
      <c r="C5" s="137"/>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Actuals</v>
      </c>
      <c r="J5" s="385" t="str">
        <f>IF(J6&lt;='RFPR cover'!$C$7,"Actuals","N/A")</f>
        <v>N/A</v>
      </c>
      <c r="K5" s="386"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313</v>
      </c>
      <c r="C8" s="138"/>
      <c r="D8" s="51"/>
      <c r="E8" s="51"/>
      <c r="F8" s="51"/>
      <c r="G8" s="51"/>
      <c r="H8" s="51"/>
      <c r="I8" s="51"/>
      <c r="J8" s="51"/>
      <c r="K8" s="51"/>
      <c r="L8" s="35"/>
    </row>
    <row r="9" spans="1:12" s="2" customFormat="1">
      <c r="B9" s="130" t="s">
        <v>159</v>
      </c>
      <c r="C9" s="153" t="s">
        <v>127</v>
      </c>
      <c r="D9" s="590">
        <v>253.85916764499984</v>
      </c>
      <c r="E9" s="591">
        <v>224.29936980000008</v>
      </c>
      <c r="F9" s="591">
        <v>212.1</v>
      </c>
      <c r="G9" s="591">
        <v>226.9764982066153</v>
      </c>
      <c r="H9" s="591">
        <v>255.74958706724968</v>
      </c>
      <c r="I9" s="591">
        <v>254.17233028678527</v>
      </c>
      <c r="J9" s="591"/>
      <c r="K9" s="601"/>
    </row>
    <row r="10" spans="1:12" s="2" customFormat="1">
      <c r="B10" s="130" t="s">
        <v>160</v>
      </c>
      <c r="C10" s="153" t="s">
        <v>127</v>
      </c>
      <c r="D10" s="592">
        <v>0</v>
      </c>
      <c r="E10" s="593">
        <v>0</v>
      </c>
      <c r="F10" s="593">
        <v>0</v>
      </c>
      <c r="G10" s="593">
        <v>0</v>
      </c>
      <c r="H10" s="593">
        <v>0</v>
      </c>
      <c r="I10" s="593">
        <v>6.8830539319230692E-3</v>
      </c>
      <c r="J10" s="593"/>
      <c r="K10" s="602"/>
    </row>
    <row r="11" spans="1:12" s="2" customFormat="1" ht="29.25" customHeight="1">
      <c r="B11" s="131" t="s">
        <v>454</v>
      </c>
      <c r="C11" s="153" t="s">
        <v>127</v>
      </c>
      <c r="D11" s="592">
        <v>-0.21508875999999999</v>
      </c>
      <c r="E11" s="593">
        <v>-0.78934152000000002</v>
      </c>
      <c r="F11" s="593">
        <v>-0.4157114400000001</v>
      </c>
      <c r="G11" s="593">
        <v>-0.5</v>
      </c>
      <c r="H11" s="593">
        <v>-0.4</v>
      </c>
      <c r="I11" s="593">
        <v>-0.106</v>
      </c>
      <c r="J11" s="593"/>
      <c r="K11" s="602"/>
    </row>
    <row r="12" spans="1:12" s="2" customFormat="1">
      <c r="B12" s="130" t="s">
        <v>161</v>
      </c>
      <c r="C12" s="153" t="s">
        <v>127</v>
      </c>
      <c r="D12" s="592">
        <v>-57.690527619999969</v>
      </c>
      <c r="E12" s="593">
        <v>-55.585312789999996</v>
      </c>
      <c r="F12" s="593">
        <v>-43.690434969999956</v>
      </c>
      <c r="G12" s="593">
        <v>-39.501131359999995</v>
      </c>
      <c r="H12" s="593">
        <v>-42.291037140000007</v>
      </c>
      <c r="I12" s="593">
        <v>-42.73019253541645</v>
      </c>
      <c r="J12" s="593"/>
      <c r="K12" s="602"/>
    </row>
    <row r="13" spans="1:12" s="2" customFormat="1">
      <c r="B13" s="130" t="s">
        <v>162</v>
      </c>
      <c r="C13" s="153" t="s">
        <v>127</v>
      </c>
      <c r="D13" s="592">
        <v>-3.3035140099999998</v>
      </c>
      <c r="E13" s="593">
        <v>-2.4723702800000003</v>
      </c>
      <c r="F13" s="593">
        <v>-2.0259090899999999</v>
      </c>
      <c r="G13" s="593">
        <v>-1.27738295</v>
      </c>
      <c r="H13" s="593">
        <v>-1.59848631</v>
      </c>
      <c r="I13" s="593">
        <v>-1.6</v>
      </c>
      <c r="J13" s="593"/>
      <c r="K13" s="602"/>
    </row>
    <row r="14" spans="1:12" s="2" customFormat="1">
      <c r="B14" s="130" t="s">
        <v>163</v>
      </c>
      <c r="C14" s="153" t="s">
        <v>127</v>
      </c>
      <c r="D14" s="628">
        <v>0</v>
      </c>
      <c r="E14" s="629">
        <v>0</v>
      </c>
      <c r="F14" s="629">
        <v>0</v>
      </c>
      <c r="G14" s="629">
        <v>0</v>
      </c>
      <c r="H14" s="593">
        <v>0</v>
      </c>
      <c r="I14" s="629">
        <v>0</v>
      </c>
      <c r="J14" s="629"/>
      <c r="K14" s="630"/>
    </row>
    <row r="15" spans="1:12" s="2" customFormat="1">
      <c r="A15" s="3">
        <v>1</v>
      </c>
      <c r="B15" s="860" t="s">
        <v>242</v>
      </c>
      <c r="C15" s="153" t="s">
        <v>127</v>
      </c>
      <c r="D15" s="590"/>
      <c r="E15" s="591"/>
      <c r="F15" s="591"/>
      <c r="G15" s="591"/>
      <c r="H15" s="591"/>
      <c r="I15" s="591"/>
      <c r="J15" s="591"/>
      <c r="K15" s="601"/>
    </row>
    <row r="16" spans="1:12" s="2" customFormat="1">
      <c r="A16" s="3">
        <v>2</v>
      </c>
      <c r="B16" s="860" t="s">
        <v>242</v>
      </c>
      <c r="C16" s="153" t="s">
        <v>127</v>
      </c>
      <c r="D16" s="592"/>
      <c r="E16" s="593"/>
      <c r="F16" s="593"/>
      <c r="G16" s="593"/>
      <c r="H16" s="593"/>
      <c r="I16" s="593"/>
      <c r="J16" s="593"/>
      <c r="K16" s="602"/>
    </row>
    <row r="17" spans="1:11" s="2" customFormat="1">
      <c r="A17" s="3">
        <v>3</v>
      </c>
      <c r="B17" s="860" t="s">
        <v>242</v>
      </c>
      <c r="C17" s="153" t="s">
        <v>127</v>
      </c>
      <c r="D17" s="592"/>
      <c r="E17" s="593"/>
      <c r="F17" s="593"/>
      <c r="G17" s="593"/>
      <c r="H17" s="593"/>
      <c r="I17" s="593"/>
      <c r="J17" s="593"/>
      <c r="K17" s="602"/>
    </row>
    <row r="18" spans="1:11" s="2" customFormat="1">
      <c r="B18" s="12" t="s">
        <v>164</v>
      </c>
      <c r="C18" s="153" t="s">
        <v>127</v>
      </c>
      <c r="D18" s="631">
        <f>SUM(D9:D17)</f>
        <v>192.65003725499989</v>
      </c>
      <c r="E18" s="632">
        <f t="shared" ref="E18:K18" si="1">SUM(E9:E17)</f>
        <v>165.45234521000009</v>
      </c>
      <c r="F18" s="632">
        <f t="shared" si="1"/>
        <v>165.96794450000004</v>
      </c>
      <c r="G18" s="632">
        <f t="shared" si="1"/>
        <v>185.69798389661531</v>
      </c>
      <c r="H18" s="632">
        <f t="shared" si="1"/>
        <v>211.46006361724966</v>
      </c>
      <c r="I18" s="632">
        <f t="shared" si="1"/>
        <v>209.74302080530074</v>
      </c>
      <c r="J18" s="632">
        <f t="shared" si="1"/>
        <v>0</v>
      </c>
      <c r="K18" s="633">
        <f t="shared" si="1"/>
        <v>0</v>
      </c>
    </row>
    <row r="19" spans="1:11" s="2" customFormat="1">
      <c r="B19" s="130" t="s">
        <v>165</v>
      </c>
      <c r="C19" s="153" t="s">
        <v>127</v>
      </c>
      <c r="D19" s="634">
        <v>123.928846135</v>
      </c>
      <c r="E19" s="635">
        <v>120.94205091000001</v>
      </c>
      <c r="F19" s="635">
        <v>127.09161473605067</v>
      </c>
      <c r="G19" s="635">
        <v>133.01642267446709</v>
      </c>
      <c r="H19" s="635">
        <v>131.81593217</v>
      </c>
      <c r="I19" s="635">
        <v>134.57726431</v>
      </c>
      <c r="J19" s="635"/>
      <c r="K19" s="636"/>
    </row>
    <row r="20" spans="1:11" s="2" customFormat="1">
      <c r="A20" s="3">
        <v>1</v>
      </c>
      <c r="B20" s="860" t="s">
        <v>242</v>
      </c>
      <c r="C20" s="153" t="s">
        <v>127</v>
      </c>
      <c r="D20" s="590"/>
      <c r="E20" s="591"/>
      <c r="F20" s="591"/>
      <c r="G20" s="591"/>
      <c r="H20" s="591"/>
      <c r="I20" s="591"/>
      <c r="J20" s="591"/>
      <c r="K20" s="601"/>
    </row>
    <row r="21" spans="1:11" s="2" customFormat="1">
      <c r="A21" s="3">
        <v>2</v>
      </c>
      <c r="B21" s="860" t="s">
        <v>242</v>
      </c>
      <c r="C21" s="153" t="s">
        <v>127</v>
      </c>
      <c r="D21" s="592"/>
      <c r="E21" s="593"/>
      <c r="F21" s="593"/>
      <c r="G21" s="593"/>
      <c r="H21" s="593"/>
      <c r="I21" s="593"/>
      <c r="J21" s="593"/>
      <c r="K21" s="602"/>
    </row>
    <row r="22" spans="1:11" s="2" customFormat="1">
      <c r="A22" s="3">
        <v>3</v>
      </c>
      <c r="B22" s="860" t="s">
        <v>242</v>
      </c>
      <c r="C22" s="153" t="s">
        <v>127</v>
      </c>
      <c r="D22" s="592"/>
      <c r="E22" s="593"/>
      <c r="F22" s="593"/>
      <c r="G22" s="593"/>
      <c r="H22" s="593"/>
      <c r="I22" s="593"/>
      <c r="J22" s="593"/>
      <c r="K22" s="602"/>
    </row>
    <row r="23" spans="1:11" s="2" customFormat="1">
      <c r="B23" s="12" t="s">
        <v>166</v>
      </c>
      <c r="C23" s="153" t="s">
        <v>127</v>
      </c>
      <c r="D23" s="606">
        <f>SUM(D18:D22)</f>
        <v>316.57888338999987</v>
      </c>
      <c r="E23" s="607">
        <f t="shared" ref="E23:K23" si="2">SUM(E18:E22)</f>
        <v>286.39439612000012</v>
      </c>
      <c r="F23" s="607">
        <f t="shared" si="2"/>
        <v>293.05955923605075</v>
      </c>
      <c r="G23" s="607">
        <f t="shared" si="2"/>
        <v>318.71440657108241</v>
      </c>
      <c r="H23" s="607">
        <f t="shared" si="2"/>
        <v>343.27599578724966</v>
      </c>
      <c r="I23" s="607">
        <f t="shared" si="2"/>
        <v>344.32028511530075</v>
      </c>
      <c r="J23" s="607">
        <f t="shared" si="2"/>
        <v>0</v>
      </c>
      <c r="K23" s="608">
        <f t="shared" si="2"/>
        <v>0</v>
      </c>
    </row>
    <row r="24" spans="1:11" s="2" customFormat="1">
      <c r="C24" s="137"/>
      <c r="D24" s="52"/>
      <c r="E24" s="52"/>
      <c r="F24" s="52"/>
      <c r="G24" s="52"/>
      <c r="H24" s="52"/>
      <c r="I24" s="52"/>
      <c r="J24" s="52"/>
      <c r="K24" s="52"/>
    </row>
    <row r="25" spans="1:11" s="2" customFormat="1">
      <c r="B25" s="12" t="s">
        <v>447</v>
      </c>
      <c r="C25" s="153" t="s">
        <v>127</v>
      </c>
      <c r="D25" s="54"/>
    </row>
    <row r="26" spans="1:11" s="2" customFormat="1" ht="16.5" customHeight="1">
      <c r="A26" s="3">
        <v>1</v>
      </c>
      <c r="B26" s="925" t="s">
        <v>551</v>
      </c>
      <c r="C26" s="153" t="s">
        <v>127</v>
      </c>
      <c r="D26" s="590">
        <v>6.354969285688326</v>
      </c>
      <c r="E26" s="591">
        <v>8.094216225000002</v>
      </c>
      <c r="F26" s="591">
        <v>9.5626619549999994</v>
      </c>
      <c r="G26" s="591">
        <v>5.1060997700000001</v>
      </c>
      <c r="H26" s="591">
        <v>6.2344733800000007</v>
      </c>
      <c r="I26" s="591">
        <v>7.5306202200000003</v>
      </c>
      <c r="J26" s="591"/>
      <c r="K26" s="601"/>
    </row>
    <row r="27" spans="1:11" s="2" customFormat="1" ht="60.75" customHeight="1">
      <c r="A27" s="3">
        <v>2</v>
      </c>
      <c r="B27" s="925" t="s">
        <v>552</v>
      </c>
      <c r="C27" s="153" t="s">
        <v>127</v>
      </c>
      <c r="D27" s="592">
        <v>8.4992940000000017E-2</v>
      </c>
      <c r="E27" s="593">
        <v>3.7637198401328287E-2</v>
      </c>
      <c r="F27" s="593">
        <v>8.8637290909090449E-3</v>
      </c>
      <c r="G27" s="593">
        <v>-0.24296385999999992</v>
      </c>
      <c r="H27" s="593">
        <v>0.18600000000000003</v>
      </c>
      <c r="I27" s="593">
        <v>-0.30866399999999999</v>
      </c>
      <c r="J27" s="593"/>
      <c r="K27" s="602"/>
    </row>
    <row r="28" spans="1:11" s="2" customFormat="1" ht="31.5" customHeight="1">
      <c r="A28" s="3">
        <v>3</v>
      </c>
      <c r="B28" s="925" t="s">
        <v>553</v>
      </c>
      <c r="C28" s="153" t="s">
        <v>127</v>
      </c>
      <c r="D28" s="592">
        <v>0.72271016999999993</v>
      </c>
      <c r="E28" s="593">
        <v>-4.3931635000000017E-2</v>
      </c>
      <c r="F28" s="593">
        <v>0.46542402499999996</v>
      </c>
      <c r="G28" s="593">
        <v>0.61866771000000009</v>
      </c>
      <c r="H28" s="593">
        <v>0.83428144500000012</v>
      </c>
      <c r="I28" s="593">
        <v>0.49023184999999997</v>
      </c>
      <c r="J28" s="593"/>
      <c r="K28" s="602"/>
    </row>
    <row r="29" spans="1:11" s="2" customFormat="1" ht="32.25" customHeight="1">
      <c r="A29" s="3">
        <v>4</v>
      </c>
      <c r="B29" s="925" t="s">
        <v>554</v>
      </c>
      <c r="C29" s="153" t="s">
        <v>127</v>
      </c>
      <c r="D29" s="592"/>
      <c r="E29" s="593">
        <v>-0.3416056268677003</v>
      </c>
      <c r="F29" s="593">
        <v>-0.55312807999999991</v>
      </c>
      <c r="G29" s="593">
        <v>-0.35541862499999999</v>
      </c>
      <c r="H29" s="593">
        <v>-0.17661592321611205</v>
      </c>
      <c r="I29" s="593">
        <v>-1.312067875994341E-2</v>
      </c>
      <c r="J29" s="593"/>
      <c r="K29" s="602"/>
    </row>
    <row r="30" spans="1:11" s="2" customFormat="1" ht="32.25" customHeight="1">
      <c r="A30" s="3">
        <v>5</v>
      </c>
      <c r="B30" s="925" t="s">
        <v>555</v>
      </c>
      <c r="C30" s="153" t="s">
        <v>127</v>
      </c>
      <c r="D30" s="592">
        <v>-1.58060117</v>
      </c>
      <c r="E30" s="593">
        <v>-8.3856570000000005E-2</v>
      </c>
      <c r="F30" s="593">
        <v>-0.24265197999999999</v>
      </c>
      <c r="G30" s="593">
        <v>-0.65832199000000002</v>
      </c>
      <c r="H30" s="593">
        <v>-8.9907860000000006E-2</v>
      </c>
      <c r="I30" s="593">
        <v>0.24241405000000002</v>
      </c>
      <c r="J30" s="593"/>
      <c r="K30" s="602"/>
    </row>
    <row r="31" spans="1:11" s="2" customFormat="1" ht="27.75" customHeight="1">
      <c r="A31" s="3">
        <v>6</v>
      </c>
      <c r="B31" s="925" t="s">
        <v>556</v>
      </c>
      <c r="C31" s="153" t="s">
        <v>127</v>
      </c>
      <c r="D31" s="592">
        <v>-4.1711802216431897</v>
      </c>
      <c r="E31" s="593">
        <v>-4.641256496632006</v>
      </c>
      <c r="F31" s="593">
        <v>-5.4660625298644341</v>
      </c>
      <c r="G31" s="593">
        <v>-6.1694980458901396</v>
      </c>
      <c r="H31" s="593">
        <v>-6.2946931534253512</v>
      </c>
      <c r="I31" s="593">
        <v>-6.4026399552674436</v>
      </c>
      <c r="J31" s="593"/>
      <c r="K31" s="602"/>
    </row>
    <row r="32" spans="1:11" s="2" customFormat="1" ht="16.5" customHeight="1">
      <c r="A32" s="3">
        <v>7</v>
      </c>
      <c r="B32" s="924" t="s">
        <v>557</v>
      </c>
      <c r="C32" s="153" t="s">
        <v>127</v>
      </c>
      <c r="D32" s="592">
        <v>-1.7262299999999998E-2</v>
      </c>
      <c r="E32" s="593"/>
      <c r="F32" s="593"/>
      <c r="G32" s="593"/>
      <c r="H32" s="593"/>
      <c r="I32" s="593"/>
      <c r="J32" s="593"/>
      <c r="K32" s="602"/>
    </row>
    <row r="33" spans="1:11" s="2" customFormat="1" ht="15.75" customHeight="1">
      <c r="A33" s="3">
        <v>8</v>
      </c>
      <c r="B33" s="924" t="s">
        <v>593</v>
      </c>
      <c r="C33" s="153" t="s">
        <v>127</v>
      </c>
      <c r="D33" s="592"/>
      <c r="E33" s="593">
        <v>-0.2</v>
      </c>
      <c r="F33" s="593"/>
      <c r="G33" s="593"/>
      <c r="H33" s="593">
        <v>0.43735992410792995</v>
      </c>
      <c r="I33" s="593">
        <v>0.36487431850000007</v>
      </c>
      <c r="J33" s="593"/>
      <c r="K33" s="602"/>
    </row>
    <row r="34" spans="1:11" s="2" customFormat="1" ht="19.5" customHeight="1">
      <c r="A34" s="3">
        <v>9</v>
      </c>
      <c r="B34" s="925" t="s">
        <v>558</v>
      </c>
      <c r="C34" s="153" t="s">
        <v>127</v>
      </c>
      <c r="D34" s="592"/>
      <c r="E34" s="593"/>
      <c r="F34" s="593">
        <v>0.2665882186224135</v>
      </c>
      <c r="G34" s="593">
        <v>0.27919838097348892</v>
      </c>
      <c r="H34" s="593">
        <v>0.32003129687985488</v>
      </c>
      <c r="I34" s="593">
        <v>0.31146756609120374</v>
      </c>
      <c r="J34" s="593"/>
      <c r="K34" s="602"/>
    </row>
    <row r="35" spans="1:11" s="2" customFormat="1" ht="15.75" customHeight="1">
      <c r="A35" s="3">
        <v>10</v>
      </c>
      <c r="B35" s="925" t="s">
        <v>559</v>
      </c>
      <c r="C35" s="153" t="s">
        <v>127</v>
      </c>
      <c r="D35" s="592"/>
      <c r="E35" s="593"/>
      <c r="F35" s="593">
        <v>-4.605533648668212E-2</v>
      </c>
      <c r="G35" s="593">
        <v>-0.24160684040296318</v>
      </c>
      <c r="H35" s="593">
        <v>-0.43932940036648516</v>
      </c>
      <c r="I35" s="593">
        <v>-0.73342329185339117</v>
      </c>
      <c r="J35" s="593"/>
      <c r="K35" s="602"/>
    </row>
    <row r="36" spans="1:11" s="2" customFormat="1" ht="15" customHeight="1">
      <c r="A36" s="3">
        <v>11</v>
      </c>
      <c r="B36" s="924" t="s">
        <v>560</v>
      </c>
      <c r="C36" s="153" t="s">
        <v>127</v>
      </c>
      <c r="D36" s="592"/>
      <c r="E36" s="593"/>
      <c r="F36" s="593"/>
      <c r="G36" s="593">
        <v>-0.61951065000000005</v>
      </c>
      <c r="H36" s="593">
        <v>-0.62203774999999994</v>
      </c>
      <c r="I36" s="940">
        <v>-5.300003000000001E-2</v>
      </c>
      <c r="J36" s="593"/>
      <c r="K36" s="602"/>
    </row>
    <row r="37" spans="1:11" s="2" customFormat="1" ht="15" customHeight="1">
      <c r="A37" s="3">
        <v>12</v>
      </c>
      <c r="B37" s="924" t="s">
        <v>561</v>
      </c>
      <c r="C37" s="153" t="s">
        <v>127</v>
      </c>
      <c r="D37" s="592"/>
      <c r="E37" s="593"/>
      <c r="F37" s="593"/>
      <c r="G37" s="593">
        <v>-1.350951</v>
      </c>
      <c r="H37" s="593">
        <v>-1.5260333799999999</v>
      </c>
      <c r="I37" s="593">
        <v>-1.6605797499999999</v>
      </c>
      <c r="J37" s="593"/>
      <c r="K37" s="602"/>
    </row>
    <row r="38" spans="1:11" s="2" customFormat="1" ht="15.75" customHeight="1">
      <c r="A38" s="3">
        <v>13</v>
      </c>
      <c r="B38" s="925" t="s">
        <v>592</v>
      </c>
      <c r="C38" s="153" t="s">
        <v>127</v>
      </c>
      <c r="D38" s="592"/>
      <c r="E38" s="593"/>
      <c r="F38" s="593"/>
      <c r="G38" s="593"/>
      <c r="H38" s="593">
        <v>2.5514745699999999</v>
      </c>
      <c r="I38" s="593">
        <v>2.5151102999999999</v>
      </c>
      <c r="J38" s="593"/>
      <c r="K38" s="602"/>
    </row>
    <row r="39" spans="1:11" s="2" customFormat="1">
      <c r="A39" s="3">
        <v>14</v>
      </c>
      <c r="B39" s="931" t="s">
        <v>562</v>
      </c>
      <c r="C39" s="153" t="s">
        <v>127</v>
      </c>
      <c r="D39" s="592">
        <v>0.22260574363929209</v>
      </c>
      <c r="E39" s="593">
        <v>-6.8545294660850686E-2</v>
      </c>
      <c r="F39" s="593">
        <v>4.6622096311352834E-3</v>
      </c>
      <c r="G39" s="593">
        <v>-0.45333515404558966</v>
      </c>
      <c r="H39" s="593">
        <v>-0.68204664137402915</v>
      </c>
      <c r="I39" s="593">
        <v>-0.43406487280464034</v>
      </c>
      <c r="J39" s="593"/>
      <c r="K39" s="602"/>
    </row>
    <row r="40" spans="1:11" s="2" customFormat="1">
      <c r="A40" s="3">
        <v>15</v>
      </c>
      <c r="B40" s="931" t="s">
        <v>242</v>
      </c>
      <c r="C40" s="153" t="s">
        <v>127</v>
      </c>
      <c r="D40" s="592"/>
      <c r="E40" s="593"/>
      <c r="F40" s="593"/>
      <c r="G40" s="593"/>
      <c r="H40" s="593"/>
      <c r="I40" s="593"/>
      <c r="J40" s="593"/>
      <c r="K40" s="602"/>
    </row>
    <row r="41" spans="1:11" s="2" customFormat="1">
      <c r="A41" s="3">
        <v>16</v>
      </c>
      <c r="B41" s="515" t="s">
        <v>242</v>
      </c>
      <c r="C41" s="153" t="s">
        <v>127</v>
      </c>
      <c r="D41" s="592"/>
      <c r="E41" s="593"/>
      <c r="F41" s="593"/>
      <c r="G41" s="593"/>
      <c r="H41" s="593"/>
      <c r="I41" s="593"/>
      <c r="J41" s="593"/>
      <c r="K41" s="602"/>
    </row>
    <row r="42" spans="1:11" s="2" customFormat="1">
      <c r="A42" s="3">
        <v>17</v>
      </c>
      <c r="B42" s="515" t="s">
        <v>242</v>
      </c>
      <c r="C42" s="153" t="s">
        <v>127</v>
      </c>
      <c r="D42" s="592"/>
      <c r="E42" s="593"/>
      <c r="F42" s="593"/>
      <c r="G42" s="593"/>
      <c r="H42" s="593"/>
      <c r="I42" s="593"/>
      <c r="J42" s="593"/>
      <c r="K42" s="602"/>
    </row>
    <row r="43" spans="1:11" s="2" customFormat="1">
      <c r="A43" s="3">
        <v>18</v>
      </c>
      <c r="B43" s="515" t="s">
        <v>242</v>
      </c>
      <c r="C43" s="153" t="s">
        <v>127</v>
      </c>
      <c r="D43" s="592"/>
      <c r="E43" s="593"/>
      <c r="F43" s="593"/>
      <c r="G43" s="593"/>
      <c r="H43" s="593"/>
      <c r="I43" s="593"/>
      <c r="J43" s="593"/>
      <c r="K43" s="602"/>
    </row>
    <row r="44" spans="1:11" s="2" customFormat="1">
      <c r="A44" s="3">
        <v>19</v>
      </c>
      <c r="B44" s="515" t="s">
        <v>242</v>
      </c>
      <c r="C44" s="153" t="s">
        <v>127</v>
      </c>
      <c r="D44" s="592"/>
      <c r="E44" s="593"/>
      <c r="F44" s="593"/>
      <c r="G44" s="593"/>
      <c r="H44" s="593"/>
      <c r="I44" s="593"/>
      <c r="J44" s="593"/>
      <c r="K44" s="602"/>
    </row>
    <row r="45" spans="1:11" s="2" customFormat="1">
      <c r="A45" s="3">
        <v>20</v>
      </c>
      <c r="B45" s="515" t="s">
        <v>242</v>
      </c>
      <c r="C45" s="153" t="s">
        <v>127</v>
      </c>
      <c r="D45" s="592"/>
      <c r="E45" s="593"/>
      <c r="F45" s="593"/>
      <c r="G45" s="593"/>
      <c r="H45" s="593"/>
      <c r="I45" s="593"/>
      <c r="J45" s="593"/>
      <c r="K45" s="602"/>
    </row>
    <row r="46" spans="1:11" s="2" customFormat="1">
      <c r="B46" s="12" t="s">
        <v>400</v>
      </c>
      <c r="C46" s="153" t="s">
        <v>127</v>
      </c>
      <c r="D46" s="606">
        <f>SUM(D26:D45)</f>
        <v>1.6162344476844281</v>
      </c>
      <c r="E46" s="607">
        <f t="shared" ref="E46:K46" si="3">SUM(E26:E45)</f>
        <v>2.7526578002407724</v>
      </c>
      <c r="F46" s="607">
        <f t="shared" si="3"/>
        <v>4.0003022109933406</v>
      </c>
      <c r="G46" s="607">
        <f t="shared" si="3"/>
        <v>-4.0876403043652036</v>
      </c>
      <c r="H46" s="607">
        <f t="shared" si="3"/>
        <v>0.73295650760580777</v>
      </c>
      <c r="I46" s="607">
        <f t="shared" si="3"/>
        <v>1.8492257259057849</v>
      </c>
      <c r="J46" s="607">
        <f t="shared" si="3"/>
        <v>0</v>
      </c>
      <c r="K46" s="608">
        <f t="shared" si="3"/>
        <v>0</v>
      </c>
    </row>
    <row r="47" spans="1:11" s="2" customFormat="1">
      <c r="C47" s="137"/>
      <c r="D47" s="53"/>
      <c r="E47" s="52"/>
      <c r="F47" s="52"/>
      <c r="G47" s="52"/>
      <c r="H47" s="52"/>
      <c r="I47" s="52"/>
      <c r="J47" s="52"/>
      <c r="K47" s="52"/>
    </row>
    <row r="48" spans="1:11" s="2" customFormat="1">
      <c r="B48" s="12" t="s">
        <v>446</v>
      </c>
      <c r="C48" s="153" t="s">
        <v>127</v>
      </c>
      <c r="D48" s="606">
        <f>D46+D23</f>
        <v>318.19511783768428</v>
      </c>
      <c r="E48" s="607">
        <f t="shared" ref="E48:K48" si="4">E46+E23</f>
        <v>289.14705392024092</v>
      </c>
      <c r="F48" s="607">
        <f t="shared" si="4"/>
        <v>297.05986144704411</v>
      </c>
      <c r="G48" s="607">
        <f t="shared" si="4"/>
        <v>314.6267662667172</v>
      </c>
      <c r="H48" s="607">
        <f t="shared" si="4"/>
        <v>344.00895229485548</v>
      </c>
      <c r="I48" s="607">
        <f t="shared" si="4"/>
        <v>346.16951084120655</v>
      </c>
      <c r="J48" s="607">
        <f t="shared" si="4"/>
        <v>0</v>
      </c>
      <c r="K48" s="608">
        <f t="shared" si="4"/>
        <v>0</v>
      </c>
    </row>
    <row r="49" spans="1:14" s="2" customFormat="1">
      <c r="B49" s="2" t="s">
        <v>401</v>
      </c>
      <c r="C49" s="153" t="s">
        <v>127</v>
      </c>
      <c r="D49" s="590">
        <v>318.19511783768428</v>
      </c>
      <c r="E49" s="591">
        <v>289.14705392024092</v>
      </c>
      <c r="F49" s="591">
        <v>297.05986144704411</v>
      </c>
      <c r="G49" s="591">
        <v>314.6267662667172</v>
      </c>
      <c r="H49" s="591">
        <v>344.00895229485548</v>
      </c>
      <c r="I49" s="591">
        <v>346.16951084120655</v>
      </c>
      <c r="J49" s="591"/>
      <c r="K49" s="601"/>
      <c r="N49" s="939"/>
    </row>
    <row r="50" spans="1:14" s="2" customFormat="1">
      <c r="C50" s="137" t="s">
        <v>404</v>
      </c>
      <c r="D50" s="637" t="str">
        <f>IF(D$5="Actuals",IF(ABS(D48-D49)&lt;1,"OK","ERROR"),"N/A")</f>
        <v>OK</v>
      </c>
      <c r="E50" s="638" t="str">
        <f t="shared" ref="E50:K50" si="5">IF(E$5="Actuals",IF(ABS(E48-E49)&lt;1,"OK","ERROR"),"N/A")</f>
        <v>OK</v>
      </c>
      <c r="F50" s="638" t="str">
        <f t="shared" si="5"/>
        <v>OK</v>
      </c>
      <c r="G50" s="638" t="str">
        <f t="shared" si="5"/>
        <v>OK</v>
      </c>
      <c r="H50" s="638" t="str">
        <f t="shared" si="5"/>
        <v>OK</v>
      </c>
      <c r="I50" s="638" t="str">
        <f t="shared" si="5"/>
        <v>OK</v>
      </c>
      <c r="J50" s="638" t="str">
        <f t="shared" si="5"/>
        <v>N/A</v>
      </c>
      <c r="K50" s="639" t="str">
        <f t="shared" si="5"/>
        <v>N/A</v>
      </c>
    </row>
    <row r="51" spans="1:14" s="2" customFormat="1">
      <c r="B51" s="2" t="s">
        <v>84</v>
      </c>
      <c r="C51" s="137"/>
      <c r="D51" s="54"/>
    </row>
    <row r="52" spans="1:14" s="2" customFormat="1">
      <c r="B52" s="12" t="s">
        <v>402</v>
      </c>
      <c r="C52" s="153"/>
      <c r="D52" s="54"/>
    </row>
    <row r="53" spans="1:14" s="2" customFormat="1">
      <c r="A53" s="3">
        <v>1</v>
      </c>
      <c r="B53" s="514" t="s">
        <v>563</v>
      </c>
      <c r="C53" s="153" t="s">
        <v>127</v>
      </c>
      <c r="D53" s="590">
        <v>16.932072223808355</v>
      </c>
      <c r="E53" s="591">
        <v>18.308966734015566</v>
      </c>
      <c r="F53" s="591">
        <v>23.255566839386265</v>
      </c>
      <c r="G53" s="591">
        <v>18.301203804037776</v>
      </c>
      <c r="H53" s="591">
        <v>16.16995063586856</v>
      </c>
      <c r="I53" s="591">
        <v>18.408048287232013</v>
      </c>
      <c r="J53" s="591"/>
      <c r="K53" s="601"/>
    </row>
    <row r="54" spans="1:14" s="2" customFormat="1">
      <c r="A54" s="3">
        <v>2</v>
      </c>
      <c r="B54" s="514" t="s">
        <v>564</v>
      </c>
      <c r="C54" s="153" t="s">
        <v>127</v>
      </c>
      <c r="D54" s="592">
        <v>0.82024882477452832</v>
      </c>
      <c r="E54" s="593">
        <v>0.78253045889138895</v>
      </c>
      <c r="F54" s="593">
        <v>2.3310237800519578</v>
      </c>
      <c r="G54" s="593">
        <v>2.4119222903338851</v>
      </c>
      <c r="H54" s="593">
        <v>2.3356430368962631</v>
      </c>
      <c r="I54" s="593">
        <v>2.4687189218531769</v>
      </c>
      <c r="J54" s="593"/>
      <c r="K54" s="602"/>
    </row>
    <row r="55" spans="1:14" s="2" customFormat="1">
      <c r="A55" s="3">
        <v>3</v>
      </c>
      <c r="B55" s="514" t="s">
        <v>565</v>
      </c>
      <c r="C55" s="153" t="s">
        <v>127</v>
      </c>
      <c r="D55" s="592">
        <v>-1.7352047652160335E-4</v>
      </c>
      <c r="E55" s="593">
        <v>0</v>
      </c>
      <c r="F55" s="593">
        <v>0</v>
      </c>
      <c r="G55" s="593">
        <v>0</v>
      </c>
      <c r="H55" s="593">
        <v>0</v>
      </c>
      <c r="I55" s="593">
        <v>0</v>
      </c>
      <c r="J55" s="593"/>
      <c r="K55" s="602"/>
    </row>
    <row r="56" spans="1:14" s="2" customFormat="1">
      <c r="A56" s="3">
        <v>4</v>
      </c>
      <c r="B56" s="514" t="s">
        <v>566</v>
      </c>
      <c r="C56" s="153" t="s">
        <v>127</v>
      </c>
      <c r="D56" s="592">
        <v>40.811600793399997</v>
      </c>
      <c r="E56" s="593">
        <v>43.28493699545718</v>
      </c>
      <c r="F56" s="593">
        <v>42.51579210538857</v>
      </c>
      <c r="G56" s="593">
        <v>44.588145163153911</v>
      </c>
      <c r="H56" s="593">
        <v>46.025052264999999</v>
      </c>
      <c r="I56" s="593">
        <v>48.621910977650565</v>
      </c>
      <c r="J56" s="593"/>
      <c r="K56" s="602"/>
    </row>
    <row r="57" spans="1:14" s="2" customFormat="1">
      <c r="A57" s="3">
        <v>5</v>
      </c>
      <c r="B57" s="514" t="s">
        <v>567</v>
      </c>
      <c r="C57" s="153" t="s">
        <v>127</v>
      </c>
      <c r="D57" s="592">
        <v>8.7221531546560858</v>
      </c>
      <c r="E57" s="593">
        <v>5.3860793592417942</v>
      </c>
      <c r="F57" s="593">
        <v>6.643722624590243</v>
      </c>
      <c r="G57" s="593">
        <v>8.1697690688501883</v>
      </c>
      <c r="H57" s="593">
        <v>7.8426402354700917</v>
      </c>
      <c r="I57" s="593">
        <v>8.3919567616778448</v>
      </c>
      <c r="J57" s="593"/>
      <c r="K57" s="602"/>
    </row>
    <row r="58" spans="1:14" s="2" customFormat="1">
      <c r="A58" s="3">
        <v>6</v>
      </c>
      <c r="B58" s="514" t="s">
        <v>568</v>
      </c>
      <c r="C58" s="153" t="s">
        <v>127</v>
      </c>
      <c r="D58" s="592">
        <v>0.54367578254965276</v>
      </c>
      <c r="E58" s="593">
        <v>0.16936976129734344</v>
      </c>
      <c r="F58" s="593">
        <v>0.21151716670100493</v>
      </c>
      <c r="G58" s="593">
        <v>0.19372553597901679</v>
      </c>
      <c r="H58" s="593">
        <v>0.50822711323820857</v>
      </c>
      <c r="I58" s="593">
        <v>1.0967061168964523</v>
      </c>
      <c r="J58" s="593"/>
      <c r="K58" s="602"/>
    </row>
    <row r="59" spans="1:14" s="2" customFormat="1">
      <c r="A59" s="3">
        <v>7</v>
      </c>
      <c r="B59" s="514" t="s">
        <v>569</v>
      </c>
      <c r="C59" s="153" t="s">
        <v>127</v>
      </c>
      <c r="D59" s="592">
        <v>0.22753745999999997</v>
      </c>
      <c r="E59" s="593">
        <v>0.78934152000000002</v>
      </c>
      <c r="F59" s="593">
        <v>0.4157114400000001</v>
      </c>
      <c r="G59" s="593">
        <v>0.79135485999999999</v>
      </c>
      <c r="H59" s="593">
        <v>0.61099999999999999</v>
      </c>
      <c r="I59" s="593">
        <v>0.42266399999999998</v>
      </c>
      <c r="J59" s="593"/>
      <c r="K59" s="602"/>
    </row>
    <row r="60" spans="1:14" s="2" customFormat="1">
      <c r="A60" s="3">
        <v>8</v>
      </c>
      <c r="B60" s="514" t="s">
        <v>570</v>
      </c>
      <c r="C60" s="153" t="s">
        <v>127</v>
      </c>
      <c r="D60" s="592">
        <v>0.60478721000000013</v>
      </c>
      <c r="E60" s="593">
        <v>0.61419069000000004</v>
      </c>
      <c r="F60" s="593">
        <v>0.66206239</v>
      </c>
      <c r="G60" s="593">
        <v>0.54632916000000009</v>
      </c>
      <c r="H60" s="593">
        <v>1.1765418499999996</v>
      </c>
      <c r="I60" s="593">
        <v>1.0368289100000001</v>
      </c>
      <c r="J60" s="593"/>
      <c r="K60" s="602"/>
    </row>
    <row r="61" spans="1:14" s="2" customFormat="1">
      <c r="A61" s="3">
        <v>9</v>
      </c>
      <c r="B61" s="514" t="s">
        <v>242</v>
      </c>
      <c r="C61" s="153" t="s">
        <v>127</v>
      </c>
      <c r="D61" s="592"/>
      <c r="E61" s="593"/>
      <c r="F61" s="593"/>
      <c r="G61" s="593"/>
      <c r="H61" s="593"/>
      <c r="I61" s="593"/>
      <c r="J61" s="593"/>
      <c r="K61" s="602"/>
    </row>
    <row r="62" spans="1:14" s="2" customFormat="1">
      <c r="A62" s="3">
        <v>10</v>
      </c>
      <c r="B62" s="514" t="s">
        <v>242</v>
      </c>
      <c r="C62" s="153" t="s">
        <v>127</v>
      </c>
      <c r="D62" s="592"/>
      <c r="E62" s="593"/>
      <c r="F62" s="593"/>
      <c r="G62" s="593"/>
      <c r="H62" s="593"/>
      <c r="I62" s="593"/>
      <c r="J62" s="593"/>
      <c r="K62" s="602"/>
    </row>
    <row r="63" spans="1:14" s="2" customFormat="1">
      <c r="A63" s="3">
        <v>11</v>
      </c>
      <c r="B63" s="514" t="s">
        <v>242</v>
      </c>
      <c r="C63" s="153" t="s">
        <v>127</v>
      </c>
      <c r="D63" s="592"/>
      <c r="E63" s="593"/>
      <c r="F63" s="593"/>
      <c r="G63" s="593"/>
      <c r="H63" s="593"/>
      <c r="I63" s="593"/>
      <c r="J63" s="593"/>
      <c r="K63" s="602"/>
    </row>
    <row r="64" spans="1:14" s="2" customFormat="1">
      <c r="A64" s="3">
        <v>12</v>
      </c>
      <c r="B64" s="514" t="s">
        <v>242</v>
      </c>
      <c r="C64" s="153" t="s">
        <v>127</v>
      </c>
      <c r="D64" s="592"/>
      <c r="E64" s="593"/>
      <c r="F64" s="593"/>
      <c r="G64" s="593"/>
      <c r="H64" s="593"/>
      <c r="I64" s="593"/>
      <c r="J64" s="593"/>
      <c r="K64" s="602"/>
    </row>
    <row r="65" spans="1:11" s="2" customFormat="1">
      <c r="A65" s="3">
        <v>13</v>
      </c>
      <c r="B65" s="514" t="s">
        <v>242</v>
      </c>
      <c r="C65" s="153" t="s">
        <v>127</v>
      </c>
      <c r="D65" s="592"/>
      <c r="E65" s="593"/>
      <c r="F65" s="593"/>
      <c r="G65" s="593"/>
      <c r="H65" s="593"/>
      <c r="I65" s="593"/>
      <c r="J65" s="593"/>
      <c r="K65" s="602"/>
    </row>
    <row r="66" spans="1:11" s="2" customFormat="1">
      <c r="A66" s="3">
        <v>14</v>
      </c>
      <c r="B66" s="514" t="s">
        <v>242</v>
      </c>
      <c r="C66" s="153" t="s">
        <v>127</v>
      </c>
      <c r="D66" s="592"/>
      <c r="E66" s="593"/>
      <c r="F66" s="593"/>
      <c r="G66" s="593"/>
      <c r="H66" s="593"/>
      <c r="I66" s="593"/>
      <c r="J66" s="593"/>
      <c r="K66" s="602"/>
    </row>
    <row r="67" spans="1:11" s="2" customFormat="1">
      <c r="A67" s="3">
        <v>15</v>
      </c>
      <c r="B67" s="514" t="s">
        <v>242</v>
      </c>
      <c r="C67" s="153" t="s">
        <v>127</v>
      </c>
      <c r="D67" s="592"/>
      <c r="E67" s="593"/>
      <c r="F67" s="593"/>
      <c r="G67" s="593"/>
      <c r="H67" s="593"/>
      <c r="I67" s="593"/>
      <c r="J67" s="593"/>
      <c r="K67" s="602"/>
    </row>
    <row r="68" spans="1:11" s="2" customFormat="1">
      <c r="A68" s="3">
        <v>16</v>
      </c>
      <c r="B68" s="514" t="s">
        <v>242</v>
      </c>
      <c r="C68" s="153" t="s">
        <v>127</v>
      </c>
      <c r="D68" s="592"/>
      <c r="E68" s="593"/>
      <c r="F68" s="593"/>
      <c r="G68" s="593"/>
      <c r="H68" s="593"/>
      <c r="I68" s="593"/>
      <c r="J68" s="593"/>
      <c r="K68" s="602"/>
    </row>
    <row r="69" spans="1:11" s="2" customFormat="1">
      <c r="A69" s="3">
        <v>17</v>
      </c>
      <c r="B69" s="514" t="s">
        <v>242</v>
      </c>
      <c r="C69" s="153" t="s">
        <v>127</v>
      </c>
      <c r="D69" s="592"/>
      <c r="E69" s="593"/>
      <c r="F69" s="593"/>
      <c r="G69" s="593"/>
      <c r="H69" s="593"/>
      <c r="I69" s="593"/>
      <c r="J69" s="593"/>
      <c r="K69" s="602"/>
    </row>
    <row r="70" spans="1:11" s="2" customFormat="1">
      <c r="A70" s="3">
        <v>18</v>
      </c>
      <c r="B70" s="514" t="s">
        <v>242</v>
      </c>
      <c r="C70" s="153" t="s">
        <v>127</v>
      </c>
      <c r="D70" s="592"/>
      <c r="E70" s="593"/>
      <c r="F70" s="593"/>
      <c r="G70" s="593"/>
      <c r="H70" s="593"/>
      <c r="I70" s="593"/>
      <c r="J70" s="593"/>
      <c r="K70" s="602"/>
    </row>
    <row r="71" spans="1:11" s="2" customFormat="1">
      <c r="A71" s="3">
        <v>19</v>
      </c>
      <c r="B71" s="514" t="s">
        <v>242</v>
      </c>
      <c r="C71" s="153" t="s">
        <v>127</v>
      </c>
      <c r="D71" s="592"/>
      <c r="E71" s="593"/>
      <c r="F71" s="593"/>
      <c r="G71" s="593"/>
      <c r="H71" s="593"/>
      <c r="I71" s="593"/>
      <c r="J71" s="593"/>
      <c r="K71" s="602"/>
    </row>
    <row r="72" spans="1:11" s="2" customFormat="1">
      <c r="A72" s="3">
        <v>20</v>
      </c>
      <c r="B72" s="514" t="s">
        <v>242</v>
      </c>
      <c r="C72" s="153" t="s">
        <v>127</v>
      </c>
      <c r="D72" s="592"/>
      <c r="E72" s="593"/>
      <c r="F72" s="593"/>
      <c r="G72" s="593"/>
      <c r="H72" s="593"/>
      <c r="I72" s="593"/>
      <c r="J72" s="593"/>
      <c r="K72" s="602"/>
    </row>
    <row r="73" spans="1:11" s="2" customFormat="1">
      <c r="A73" s="3">
        <v>21</v>
      </c>
      <c r="B73" s="514" t="s">
        <v>242</v>
      </c>
      <c r="C73" s="153" t="s">
        <v>127</v>
      </c>
      <c r="D73" s="592"/>
      <c r="E73" s="593"/>
      <c r="F73" s="593"/>
      <c r="G73" s="593"/>
      <c r="H73" s="593"/>
      <c r="I73" s="593"/>
      <c r="J73" s="593"/>
      <c r="K73" s="602"/>
    </row>
    <row r="74" spans="1:11" s="2" customFormat="1">
      <c r="A74" s="3">
        <v>22</v>
      </c>
      <c r="B74" s="514" t="s">
        <v>242</v>
      </c>
      <c r="C74" s="153" t="s">
        <v>127</v>
      </c>
      <c r="D74" s="592"/>
      <c r="E74" s="593"/>
      <c r="F74" s="593"/>
      <c r="G74" s="593"/>
      <c r="H74" s="593"/>
      <c r="I74" s="593"/>
      <c r="J74" s="593"/>
      <c r="K74" s="602"/>
    </row>
    <row r="75" spans="1:11" s="2" customFormat="1">
      <c r="A75" s="3">
        <v>23</v>
      </c>
      <c r="B75" s="514" t="s">
        <v>242</v>
      </c>
      <c r="C75" s="153" t="s">
        <v>127</v>
      </c>
      <c r="D75" s="592"/>
      <c r="E75" s="593"/>
      <c r="F75" s="593"/>
      <c r="G75" s="593"/>
      <c r="H75" s="593"/>
      <c r="I75" s="593"/>
      <c r="J75" s="593"/>
      <c r="K75" s="602"/>
    </row>
    <row r="76" spans="1:11" s="2" customFormat="1">
      <c r="A76" s="3">
        <v>24</v>
      </c>
      <c r="B76" s="514" t="s">
        <v>242</v>
      </c>
      <c r="C76" s="153" t="s">
        <v>127</v>
      </c>
      <c r="D76" s="592"/>
      <c r="E76" s="593"/>
      <c r="F76" s="593"/>
      <c r="G76" s="593"/>
      <c r="H76" s="593"/>
      <c r="I76" s="593"/>
      <c r="J76" s="593"/>
      <c r="K76" s="602"/>
    </row>
    <row r="77" spans="1:11" s="2" customFormat="1">
      <c r="A77" s="3">
        <v>25</v>
      </c>
      <c r="B77" s="514" t="s">
        <v>242</v>
      </c>
      <c r="C77" s="153" t="s">
        <v>127</v>
      </c>
      <c r="D77" s="628"/>
      <c r="E77" s="629"/>
      <c r="F77" s="629"/>
      <c r="G77" s="629"/>
      <c r="H77" s="629"/>
      <c r="I77" s="629"/>
      <c r="J77" s="629"/>
      <c r="K77" s="630"/>
    </row>
    <row r="78" spans="1:11" s="2" customFormat="1">
      <c r="B78" s="12" t="s">
        <v>170</v>
      </c>
      <c r="C78" s="153" t="s">
        <v>127</v>
      </c>
      <c r="D78" s="606">
        <f>SUM(D53:D77)</f>
        <v>68.661901928712084</v>
      </c>
      <c r="E78" s="607">
        <f t="shared" ref="E78:K78" si="6">SUM(E53:E77)</f>
        <v>69.335415518903275</v>
      </c>
      <c r="F78" s="607">
        <f t="shared" si="6"/>
        <v>76.035396346118034</v>
      </c>
      <c r="G78" s="607">
        <f t="shared" si="6"/>
        <v>75.002449882354767</v>
      </c>
      <c r="H78" s="607">
        <f t="shared" si="6"/>
        <v>74.669055136473133</v>
      </c>
      <c r="I78" s="607">
        <f t="shared" si="6"/>
        <v>80.446833975310057</v>
      </c>
      <c r="J78" s="607">
        <f t="shared" si="6"/>
        <v>0</v>
      </c>
      <c r="K78" s="608">
        <f t="shared" si="6"/>
        <v>0</v>
      </c>
    </row>
    <row r="79" spans="1:11" s="2" customFormat="1">
      <c r="C79" s="137"/>
      <c r="D79" s="53"/>
      <c r="E79" s="52"/>
      <c r="F79" s="52"/>
      <c r="G79" s="52"/>
      <c r="H79" s="52"/>
      <c r="I79" s="52"/>
      <c r="J79" s="52"/>
      <c r="K79" s="52"/>
    </row>
    <row r="80" spans="1:11" s="2" customFormat="1">
      <c r="B80" s="12" t="s">
        <v>403</v>
      </c>
      <c r="C80" s="153" t="s">
        <v>127</v>
      </c>
      <c r="D80" s="606">
        <f>D48-D78</f>
        <v>249.53321590897218</v>
      </c>
      <c r="E80" s="607">
        <f t="shared" ref="E80:K80" si="7">E48-E78</f>
        <v>219.81163840133763</v>
      </c>
      <c r="F80" s="607">
        <f t="shared" si="7"/>
        <v>221.02446510092608</v>
      </c>
      <c r="G80" s="607">
        <f t="shared" si="7"/>
        <v>239.62431638436243</v>
      </c>
      <c r="H80" s="607">
        <f t="shared" si="7"/>
        <v>269.33989715838231</v>
      </c>
      <c r="I80" s="607">
        <f t="shared" si="7"/>
        <v>265.72267686589646</v>
      </c>
      <c r="J80" s="607">
        <f t="shared" si="7"/>
        <v>0</v>
      </c>
      <c r="K80" s="608">
        <f t="shared" si="7"/>
        <v>0</v>
      </c>
    </row>
    <row r="81" spans="2:14" s="2" customFormat="1">
      <c r="B81" s="12" t="s">
        <v>488</v>
      </c>
      <c r="C81" s="153" t="s">
        <v>127</v>
      </c>
      <c r="D81" s="640">
        <f>'R4 - Totex'!D90+'R4 - Totex'!D118</f>
        <v>249.53321590897215</v>
      </c>
      <c r="E81" s="641">
        <f>'R4 - Totex'!E90+'R4 - Totex'!E118</f>
        <v>219.81163840133766</v>
      </c>
      <c r="F81" s="641">
        <f>'R4 - Totex'!F90+'R4 - Totex'!F118</f>
        <v>221.02446510092605</v>
      </c>
      <c r="G81" s="641">
        <f>'R4 - Totex'!G90+'R4 - Totex'!G118</f>
        <v>239.62431638436237</v>
      </c>
      <c r="H81" s="641">
        <f>'R4 - Totex'!H90+'R4 - Totex'!H118</f>
        <v>269.33989715838243</v>
      </c>
      <c r="I81" s="641">
        <f>'R4 - Totex'!I90+'R4 - Totex'!I118</f>
        <v>265.72267686589652</v>
      </c>
      <c r="J81" s="641">
        <f>'R4 - Totex'!J90+'R4 - Totex'!J118</f>
        <v>281.14549168015378</v>
      </c>
      <c r="K81" s="641">
        <f>'R4 - Totex'!K90+'R4 - Totex'!K118</f>
        <v>260.01785017900607</v>
      </c>
      <c r="M81" s="938"/>
      <c r="N81" s="938"/>
    </row>
    <row r="82" spans="2:14" s="2" customFormat="1">
      <c r="C82" s="137" t="s">
        <v>404</v>
      </c>
      <c r="D82" s="568" t="str">
        <f>IF(D$5="Actuals",IF(ABS(D80-('R4 - Totex'!D90+'R4 - Totex'!D118))&lt;'RFPR cover'!$F$14,"OK","Error"),"N/A")</f>
        <v>OK</v>
      </c>
      <c r="E82" s="568" t="str">
        <f>IF(E$5="Actuals",IF(ABS(E80-('R4 - Totex'!E90+'R4 - Totex'!E118))&lt;'RFPR cover'!$F$14,"OK","Error"),"N/A")</f>
        <v>OK</v>
      </c>
      <c r="F82" s="568" t="str">
        <f>IF(F$5="Actuals",IF(ABS(F80-('R4 - Totex'!F90+'R4 - Totex'!F118))&lt;'RFPR cover'!$F$14,"OK","Error"),"N/A")</f>
        <v>OK</v>
      </c>
      <c r="G82" s="568" t="str">
        <f>IF(G$5="Actuals",IF(ABS(G80-('R4 - Totex'!G90+'R4 - Totex'!G118))&lt;'RFPR cover'!$F$14,"OK","Error"),"N/A")</f>
        <v>OK</v>
      </c>
      <c r="H82" s="568" t="str">
        <f>IF(H$5="Actuals",IF(ABS(H80-('R4 - Totex'!H90+'R4 - Totex'!H118))&lt;'RFPR cover'!$F$14,"OK","Error"),"N/A")</f>
        <v>OK</v>
      </c>
      <c r="I82" s="568" t="str">
        <f>IF(I$5="Actuals",IF(ABS(I80-('R4 - Totex'!I90+'R4 - Totex'!I118))&lt;'RFPR cover'!$F$14,"OK","Error"),"N/A")</f>
        <v>OK</v>
      </c>
      <c r="J82" s="568" t="str">
        <f>IF(J$5="Actuals",IF(ABS(J80-('R4 - Totex'!J90+'R4 - Totex'!J118))&lt;'RFPR cover'!$F$14,"OK","Error"),"N/A")</f>
        <v>N/A</v>
      </c>
      <c r="K82" s="568" t="str">
        <f>IF(K$5="Actuals",IF(ABS(K80-('R4 - Totex'!K90+'R4 - Totex'!K118))&lt;'RFPR cover'!$F$14,"OK","Error"),"N/A")</f>
        <v>N/A</v>
      </c>
    </row>
    <row r="83" spans="2:14" s="2" customFormat="1">
      <c r="C83" s="137"/>
    </row>
    <row r="84" spans="2:14">
      <c r="D84" s="216"/>
      <c r="E84" s="216"/>
      <c r="F84" s="216"/>
      <c r="G84" s="216"/>
      <c r="H84" s="216"/>
      <c r="I84" s="216"/>
      <c r="J84" s="216"/>
      <c r="K84" s="216"/>
    </row>
    <row r="85" spans="2:14">
      <c r="D85" s="216"/>
      <c r="E85" s="216"/>
      <c r="F85" s="216"/>
      <c r="G85" s="216"/>
      <c r="H85" s="216"/>
      <c r="I85" s="216"/>
      <c r="J85" s="216"/>
      <c r="K85" s="216"/>
    </row>
    <row r="86" spans="2:14">
      <c r="D86" s="216"/>
      <c r="E86" s="216"/>
      <c r="F86" s="216"/>
      <c r="G86" s="216"/>
      <c r="H86" s="216"/>
      <c r="I86" s="216"/>
      <c r="J86" s="216"/>
      <c r="K86" s="216"/>
    </row>
  </sheetData>
  <sheetProtection password="DA3D" sheet="1" objects="1" scenarios="1"/>
  <conditionalFormatting sqref="D6:J6">
    <cfRule type="expression" dxfId="70" priority="22">
      <formula>AND(D$5="Actuals",E$5="N/A")</formula>
    </cfRule>
  </conditionalFormatting>
  <conditionalFormatting sqref="D5:K5">
    <cfRule type="expression" dxfId="69" priority="13">
      <formula>AND(D$5="Actuals",E$5="N/A")</formula>
    </cfRule>
  </conditionalFormatting>
  <conditionalFormatting sqref="D40:K46 D48:K48 D53:K78 D80:K80 D82:K82 D18:K19 D23:K23 D9:K14 H26:K26 D50:K50 D49:H49 J49:K49 I27:K31 H32:K39">
    <cfRule type="expression" dxfId="68" priority="8">
      <formula>D$5="N/A"</formula>
    </cfRule>
  </conditionalFormatting>
  <conditionalFormatting sqref="D15:K17">
    <cfRule type="expression" dxfId="67" priority="7">
      <formula>D$5="N/A"</formula>
    </cfRule>
  </conditionalFormatting>
  <conditionalFormatting sqref="D20:K22">
    <cfRule type="expression" dxfId="66" priority="6">
      <formula>D$5="N/A"</formula>
    </cfRule>
  </conditionalFormatting>
  <conditionalFormatting sqref="D26:G38">
    <cfRule type="expression" dxfId="65" priority="5">
      <formula>D$5="N/A"</formula>
    </cfRule>
  </conditionalFormatting>
  <conditionalFormatting sqref="H27:H30">
    <cfRule type="expression" dxfId="64" priority="4">
      <formula>H$5="N/A"</formula>
    </cfRule>
  </conditionalFormatting>
  <conditionalFormatting sqref="H31">
    <cfRule type="expression" dxfId="63" priority="3">
      <formula>H$5="N/A"</formula>
    </cfRule>
  </conditionalFormatting>
  <conditionalFormatting sqref="D39:G39">
    <cfRule type="expression" dxfId="62" priority="2">
      <formula>D$5="N/A"</formula>
    </cfRule>
  </conditionalFormatting>
  <conditionalFormatting sqref="I49">
    <cfRule type="expression" dxfId="61" priority="1">
      <formula>I$5="N/A"</formula>
    </cfRule>
  </conditionalFormatting>
  <pageMargins left="0.70866141732283472" right="0.70866141732283472" top="0.74803149606299213" bottom="0.74803149606299213" header="0.31496062992125984" footer="0.31496062992125984"/>
  <pageSetup paperSize="8"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A4" sqref="A4"/>
      <selection pane="bottomLeft"/>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894" t="s">
        <v>99</v>
      </c>
      <c r="B1" s="916"/>
      <c r="C1" s="279"/>
      <c r="D1" s="257"/>
      <c r="E1" s="257"/>
      <c r="F1" s="257"/>
      <c r="G1" s="257"/>
      <c r="H1" s="257"/>
      <c r="I1" s="258"/>
      <c r="J1" s="258"/>
      <c r="K1" s="259"/>
      <c r="L1" s="259"/>
      <c r="M1" s="259"/>
      <c r="N1" s="259"/>
      <c r="O1" s="358"/>
    </row>
    <row r="2" spans="1:20" s="31" customFormat="1" ht="20.25">
      <c r="A2" s="897" t="str">
        <f>'RFPR cover'!C5</f>
        <v>NPgY</v>
      </c>
      <c r="B2" s="910"/>
      <c r="C2" s="135"/>
      <c r="D2" s="29"/>
      <c r="E2" s="29"/>
      <c r="F2" s="29"/>
      <c r="G2" s="29"/>
      <c r="H2" s="29"/>
      <c r="I2" s="27"/>
      <c r="J2" s="27"/>
      <c r="K2" s="27"/>
      <c r="L2" s="27"/>
      <c r="M2" s="27"/>
      <c r="N2" s="27"/>
      <c r="O2" s="124"/>
    </row>
    <row r="3" spans="1:20" s="31" customFormat="1" ht="20.25">
      <c r="A3" s="900">
        <f>'RFPR cover'!C7</f>
        <v>2021</v>
      </c>
      <c r="B3" s="911"/>
      <c r="C3" s="278"/>
      <c r="D3" s="261"/>
      <c r="E3" s="261"/>
      <c r="F3" s="261"/>
      <c r="G3" s="261"/>
      <c r="H3" s="261"/>
      <c r="I3" s="256"/>
      <c r="J3" s="256"/>
      <c r="K3" s="256"/>
      <c r="L3" s="256"/>
      <c r="M3" s="256"/>
      <c r="N3" s="256"/>
      <c r="O3" s="262"/>
    </row>
    <row r="4" spans="1:20" ht="12.75" customHeight="1"/>
    <row r="5" spans="1:20" ht="12.75" customHeight="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20" ht="27.75" customHeight="1">
      <c r="B6" s="772"/>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2021</v>
      </c>
      <c r="M6" s="120" t="s">
        <v>109</v>
      </c>
      <c r="N6" s="120" t="s">
        <v>308</v>
      </c>
    </row>
    <row r="7" spans="1:20" s="35" customFormat="1">
      <c r="B7" s="773"/>
      <c r="C7" s="159"/>
      <c r="D7" s="58"/>
      <c r="E7" s="58"/>
      <c r="F7" s="58"/>
      <c r="G7" s="58"/>
      <c r="H7" s="58"/>
      <c r="I7" s="58"/>
      <c r="J7" s="58"/>
      <c r="K7" s="58"/>
      <c r="L7" s="58"/>
      <c r="M7" s="58"/>
      <c r="N7" s="58"/>
    </row>
    <row r="8" spans="1:20" s="35" customFormat="1">
      <c r="B8" s="774" t="s">
        <v>391</v>
      </c>
      <c r="C8" s="290"/>
      <c r="D8" s="320"/>
      <c r="E8" s="320"/>
      <c r="F8" s="320"/>
      <c r="G8" s="320"/>
      <c r="H8" s="320"/>
      <c r="I8" s="320"/>
      <c r="J8" s="320"/>
      <c r="K8" s="320"/>
      <c r="L8" s="320"/>
      <c r="M8" s="320"/>
      <c r="N8" s="320"/>
    </row>
    <row r="9" spans="1:20" s="35" customFormat="1">
      <c r="B9" s="773"/>
      <c r="C9" s="159"/>
      <c r="D9" s="58"/>
      <c r="E9" s="58"/>
      <c r="F9" s="58"/>
      <c r="G9" s="58"/>
      <c r="H9" s="58"/>
      <c r="I9" s="58"/>
      <c r="J9" s="58"/>
      <c r="K9" s="58"/>
      <c r="L9" s="58"/>
      <c r="M9" s="58"/>
      <c r="N9" s="58"/>
    </row>
    <row r="10" spans="1:20">
      <c r="A10" s="35"/>
      <c r="B10" s="775" t="str">
        <f>Data!B48</f>
        <v>Totex</v>
      </c>
      <c r="C10" s="151"/>
      <c r="D10" s="82"/>
      <c r="E10" s="82"/>
      <c r="F10" s="82"/>
      <c r="G10" s="82"/>
      <c r="H10" s="82"/>
      <c r="I10" s="82"/>
      <c r="J10" s="82"/>
      <c r="K10" s="82"/>
      <c r="L10" s="82"/>
      <c r="M10" s="82"/>
      <c r="N10" s="82"/>
    </row>
    <row r="11" spans="1:20" s="35" customFormat="1">
      <c r="B11" s="776"/>
      <c r="C11" s="139"/>
      <c r="D11" s="319"/>
      <c r="E11" s="319"/>
      <c r="F11" s="319"/>
      <c r="G11" s="319"/>
      <c r="H11" s="319"/>
      <c r="I11" s="319"/>
      <c r="J11" s="319"/>
      <c r="K11" s="319"/>
      <c r="L11" s="319"/>
      <c r="M11" s="319"/>
      <c r="N11" s="319"/>
    </row>
    <row r="12" spans="1:20">
      <c r="A12" s="35"/>
      <c r="B12" s="304" t="s">
        <v>34</v>
      </c>
      <c r="C12" s="156" t="str">
        <f>'RFPR cover'!$C$14</f>
        <v>£m 12/13</v>
      </c>
      <c r="D12" s="477">
        <v>235.33837099570127</v>
      </c>
      <c r="E12" s="477">
        <v>202.95862752780192</v>
      </c>
      <c r="F12" s="477">
        <v>196.7173054206101</v>
      </c>
      <c r="G12" s="477">
        <v>206.94819634935783</v>
      </c>
      <c r="H12" s="477">
        <v>226.74196894195339</v>
      </c>
      <c r="I12" s="478">
        <v>221.0162797396147</v>
      </c>
      <c r="J12" s="478">
        <v>227.80739379390644</v>
      </c>
      <c r="K12" s="478">
        <v>204.40264511888054</v>
      </c>
      <c r="L12" s="108">
        <f>SUM(D12:INDEX(D12:K12,0,MATCH('RFPR cover'!$C$7,$D$6:$K$6,0)))</f>
        <v>1289.7207489750392</v>
      </c>
      <c r="M12" s="109">
        <f>SUM(D12:K12)</f>
        <v>1721.9307878878262</v>
      </c>
      <c r="N12" s="63"/>
      <c r="O12" s="63"/>
    </row>
    <row r="13" spans="1:20" ht="25.5">
      <c r="A13" s="35"/>
      <c r="B13" s="777" t="s">
        <v>500</v>
      </c>
      <c r="C13" s="156" t="str">
        <f>'RFPR cover'!$C$14</f>
        <v>£m 12/13</v>
      </c>
      <c r="D13" s="479">
        <v>241.69120703154249</v>
      </c>
      <c r="E13" s="479">
        <v>227.88259046629412</v>
      </c>
      <c r="F13" s="479">
        <v>224.08281015871196</v>
      </c>
      <c r="G13" s="479">
        <v>226.16507296440759</v>
      </c>
      <c r="H13" s="479">
        <v>214.92618749514878</v>
      </c>
      <c r="I13" s="480">
        <v>204.56440250327546</v>
      </c>
      <c r="J13" s="480">
        <v>190.40709502734043</v>
      </c>
      <c r="K13" s="480">
        <v>194.91091398791622</v>
      </c>
      <c r="L13" s="106">
        <f>SUM(D13:INDEX(D13:K13,0,MATCH('RFPR cover'!$C$7,$D$6:$K$6,0)))</f>
        <v>1339.3122706193803</v>
      </c>
      <c r="M13" s="107">
        <f>SUM(D13:K13)</f>
        <v>1724.630279634637</v>
      </c>
      <c r="N13" s="63"/>
      <c r="O13" s="63"/>
    </row>
    <row r="14" spans="1:20">
      <c r="A14" s="35"/>
      <c r="B14" s="778" t="s">
        <v>194</v>
      </c>
      <c r="C14" s="156" t="str">
        <f>'RFPR cover'!$C$14</f>
        <v>£m 12/13</v>
      </c>
      <c r="D14" s="103">
        <f>D13-D12</f>
        <v>6.3528360358412215</v>
      </c>
      <c r="E14" s="104">
        <f t="shared" ref="E14:M14" si="1">E13-E12</f>
        <v>24.923962938492195</v>
      </c>
      <c r="F14" s="104">
        <f t="shared" si="1"/>
        <v>27.365504738101862</v>
      </c>
      <c r="G14" s="104">
        <f t="shared" si="1"/>
        <v>19.216876615049756</v>
      </c>
      <c r="H14" s="104">
        <f t="shared" si="1"/>
        <v>-11.815781446804607</v>
      </c>
      <c r="I14" s="104">
        <f t="shared" si="1"/>
        <v>-16.451877236339243</v>
      </c>
      <c r="J14" s="104">
        <f t="shared" si="1"/>
        <v>-37.40029876656601</v>
      </c>
      <c r="K14" s="104">
        <f t="shared" si="1"/>
        <v>-9.4917311309643253</v>
      </c>
      <c r="L14" s="103">
        <f t="shared" si="1"/>
        <v>49.591521644341128</v>
      </c>
      <c r="M14" s="105">
        <f t="shared" si="1"/>
        <v>2.699491746810736</v>
      </c>
      <c r="N14" s="63"/>
      <c r="O14" s="984"/>
      <c r="P14" s="984"/>
      <c r="Q14" s="984"/>
      <c r="R14"/>
      <c r="S14"/>
      <c r="T14"/>
    </row>
    <row r="15" spans="1:20">
      <c r="A15" s="35"/>
      <c r="B15" s="778"/>
      <c r="C15" s="156"/>
      <c r="D15" s="59"/>
      <c r="E15" s="59"/>
      <c r="F15" s="59"/>
      <c r="G15" s="59"/>
      <c r="H15" s="59"/>
      <c r="I15" s="59"/>
      <c r="J15" s="59"/>
      <c r="K15" s="59"/>
      <c r="L15" s="59"/>
      <c r="M15" s="59"/>
      <c r="O15" s="64"/>
      <c r="P15" s="64"/>
      <c r="Q15" s="64"/>
      <c r="R15"/>
      <c r="S15"/>
      <c r="T15"/>
    </row>
    <row r="16" spans="1:20">
      <c r="A16" s="35"/>
      <c r="B16" s="772" t="s">
        <v>177</v>
      </c>
      <c r="C16" s="137" t="s">
        <v>7</v>
      </c>
      <c r="D16" s="110">
        <f>1-INDEX(Data!$D$73:$D$100,MATCH('RFPR cover'!$C$5,Data!$B$73:$B$100,0),0)</f>
        <v>0.44156296542217133</v>
      </c>
      <c r="E16" s="111">
        <f>1-INDEX(Data!$D$73:$D$100,MATCH('RFPR cover'!$C$5,Data!$B$73:$B$100,0),0)</f>
        <v>0.44156296542217133</v>
      </c>
      <c r="F16" s="111">
        <f>1-INDEX(Data!$D$73:$D$100,MATCH('RFPR cover'!$C$5,Data!$B$73:$B$100,0),0)</f>
        <v>0.44156296542217133</v>
      </c>
      <c r="G16" s="111">
        <f>1-INDEX(Data!$D$73:$D$100,MATCH('RFPR cover'!$C$5,Data!$B$73:$B$100,0),0)</f>
        <v>0.44156296542217133</v>
      </c>
      <c r="H16" s="111">
        <f>1-INDEX(Data!$D$73:$D$100,MATCH('RFPR cover'!$C$5,Data!$B$73:$B$100,0),0)</f>
        <v>0.44156296542217133</v>
      </c>
      <c r="I16" s="111">
        <f>1-INDEX(Data!$D$73:$D$100,MATCH('RFPR cover'!$C$5,Data!$B$73:$B$100,0),0)</f>
        <v>0.44156296542217133</v>
      </c>
      <c r="J16" s="111">
        <f>1-INDEX(Data!$D$73:$D$100,MATCH('RFPR cover'!$C$5,Data!$B$73:$B$100,0),0)</f>
        <v>0.44156296542217133</v>
      </c>
      <c r="K16" s="112">
        <f>1-INDEX(Data!$D$73:$D$100,MATCH('RFPR cover'!$C$5,Data!$B$73:$B$100,0),0)</f>
        <v>0.44156296542217133</v>
      </c>
      <c r="L16" s="62"/>
      <c r="M16" s="62"/>
      <c r="O16"/>
      <c r="P16"/>
      <c r="Q16"/>
      <c r="R16"/>
      <c r="S16"/>
      <c r="T16"/>
    </row>
    <row r="17" spans="1:20">
      <c r="A17" s="35"/>
      <c r="B17" s="772"/>
      <c r="O17"/>
      <c r="P17"/>
      <c r="Q17"/>
      <c r="R17"/>
      <c r="S17"/>
      <c r="T17"/>
    </row>
    <row r="18" spans="1:20">
      <c r="A18" s="35"/>
      <c r="B18" s="779" t="s">
        <v>182</v>
      </c>
      <c r="C18" s="160" t="str">
        <f>'RFPR cover'!$C$14</f>
        <v>£m 12/13</v>
      </c>
      <c r="D18" s="96">
        <f>D14*D16</f>
        <v>2.8051771188268813</v>
      </c>
      <c r="E18" s="97">
        <f t="shared" ref="E18:K18" si="2">E14*E16</f>
        <v>11.00549898519291</v>
      </c>
      <c r="F18" s="97">
        <f t="shared" si="2"/>
        <v>12.083593422430738</v>
      </c>
      <c r="G18" s="97">
        <f t="shared" si="2"/>
        <v>8.4854610242933486</v>
      </c>
      <c r="H18" s="97">
        <f t="shared" si="2"/>
        <v>-5.2174114944313166</v>
      </c>
      <c r="I18" s="97">
        <f t="shared" si="2"/>
        <v>-7.2645396992394726</v>
      </c>
      <c r="J18" s="97">
        <f t="shared" si="2"/>
        <v>-16.514586831040063</v>
      </c>
      <c r="K18" s="97">
        <f t="shared" si="2"/>
        <v>-4.1911969451785476</v>
      </c>
      <c r="L18" s="96">
        <f>SUM(D18:INDEX(D18:K18,0,MATCH('RFPR cover'!$C$7,$D$6:$K$6,0)))</f>
        <v>21.897779357073091</v>
      </c>
      <c r="M18" s="98">
        <f>SUM(D18:K18)</f>
        <v>1.1919955808544804</v>
      </c>
      <c r="O18"/>
      <c r="P18"/>
      <c r="Q18"/>
      <c r="R18"/>
      <c r="S18"/>
      <c r="T18"/>
    </row>
    <row r="19" spans="1:20">
      <c r="A19" s="35"/>
      <c r="B19" s="779" t="s">
        <v>279</v>
      </c>
      <c r="C19" s="160" t="str">
        <f>'RFPR cover'!$C$14</f>
        <v>£m 12/13</v>
      </c>
      <c r="D19" s="93">
        <f>D14*(1-D16)</f>
        <v>3.5476589170143402</v>
      </c>
      <c r="E19" s="94">
        <f t="shared" ref="E19:K19" si="3">E14*(1-E16)</f>
        <v>13.918463953299286</v>
      </c>
      <c r="F19" s="94">
        <f t="shared" si="3"/>
        <v>15.281911315671124</v>
      </c>
      <c r="G19" s="94">
        <f t="shared" si="3"/>
        <v>10.731415590756407</v>
      </c>
      <c r="H19" s="94">
        <f t="shared" si="3"/>
        <v>-6.5983699523732904</v>
      </c>
      <c r="I19" s="94">
        <f t="shared" si="3"/>
        <v>-9.1873375370997703</v>
      </c>
      <c r="J19" s="94">
        <f t="shared" si="3"/>
        <v>-20.885711935525947</v>
      </c>
      <c r="K19" s="94">
        <f t="shared" si="3"/>
        <v>-5.3005341857857777</v>
      </c>
      <c r="L19" s="93">
        <f>SUM(D19:INDEX(D19:K19,0,MATCH('RFPR cover'!$C$7,$D$6:$K$6,0)))</f>
        <v>27.693742287268094</v>
      </c>
      <c r="M19" s="95">
        <f>SUM(D19:K19)</f>
        <v>1.5074961659563693</v>
      </c>
      <c r="O19"/>
      <c r="P19"/>
      <c r="Q19"/>
      <c r="R19"/>
      <c r="S19"/>
      <c r="T19"/>
    </row>
    <row r="20" spans="1:20">
      <c r="A20" s="35"/>
      <c r="B20" s="772"/>
      <c r="O20"/>
      <c r="P20"/>
      <c r="Q20"/>
      <c r="R20"/>
      <c r="S20"/>
      <c r="T20"/>
    </row>
    <row r="21" spans="1:20">
      <c r="A21" s="35"/>
      <c r="B21" s="780" t="s">
        <v>181</v>
      </c>
      <c r="N21" s="63"/>
      <c r="O21"/>
      <c r="P21"/>
      <c r="Q21"/>
      <c r="R21"/>
      <c r="S21"/>
      <c r="T21"/>
    </row>
    <row r="22" spans="1:20">
      <c r="A22" s="270" t="s">
        <v>150</v>
      </c>
      <c r="B22" s="770" t="s">
        <v>571</v>
      </c>
      <c r="C22" s="156" t="s">
        <v>158</v>
      </c>
      <c r="D22" s="578"/>
      <c r="E22" s="579"/>
      <c r="F22" s="579"/>
      <c r="G22" s="579"/>
      <c r="H22" s="579"/>
      <c r="I22" s="579">
        <v>-0.61217406980734346</v>
      </c>
      <c r="J22" s="579">
        <v>3.6154260000000003</v>
      </c>
      <c r="K22" s="579">
        <v>3.6154260000000003</v>
      </c>
      <c r="L22" s="580">
        <f>SUM(D22:INDEX(D22:K22,0,MATCH('RFPR cover'!$C$7,$D$6:$K$6,0)))</f>
        <v>-0.61217406980734346</v>
      </c>
      <c r="M22" s="581">
        <f t="shared" ref="M22:M27" si="4">SUM(D22:K22)</f>
        <v>6.618677930192657</v>
      </c>
      <c r="N22" s="569" t="s">
        <v>596</v>
      </c>
      <c r="O22"/>
      <c r="P22"/>
      <c r="Q22"/>
      <c r="R22"/>
      <c r="S22"/>
      <c r="T22"/>
    </row>
    <row r="23" spans="1:20">
      <c r="A23" s="270" t="s">
        <v>151</v>
      </c>
      <c r="B23" s="770" t="s">
        <v>572</v>
      </c>
      <c r="C23" s="156" t="s">
        <v>158</v>
      </c>
      <c r="D23" s="582"/>
      <c r="E23" s="583"/>
      <c r="F23" s="583"/>
      <c r="G23" s="583"/>
      <c r="H23" s="583"/>
      <c r="I23" s="583">
        <v>0.53897089879898163</v>
      </c>
      <c r="J23" s="583">
        <v>0.68231226584270033</v>
      </c>
      <c r="K23" s="583">
        <v>0.2577739826929612</v>
      </c>
      <c r="L23" s="584">
        <f>SUM(D23:INDEX(D23:K23,0,MATCH('RFPR cover'!$C$7,$D$6:$K$6,0)))</f>
        <v>0.53897089879898163</v>
      </c>
      <c r="M23" s="585">
        <f t="shared" si="4"/>
        <v>1.4790571473346432</v>
      </c>
      <c r="N23" s="570" t="s">
        <v>597</v>
      </c>
      <c r="O23"/>
      <c r="P23"/>
      <c r="Q23"/>
      <c r="R23"/>
      <c r="S23"/>
      <c r="T23"/>
    </row>
    <row r="24" spans="1:20">
      <c r="A24" s="270" t="s">
        <v>152</v>
      </c>
      <c r="B24" s="770" t="s">
        <v>590</v>
      </c>
      <c r="C24" s="156" t="s">
        <v>158</v>
      </c>
      <c r="D24" s="582">
        <v>0</v>
      </c>
      <c r="E24" s="583">
        <v>0</v>
      </c>
      <c r="F24" s="583">
        <v>0</v>
      </c>
      <c r="G24" s="583">
        <v>0</v>
      </c>
      <c r="H24" s="583">
        <v>0</v>
      </c>
      <c r="I24" s="583">
        <v>0</v>
      </c>
      <c r="J24" s="583">
        <v>1.2196784694405431</v>
      </c>
      <c r="K24" s="583">
        <v>2.1998051984133031</v>
      </c>
      <c r="L24" s="584">
        <f>SUM(D24:INDEX(D24:K24,0,MATCH('RFPR cover'!$C$7,$D$6:$K$6,0)))</f>
        <v>0</v>
      </c>
      <c r="M24" s="585">
        <f t="shared" si="4"/>
        <v>3.4194836678538465</v>
      </c>
      <c r="N24" s="570" t="s">
        <v>598</v>
      </c>
      <c r="O24"/>
      <c r="P24"/>
      <c r="Q24"/>
      <c r="R24"/>
      <c r="S24" s="65"/>
      <c r="T24"/>
    </row>
    <row r="25" spans="1:20">
      <c r="A25" s="270" t="s">
        <v>167</v>
      </c>
      <c r="B25" s="770" t="s">
        <v>573</v>
      </c>
      <c r="C25" s="156" t="str">
        <f>'RFPR cover'!$C$14</f>
        <v>£m 12/13</v>
      </c>
      <c r="D25" s="582">
        <v>-19.372880664383057</v>
      </c>
      <c r="E25" s="583">
        <v>-29.463507176824997</v>
      </c>
      <c r="F25" s="583">
        <v>-28.921872145536916</v>
      </c>
      <c r="G25" s="583">
        <v>-14.170631489057484</v>
      </c>
      <c r="H25" s="583">
        <v>8.5017538769843384</v>
      </c>
      <c r="I25" s="583">
        <v>59.343910716177049</v>
      </c>
      <c r="J25" s="583">
        <v>25.556445082109832</v>
      </c>
      <c r="K25" s="583">
        <f>-SUM(D25:J25)</f>
        <v>-1.4732181994687608</v>
      </c>
      <c r="L25" s="584">
        <f>SUM(D25:INDEX(D25:K25,0,MATCH('RFPR cover'!$C$7,$D$6:$K$6,0)))</f>
        <v>-24.083226882641071</v>
      </c>
      <c r="M25" s="585">
        <f t="shared" si="4"/>
        <v>0</v>
      </c>
      <c r="N25" s="570" t="s">
        <v>599</v>
      </c>
      <c r="O25"/>
      <c r="P25" s="747"/>
      <c r="Q25"/>
      <c r="R25"/>
      <c r="S25"/>
      <c r="T25"/>
    </row>
    <row r="26" spans="1:20">
      <c r="A26" s="270" t="s">
        <v>168</v>
      </c>
      <c r="B26" s="770" t="s">
        <v>241</v>
      </c>
      <c r="C26" s="156" t="str">
        <f>'RFPR cover'!$C$14</f>
        <v>£m 12/13</v>
      </c>
      <c r="D26" s="582"/>
      <c r="E26" s="583"/>
      <c r="F26" s="583"/>
      <c r="G26" s="583"/>
      <c r="H26" s="583"/>
      <c r="I26" s="583"/>
      <c r="J26" s="583"/>
      <c r="K26" s="583"/>
      <c r="L26" s="584">
        <f>SUM(D26:INDEX(D26:K26,0,MATCH('RFPR cover'!$C$7,$D$6:$K$6,0)))</f>
        <v>0</v>
      </c>
      <c r="M26" s="585">
        <f t="shared" si="4"/>
        <v>0</v>
      </c>
      <c r="N26" s="570"/>
      <c r="O26"/>
      <c r="P26"/>
      <c r="Q26"/>
      <c r="R26"/>
      <c r="S26"/>
      <c r="T26"/>
    </row>
    <row r="27" spans="1:20">
      <c r="A27" s="270" t="s">
        <v>169</v>
      </c>
      <c r="B27" s="770" t="s">
        <v>241</v>
      </c>
      <c r="C27" s="156" t="str">
        <f>'RFPR cover'!$C$14</f>
        <v>£m 12/13</v>
      </c>
      <c r="D27" s="586"/>
      <c r="E27" s="587"/>
      <c r="F27" s="587"/>
      <c r="G27" s="587"/>
      <c r="H27" s="587"/>
      <c r="I27" s="587"/>
      <c r="J27" s="587"/>
      <c r="K27" s="587"/>
      <c r="L27" s="588">
        <f>SUM(D27:INDEX(D27:K27,0,MATCH('RFPR cover'!$C$7,$D$6:$K$6,0)))</f>
        <v>0</v>
      </c>
      <c r="M27" s="589">
        <f t="shared" si="4"/>
        <v>0</v>
      </c>
      <c r="N27" s="571"/>
      <c r="O27"/>
      <c r="P27"/>
      <c r="Q27"/>
      <c r="R27"/>
      <c r="S27"/>
      <c r="T27"/>
    </row>
    <row r="28" spans="1:20">
      <c r="A28" s="35"/>
      <c r="B28" s="780" t="s">
        <v>189</v>
      </c>
      <c r="C28" s="156" t="str">
        <f>'RFPR cover'!$C$14</f>
        <v>£m 12/13</v>
      </c>
      <c r="D28" s="103">
        <f>SUM(D22:D27)</f>
        <v>-19.372880664383057</v>
      </c>
      <c r="E28" s="104">
        <f t="shared" ref="E28:K28" si="5">SUM(E22:E27)</f>
        <v>-29.463507176824997</v>
      </c>
      <c r="F28" s="104">
        <f t="shared" si="5"/>
        <v>-28.921872145536916</v>
      </c>
      <c r="G28" s="104">
        <f t="shared" si="5"/>
        <v>-14.170631489057484</v>
      </c>
      <c r="H28" s="104">
        <f t="shared" si="5"/>
        <v>8.5017538769843384</v>
      </c>
      <c r="I28" s="104">
        <f t="shared" si="5"/>
        <v>59.27070754516869</v>
      </c>
      <c r="J28" s="104">
        <f t="shared" si="5"/>
        <v>31.073861817393077</v>
      </c>
      <c r="K28" s="104">
        <f t="shared" si="5"/>
        <v>4.5997869816375037</v>
      </c>
      <c r="L28" s="103">
        <f>SUM(D28:INDEX(D28:K28,0,MATCH('RFPR cover'!$C$7,$D$6:$K$6,0)))</f>
        <v>-24.15643005364943</v>
      </c>
      <c r="M28" s="105">
        <f>SUM(D28:K28)</f>
        <v>11.51721874538115</v>
      </c>
      <c r="N28" s="63"/>
    </row>
    <row r="29" spans="1:20">
      <c r="A29" s="35"/>
      <c r="B29" s="772"/>
    </row>
    <row r="30" spans="1:20">
      <c r="A30" s="35"/>
      <c r="B30" s="779" t="s">
        <v>197</v>
      </c>
      <c r="C30" s="160" t="str">
        <f>'RFPR cover'!$C$14</f>
        <v>£m 12/13</v>
      </c>
      <c r="D30" s="96">
        <f t="shared" ref="D30:K30" si="6">D28*D16</f>
        <v>-8.5543466349348272</v>
      </c>
      <c r="E30" s="97">
        <f t="shared" si="6"/>
        <v>-13.009993600736273</v>
      </c>
      <c r="F30" s="97">
        <f t="shared" si="6"/>
        <v>-12.770827630144177</v>
      </c>
      <c r="G30" s="97">
        <f t="shared" si="6"/>
        <v>-6.2572260622130225</v>
      </c>
      <c r="H30" s="97">
        <f t="shared" si="6"/>
        <v>3.7540596532106463</v>
      </c>
      <c r="I30" s="97">
        <f t="shared" si="6"/>
        <v>26.17174938631495</v>
      </c>
      <c r="J30" s="97">
        <f t="shared" si="6"/>
        <v>13.721066571206869</v>
      </c>
      <c r="K30" s="97">
        <f t="shared" si="6"/>
        <v>2.0310955799221548</v>
      </c>
      <c r="L30" s="96">
        <f>SUM(D30:INDEX(D30:K30,0,MATCH('RFPR cover'!$C$7,$D$6:$K$6,0)))</f>
        <v>-10.666584888502705</v>
      </c>
      <c r="M30" s="98">
        <f>SUM(D30:K30)</f>
        <v>5.0855772626263196</v>
      </c>
    </row>
    <row r="31" spans="1:20">
      <c r="A31" s="35"/>
      <c r="B31" s="779" t="s">
        <v>306</v>
      </c>
      <c r="C31" s="160" t="str">
        <f>'RFPR cover'!$C$14</f>
        <v>£m 12/13</v>
      </c>
      <c r="D31" s="93">
        <f t="shared" ref="D31:K31" si="7">D28*(1-D16)</f>
        <v>-10.81853402944823</v>
      </c>
      <c r="E31" s="94">
        <f t="shared" si="7"/>
        <v>-16.453513576088724</v>
      </c>
      <c r="F31" s="94">
        <f t="shared" si="7"/>
        <v>-16.151044515392737</v>
      </c>
      <c r="G31" s="94">
        <f t="shared" si="7"/>
        <v>-7.913405426844462</v>
      </c>
      <c r="H31" s="94">
        <f t="shared" si="7"/>
        <v>4.7476942237736921</v>
      </c>
      <c r="I31" s="94">
        <f t="shared" si="7"/>
        <v>33.09895815885374</v>
      </c>
      <c r="J31" s="94">
        <f t="shared" si="7"/>
        <v>17.352795246186208</v>
      </c>
      <c r="K31" s="94">
        <f t="shared" si="7"/>
        <v>2.5686914017153488</v>
      </c>
      <c r="L31" s="93">
        <f>SUM(D31:INDEX(D31:K31,0,MATCH('RFPR cover'!$C$7,$D$6:$K$6,0)))</f>
        <v>-13.489845165146725</v>
      </c>
      <c r="M31" s="95">
        <f>SUM(D31:K31)</f>
        <v>6.4316414827548307</v>
      </c>
    </row>
    <row r="32" spans="1:20">
      <c r="A32" s="35"/>
      <c r="B32" s="772"/>
    </row>
    <row r="33" spans="1:20">
      <c r="A33" s="35"/>
      <c r="B33" s="780" t="s">
        <v>180</v>
      </c>
    </row>
    <row r="34" spans="1:20">
      <c r="A34" s="35"/>
      <c r="B34" s="772" t="s">
        <v>179</v>
      </c>
      <c r="C34" s="156" t="str">
        <f>'RFPR cover'!$C$14</f>
        <v>£m 12/13</v>
      </c>
      <c r="D34" s="96">
        <f>D18+D30</f>
        <v>-5.7491695161079459</v>
      </c>
      <c r="E34" s="97">
        <f t="shared" ref="E34:K34" si="8">E18+E30</f>
        <v>-2.0044946155433632</v>
      </c>
      <c r="F34" s="97">
        <f t="shared" si="8"/>
        <v>-0.68723420771343946</v>
      </c>
      <c r="G34" s="97">
        <f t="shared" si="8"/>
        <v>2.2282349620803261</v>
      </c>
      <c r="H34" s="97">
        <f t="shared" si="8"/>
        <v>-1.4633518412206703</v>
      </c>
      <c r="I34" s="97">
        <f t="shared" si="8"/>
        <v>18.907209687075479</v>
      </c>
      <c r="J34" s="97">
        <f t="shared" si="8"/>
        <v>-2.7935202598331941</v>
      </c>
      <c r="K34" s="97">
        <f t="shared" si="8"/>
        <v>-2.1601013652563927</v>
      </c>
      <c r="L34" s="96">
        <f>SUM(D34:INDEX(D34:K34,0,MATCH('RFPR cover'!$C$7,$D$6:$K$6,0)))</f>
        <v>11.231194468570386</v>
      </c>
      <c r="M34" s="98">
        <f>SUM(D34:K34)</f>
        <v>6.2775728434807991</v>
      </c>
    </row>
    <row r="35" spans="1:20">
      <c r="A35" s="35"/>
      <c r="B35" s="772" t="s">
        <v>279</v>
      </c>
      <c r="C35" s="156" t="str">
        <f>'RFPR cover'!$C$14</f>
        <v>£m 12/13</v>
      </c>
      <c r="D35" s="99">
        <f>D19+D31</f>
        <v>-7.27087511243389</v>
      </c>
      <c r="E35" s="100">
        <f t="shared" ref="E35:K35" si="9">E19+E31</f>
        <v>-2.5350496227894386</v>
      </c>
      <c r="F35" s="100">
        <f t="shared" si="9"/>
        <v>-0.86913319972161318</v>
      </c>
      <c r="G35" s="100">
        <f t="shared" si="9"/>
        <v>2.8180101639119455</v>
      </c>
      <c r="H35" s="100">
        <f t="shared" si="9"/>
        <v>-1.8506757285995983</v>
      </c>
      <c r="I35" s="100">
        <f t="shared" si="9"/>
        <v>23.911620621753968</v>
      </c>
      <c r="J35" s="100">
        <f t="shared" si="9"/>
        <v>-3.5329166893397392</v>
      </c>
      <c r="K35" s="100">
        <f t="shared" si="9"/>
        <v>-2.7318427840704289</v>
      </c>
      <c r="L35" s="99">
        <f>SUM(D35:INDEX(D35:K35,0,MATCH('RFPR cover'!$C$7,$D$6:$K$6,0)))</f>
        <v>14.203897122121374</v>
      </c>
      <c r="M35" s="101">
        <f>SUM(D35:K35)</f>
        <v>7.9391376487112062</v>
      </c>
    </row>
    <row r="36" spans="1:20">
      <c r="A36" s="35"/>
      <c r="B36" s="780" t="s">
        <v>11</v>
      </c>
      <c r="C36" s="157" t="str">
        <f>'RFPR cover'!$C$14</f>
        <v>£m 12/13</v>
      </c>
      <c r="D36" s="140">
        <f>SUM(D34:D35)</f>
        <v>-13.020044628541836</v>
      </c>
      <c r="E36" s="141">
        <f t="shared" ref="E36:K36" si="10">SUM(E34:E35)</f>
        <v>-4.5395442383328017</v>
      </c>
      <c r="F36" s="141">
        <f t="shared" si="10"/>
        <v>-1.5563674074350526</v>
      </c>
      <c r="G36" s="141">
        <f t="shared" si="10"/>
        <v>5.0462451259922716</v>
      </c>
      <c r="H36" s="141">
        <f t="shared" si="10"/>
        <v>-3.3140275698202686</v>
      </c>
      <c r="I36" s="141">
        <f t="shared" si="10"/>
        <v>42.818830308829448</v>
      </c>
      <c r="J36" s="141">
        <f t="shared" si="10"/>
        <v>-6.3264369491729333</v>
      </c>
      <c r="K36" s="141">
        <f t="shared" si="10"/>
        <v>-4.8919441493268216</v>
      </c>
      <c r="L36" s="140">
        <f>SUM(D36:INDEX(D36:K36,0,MATCH('RFPR cover'!$C$7,$D$6:$K$6,0)))</f>
        <v>25.435091590691762</v>
      </c>
      <c r="M36" s="142">
        <f>SUM(D36:K36)</f>
        <v>14.216710492192007</v>
      </c>
    </row>
    <row r="37" spans="1:20">
      <c r="A37" s="35"/>
      <c r="B37" s="772"/>
    </row>
    <row r="38" spans="1:20">
      <c r="A38" s="35"/>
      <c r="B38" s="775" t="str">
        <f>Data!B51</f>
        <v>n/a</v>
      </c>
      <c r="C38" s="151"/>
      <c r="D38" s="82"/>
      <c r="E38" s="82"/>
      <c r="F38" s="82"/>
      <c r="G38" s="82"/>
      <c r="H38" s="82"/>
      <c r="I38" s="82"/>
      <c r="J38" s="82"/>
      <c r="K38" s="82"/>
      <c r="L38" s="82"/>
      <c r="M38" s="82"/>
      <c r="N38" s="82"/>
    </row>
    <row r="39" spans="1:20" s="35" customFormat="1">
      <c r="B39" s="773"/>
      <c r="C39" s="139"/>
      <c r="D39" s="319"/>
      <c r="E39" s="319"/>
      <c r="F39" s="319"/>
      <c r="G39" s="319"/>
      <c r="H39" s="319"/>
      <c r="I39" s="319"/>
      <c r="J39" s="319"/>
      <c r="K39" s="319"/>
      <c r="L39" s="319"/>
      <c r="M39" s="319"/>
      <c r="N39" s="319"/>
    </row>
    <row r="40" spans="1:20">
      <c r="A40" s="35"/>
      <c r="B40" s="304" t="s">
        <v>34</v>
      </c>
      <c r="C40" s="156" t="str">
        <f>'RFPR cover'!$C$14</f>
        <v>£m 12/13</v>
      </c>
      <c r="D40" s="645"/>
      <c r="E40" s="646"/>
      <c r="F40" s="646"/>
      <c r="G40" s="646"/>
      <c r="H40" s="646"/>
      <c r="I40" s="646"/>
      <c r="J40" s="646"/>
      <c r="K40" s="646"/>
      <c r="L40" s="647">
        <f>SUM(D40:INDEX(D40:K40,0,MATCH('RFPR cover'!$C$7,$D$6:$K$6,0)))</f>
        <v>0</v>
      </c>
      <c r="M40" s="648">
        <f>SUM(D40:K40)</f>
        <v>0</v>
      </c>
      <c r="N40" s="347"/>
      <c r="O40" s="63"/>
    </row>
    <row r="41" spans="1:20" ht="25.5">
      <c r="A41" s="35"/>
      <c r="B41" s="777" t="s">
        <v>500</v>
      </c>
      <c r="C41" s="156" t="str">
        <f>'RFPR cover'!$C$14</f>
        <v>£m 12/13</v>
      </c>
      <c r="D41" s="649"/>
      <c r="E41" s="650"/>
      <c r="F41" s="650"/>
      <c r="G41" s="650"/>
      <c r="H41" s="650"/>
      <c r="I41" s="650"/>
      <c r="J41" s="650"/>
      <c r="K41" s="650"/>
      <c r="L41" s="651">
        <f>SUM(D41:INDEX(D41:K41,0,MATCH('RFPR cover'!$C$7,$D$6:$K$6,0)))</f>
        <v>0</v>
      </c>
      <c r="M41" s="652">
        <f>SUM(D41:K41)</f>
        <v>0</v>
      </c>
      <c r="N41" s="347"/>
      <c r="O41" s="63"/>
    </row>
    <row r="42" spans="1:20">
      <c r="A42" s="35"/>
      <c r="B42" s="778"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0">
        <f t="shared" si="11"/>
        <v>0</v>
      </c>
      <c r="M42" s="351">
        <f t="shared" si="11"/>
        <v>0</v>
      </c>
      <c r="N42" s="348"/>
      <c r="O42" s="984"/>
      <c r="P42" s="984"/>
      <c r="Q42" s="984"/>
      <c r="R42"/>
      <c r="S42"/>
      <c r="T42"/>
    </row>
    <row r="43" spans="1:20">
      <c r="A43" s="35"/>
      <c r="B43" s="778"/>
      <c r="C43" s="156"/>
      <c r="D43" s="59"/>
      <c r="E43" s="59"/>
      <c r="F43" s="59"/>
      <c r="G43" s="59"/>
      <c r="H43" s="59"/>
      <c r="I43" s="59"/>
      <c r="J43" s="59"/>
      <c r="K43" s="59"/>
      <c r="L43" s="59"/>
      <c r="M43" s="59"/>
      <c r="N43" s="344"/>
      <c r="O43" s="64"/>
      <c r="P43" s="64"/>
      <c r="Q43" s="64"/>
      <c r="R43"/>
      <c r="S43"/>
      <c r="T43"/>
    </row>
    <row r="44" spans="1:20">
      <c r="A44" s="35"/>
      <c r="B44" s="772" t="s">
        <v>177</v>
      </c>
      <c r="C44" s="137" t="s">
        <v>7</v>
      </c>
      <c r="D44" s="110">
        <f>1-INDEX(Data!$D$73:$D$100,MATCH('RFPR cover'!$C$5,Data!$B$73:$B$100,0),0)</f>
        <v>0.44156296542217133</v>
      </c>
      <c r="E44" s="111">
        <f>1-INDEX(Data!$D$73:$D$100,MATCH('RFPR cover'!$C$5,Data!$B$73:$B$100,0),0)</f>
        <v>0.44156296542217133</v>
      </c>
      <c r="F44" s="111">
        <f>1-INDEX(Data!$D$73:$D$100,MATCH('RFPR cover'!$C$5,Data!$B$73:$B$100,0),0)</f>
        <v>0.44156296542217133</v>
      </c>
      <c r="G44" s="111">
        <f>1-INDEX(Data!$D$73:$D$100,MATCH('RFPR cover'!$C$5,Data!$B$73:$B$100,0),0)</f>
        <v>0.44156296542217133</v>
      </c>
      <c r="H44" s="111">
        <f>1-INDEX(Data!$D$73:$D$100,MATCH('RFPR cover'!$C$5,Data!$B$73:$B$100,0),0)</f>
        <v>0.44156296542217133</v>
      </c>
      <c r="I44" s="111">
        <f>1-INDEX(Data!$D$73:$D$100,MATCH('RFPR cover'!$C$5,Data!$B$73:$B$100,0),0)</f>
        <v>0.44156296542217133</v>
      </c>
      <c r="J44" s="111">
        <f>1-INDEX(Data!$D$73:$D$100,MATCH('RFPR cover'!$C$5,Data!$B$73:$B$100,0),0)</f>
        <v>0.44156296542217133</v>
      </c>
      <c r="K44" s="112">
        <f>1-INDEX(Data!$D$73:$D$100,MATCH('RFPR cover'!$C$5,Data!$B$73:$B$100,0),0)</f>
        <v>0.44156296542217133</v>
      </c>
      <c r="L44" s="62"/>
      <c r="M44" s="62"/>
      <c r="N44" s="345"/>
      <c r="O44"/>
      <c r="P44"/>
      <c r="Q44"/>
      <c r="R44"/>
      <c r="S44"/>
      <c r="T44"/>
    </row>
    <row r="45" spans="1:20">
      <c r="A45" s="35"/>
      <c r="B45" s="772"/>
      <c r="N45" s="346"/>
      <c r="O45"/>
      <c r="P45"/>
      <c r="Q45"/>
      <c r="R45"/>
      <c r="S45"/>
      <c r="T45"/>
    </row>
    <row r="46" spans="1:20">
      <c r="A46" s="35"/>
      <c r="B46" s="779"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2">
        <f>SUM(D46:INDEX(D46:K46,0,MATCH('RFPR cover'!$C$7,$D$6:$K$6,0)))</f>
        <v>0</v>
      </c>
      <c r="M46" s="572">
        <f>SUM(D46:K46)</f>
        <v>0</v>
      </c>
      <c r="N46" s="348"/>
      <c r="O46"/>
      <c r="P46"/>
      <c r="Q46"/>
      <c r="R46"/>
      <c r="S46"/>
      <c r="T46"/>
    </row>
    <row r="47" spans="1:20">
      <c r="A47" s="35"/>
      <c r="B47" s="779" t="s">
        <v>279</v>
      </c>
      <c r="C47" s="160" t="str">
        <f>'RFPR cover'!$C$14</f>
        <v>£m 12/13</v>
      </c>
      <c r="D47" s="574">
        <f>D42*(1-D44)</f>
        <v>0</v>
      </c>
      <c r="E47" s="575">
        <f t="shared" ref="E47:K47" si="13">E42*(1-E44)</f>
        <v>0</v>
      </c>
      <c r="F47" s="575">
        <f t="shared" si="13"/>
        <v>0</v>
      </c>
      <c r="G47" s="575">
        <f t="shared" si="13"/>
        <v>0</v>
      </c>
      <c r="H47" s="575">
        <f t="shared" si="13"/>
        <v>0</v>
      </c>
      <c r="I47" s="575">
        <f t="shared" si="13"/>
        <v>0</v>
      </c>
      <c r="J47" s="575">
        <f t="shared" si="13"/>
        <v>0</v>
      </c>
      <c r="K47" s="575">
        <f t="shared" si="13"/>
        <v>0</v>
      </c>
      <c r="L47" s="576">
        <f>SUM(D47:INDEX(D47:K47,0,MATCH('RFPR cover'!$C$7,$D$6:$K$6,0)))</f>
        <v>0</v>
      </c>
      <c r="M47" s="577">
        <f>SUM(D47:K47)</f>
        <v>0</v>
      </c>
      <c r="N47" s="348"/>
      <c r="O47"/>
      <c r="P47"/>
      <c r="Q47"/>
      <c r="R47"/>
      <c r="S47"/>
      <c r="T47"/>
    </row>
    <row r="48" spans="1:20">
      <c r="A48" s="35"/>
      <c r="B48" s="772"/>
      <c r="N48" s="346"/>
      <c r="O48"/>
      <c r="P48"/>
      <c r="Q48"/>
      <c r="R48"/>
      <c r="S48"/>
      <c r="T48"/>
    </row>
    <row r="49" spans="1:20">
      <c r="A49" s="35"/>
      <c r="B49" s="780" t="s">
        <v>181</v>
      </c>
      <c r="N49" s="346"/>
      <c r="O49"/>
      <c r="P49"/>
      <c r="Q49"/>
      <c r="R49"/>
      <c r="S49"/>
      <c r="T49"/>
    </row>
    <row r="50" spans="1:20">
      <c r="A50" s="270" t="s">
        <v>150</v>
      </c>
      <c r="B50" s="770" t="s">
        <v>241</v>
      </c>
      <c r="C50" s="156" t="str">
        <f>'RFPR cover'!$C$14</f>
        <v>£m 12/13</v>
      </c>
      <c r="D50" s="578"/>
      <c r="E50" s="579"/>
      <c r="F50" s="579"/>
      <c r="G50" s="579"/>
      <c r="H50" s="579"/>
      <c r="I50" s="579"/>
      <c r="J50" s="579"/>
      <c r="K50" s="579"/>
      <c r="L50" s="653">
        <f>SUM(D50:INDEX(D50:K50,0,MATCH('RFPR cover'!$C$7,$D$6:$K$6,0)))</f>
        <v>0</v>
      </c>
      <c r="M50" s="654">
        <f t="shared" ref="M50:M56" si="14">SUM(D50:K50)</f>
        <v>0</v>
      </c>
      <c r="N50" s="569"/>
      <c r="O50"/>
      <c r="P50"/>
      <c r="Q50"/>
      <c r="R50"/>
      <c r="S50"/>
      <c r="T50"/>
    </row>
    <row r="51" spans="1:20">
      <c r="A51" s="270" t="s">
        <v>151</v>
      </c>
      <c r="B51" s="770" t="s">
        <v>241</v>
      </c>
      <c r="C51" s="156" t="str">
        <f>'RFPR cover'!$C$14</f>
        <v>£m 12/13</v>
      </c>
      <c r="D51" s="582"/>
      <c r="E51" s="583"/>
      <c r="F51" s="583"/>
      <c r="G51" s="583"/>
      <c r="H51" s="583"/>
      <c r="I51" s="583"/>
      <c r="J51" s="583"/>
      <c r="K51" s="583"/>
      <c r="L51" s="655">
        <f>SUM(D51:INDEX(D51:K51,0,MATCH('RFPR cover'!$C$7,$D$6:$K$6,0)))</f>
        <v>0</v>
      </c>
      <c r="M51" s="656">
        <f t="shared" si="14"/>
        <v>0</v>
      </c>
      <c r="N51" s="570"/>
      <c r="O51"/>
      <c r="P51"/>
      <c r="Q51"/>
      <c r="R51"/>
      <c r="S51"/>
      <c r="T51"/>
    </row>
    <row r="52" spans="1:20">
      <c r="A52" s="270" t="s">
        <v>152</v>
      </c>
      <c r="B52" s="770" t="s">
        <v>241</v>
      </c>
      <c r="C52" s="156" t="str">
        <f>'RFPR cover'!$C$14</f>
        <v>£m 12/13</v>
      </c>
      <c r="D52" s="582"/>
      <c r="E52" s="583"/>
      <c r="F52" s="583"/>
      <c r="G52" s="583"/>
      <c r="H52" s="583"/>
      <c r="I52" s="583"/>
      <c r="J52" s="583"/>
      <c r="K52" s="583"/>
      <c r="L52" s="655">
        <f>SUM(D52:INDEX(D52:K52,0,MATCH('RFPR cover'!$C$7,$D$6:$K$6,0)))</f>
        <v>0</v>
      </c>
      <c r="M52" s="656">
        <f t="shared" si="14"/>
        <v>0</v>
      </c>
      <c r="N52" s="570"/>
      <c r="O52"/>
      <c r="P52"/>
      <c r="Q52"/>
      <c r="R52"/>
      <c r="S52" s="65"/>
      <c r="T52"/>
    </row>
    <row r="53" spans="1:20">
      <c r="A53" s="270" t="s">
        <v>167</v>
      </c>
      <c r="B53" s="770" t="s">
        <v>241</v>
      </c>
      <c r="C53" s="156" t="str">
        <f>'RFPR cover'!$C$14</f>
        <v>£m 12/13</v>
      </c>
      <c r="D53" s="582"/>
      <c r="E53" s="583"/>
      <c r="F53" s="583"/>
      <c r="G53" s="583"/>
      <c r="H53" s="583"/>
      <c r="I53" s="583"/>
      <c r="J53" s="583"/>
      <c r="K53" s="583"/>
      <c r="L53" s="655">
        <f>SUM(D53:INDEX(D53:K53,0,MATCH('RFPR cover'!$C$7,$D$6:$K$6,0)))</f>
        <v>0</v>
      </c>
      <c r="M53" s="656">
        <f t="shared" si="14"/>
        <v>0</v>
      </c>
      <c r="N53" s="570"/>
      <c r="O53"/>
      <c r="P53"/>
      <c r="Q53"/>
      <c r="R53"/>
      <c r="S53"/>
      <c r="T53"/>
    </row>
    <row r="54" spans="1:20">
      <c r="A54" s="270" t="s">
        <v>168</v>
      </c>
      <c r="B54" s="770" t="s">
        <v>241</v>
      </c>
      <c r="C54" s="156" t="str">
        <f>'RFPR cover'!$C$14</f>
        <v>£m 12/13</v>
      </c>
      <c r="D54" s="582"/>
      <c r="E54" s="583"/>
      <c r="F54" s="583"/>
      <c r="G54" s="583"/>
      <c r="H54" s="583"/>
      <c r="I54" s="583"/>
      <c r="J54" s="583"/>
      <c r="K54" s="583"/>
      <c r="L54" s="655">
        <f>SUM(D54:INDEX(D54:K54,0,MATCH('RFPR cover'!$C$7,$D$6:$K$6,0)))</f>
        <v>0</v>
      </c>
      <c r="M54" s="656">
        <f t="shared" si="14"/>
        <v>0</v>
      </c>
      <c r="N54" s="570"/>
      <c r="O54"/>
      <c r="P54"/>
      <c r="Q54"/>
      <c r="R54"/>
      <c r="S54"/>
      <c r="T54"/>
    </row>
    <row r="55" spans="1:20">
      <c r="A55" s="270" t="s">
        <v>169</v>
      </c>
      <c r="B55" s="770" t="s">
        <v>241</v>
      </c>
      <c r="C55" s="156" t="str">
        <f>'RFPR cover'!$C$14</f>
        <v>£m 12/13</v>
      </c>
      <c r="D55" s="586"/>
      <c r="E55" s="587"/>
      <c r="F55" s="587"/>
      <c r="G55" s="587"/>
      <c r="H55" s="587"/>
      <c r="I55" s="587"/>
      <c r="J55" s="587"/>
      <c r="K55" s="587"/>
      <c r="L55" s="657">
        <f>SUM(D55:INDEX(D55:K55,0,MATCH('RFPR cover'!$C$7,$D$6:$K$6,0)))</f>
        <v>0</v>
      </c>
      <c r="M55" s="658">
        <f t="shared" si="14"/>
        <v>0</v>
      </c>
      <c r="N55" s="571"/>
      <c r="O55"/>
      <c r="P55"/>
      <c r="Q55"/>
      <c r="R55"/>
      <c r="S55"/>
      <c r="T55"/>
    </row>
    <row r="56" spans="1:20">
      <c r="A56" s="35"/>
      <c r="B56" s="780"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0">
        <f>SUM(D56:INDEX(D56:K56,0,MATCH('RFPR cover'!$C$7,$D$6:$K$6,0)))</f>
        <v>0</v>
      </c>
      <c r="M56" s="351">
        <f t="shared" si="14"/>
        <v>0</v>
      </c>
      <c r="N56" s="348"/>
    </row>
    <row r="57" spans="1:20">
      <c r="A57" s="35"/>
      <c r="B57" s="772"/>
      <c r="N57" s="346"/>
    </row>
    <row r="58" spans="1:20">
      <c r="A58" s="35"/>
      <c r="B58" s="779"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2">
        <f>SUM(D58:INDEX(D58:K58,0,MATCH('RFPR cover'!$C$7,$D$6:$K$6,0)))</f>
        <v>0</v>
      </c>
      <c r="M58" s="572">
        <f>SUM(D58:K58)</f>
        <v>0</v>
      </c>
      <c r="N58" s="348"/>
    </row>
    <row r="59" spans="1:20">
      <c r="A59" s="35"/>
      <c r="B59" s="779" t="s">
        <v>306</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3">
        <f>SUM(D59:INDEX(D59:K59,0,MATCH('RFPR cover'!$C$7,$D$6:$K$6,0)))</f>
        <v>0</v>
      </c>
      <c r="M59" s="573">
        <f>SUM(D59:K59)</f>
        <v>0</v>
      </c>
      <c r="N59" s="348"/>
    </row>
    <row r="60" spans="1:20">
      <c r="A60" s="35"/>
      <c r="B60" s="772"/>
      <c r="N60" s="346"/>
    </row>
    <row r="61" spans="1:20">
      <c r="A61" s="35"/>
      <c r="B61" s="780" t="s">
        <v>180</v>
      </c>
      <c r="N61" s="346"/>
    </row>
    <row r="62" spans="1:20">
      <c r="A62" s="35"/>
      <c r="B62" s="772"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2">
        <f>SUM(D62:INDEX(D62:K62,0,MATCH('RFPR cover'!$C$7,$D$6:$K$6,0)))</f>
        <v>0</v>
      </c>
      <c r="M62" s="572">
        <f>SUM(D62:K62)</f>
        <v>0</v>
      </c>
      <c r="N62" s="348"/>
    </row>
    <row r="63" spans="1:20">
      <c r="A63" s="35"/>
      <c r="B63" s="772" t="s">
        <v>279</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54">
        <f>SUM(D63:INDEX(D63:K63,0,MATCH('RFPR cover'!$C$7,$D$6:$K$6,0)))</f>
        <v>0</v>
      </c>
      <c r="M63" s="573">
        <f>SUM(D63:K63)</f>
        <v>0</v>
      </c>
      <c r="N63" s="348"/>
    </row>
    <row r="64" spans="1:20">
      <c r="A64" s="35"/>
      <c r="B64" s="780"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55">
        <f>SUM(D64:INDEX(D64:K64,0,MATCH('RFPR cover'!$C$7,$D$6:$K$6,0)))</f>
        <v>0</v>
      </c>
      <c r="M64" s="356">
        <f>SUM(D64:K64)</f>
        <v>0</v>
      </c>
      <c r="N64" s="349"/>
    </row>
    <row r="65" spans="1:20">
      <c r="A65" s="35"/>
      <c r="B65" s="780"/>
      <c r="C65" s="157"/>
      <c r="D65" s="157"/>
      <c r="E65" s="157"/>
      <c r="F65" s="157"/>
      <c r="G65" s="157"/>
      <c r="H65" s="157"/>
      <c r="I65" s="157"/>
      <c r="J65" s="157"/>
      <c r="K65" s="157"/>
      <c r="L65" s="157"/>
      <c r="M65" s="157"/>
    </row>
    <row r="66" spans="1:20">
      <c r="A66" s="35"/>
      <c r="B66" s="775" t="s">
        <v>256</v>
      </c>
      <c r="C66" s="151"/>
      <c r="D66" s="82"/>
      <c r="E66" s="82"/>
      <c r="F66" s="82"/>
      <c r="G66" s="82"/>
      <c r="H66" s="82"/>
      <c r="I66" s="82"/>
      <c r="J66" s="82"/>
      <c r="K66" s="82"/>
      <c r="L66" s="82"/>
      <c r="M66" s="82"/>
      <c r="N66" s="82"/>
    </row>
    <row r="67" spans="1:20">
      <c r="A67" s="35"/>
      <c r="B67" s="772"/>
      <c r="O67"/>
      <c r="P67"/>
      <c r="Q67"/>
      <c r="R67"/>
      <c r="S67"/>
      <c r="T67"/>
    </row>
    <row r="68" spans="1:20">
      <c r="A68" s="35"/>
      <c r="B68" s="780" t="s">
        <v>180</v>
      </c>
    </row>
    <row r="69" spans="1:20">
      <c r="A69" s="35"/>
      <c r="B69" s="772" t="s">
        <v>179</v>
      </c>
      <c r="C69" s="156" t="str">
        <f>'RFPR cover'!$C$14</f>
        <v>£m 12/13</v>
      </c>
      <c r="D69" s="96">
        <f>D34+D62</f>
        <v>-5.7491695161079459</v>
      </c>
      <c r="E69" s="97">
        <f t="shared" ref="E69:K69" si="21">E34+E62</f>
        <v>-2.0044946155433632</v>
      </c>
      <c r="F69" s="97">
        <f t="shared" si="21"/>
        <v>-0.68723420771343946</v>
      </c>
      <c r="G69" s="97">
        <f t="shared" si="21"/>
        <v>2.2282349620803261</v>
      </c>
      <c r="H69" s="97">
        <f t="shared" si="21"/>
        <v>-1.4633518412206703</v>
      </c>
      <c r="I69" s="97">
        <f t="shared" si="21"/>
        <v>18.907209687075479</v>
      </c>
      <c r="J69" s="97">
        <f t="shared" si="21"/>
        <v>-2.7935202598331941</v>
      </c>
      <c r="K69" s="97">
        <f t="shared" si="21"/>
        <v>-2.1601013652563927</v>
      </c>
      <c r="L69" s="96">
        <f>SUM(D69:INDEX(D69:K69,0,MATCH('RFPR cover'!$C$7,$D$6:$K$6,0)))</f>
        <v>11.231194468570386</v>
      </c>
      <c r="M69" s="98">
        <f>SUM(D69:K69)</f>
        <v>6.2775728434807991</v>
      </c>
    </row>
    <row r="70" spans="1:20">
      <c r="A70" s="35"/>
      <c r="B70" s="772" t="s">
        <v>279</v>
      </c>
      <c r="C70" s="156" t="str">
        <f>'RFPR cover'!$C$14</f>
        <v>£m 12/13</v>
      </c>
      <c r="D70" s="516">
        <f t="shared" ref="D70:K70" si="22">D35+D63</f>
        <v>-7.27087511243389</v>
      </c>
      <c r="E70" s="517">
        <f t="shared" si="22"/>
        <v>-2.5350496227894386</v>
      </c>
      <c r="F70" s="517">
        <f t="shared" si="22"/>
        <v>-0.86913319972161318</v>
      </c>
      <c r="G70" s="517">
        <f t="shared" si="22"/>
        <v>2.8180101639119455</v>
      </c>
      <c r="H70" s="517">
        <f t="shared" si="22"/>
        <v>-1.8506757285995983</v>
      </c>
      <c r="I70" s="517">
        <f t="shared" si="22"/>
        <v>23.911620621753968</v>
      </c>
      <c r="J70" s="517">
        <f t="shared" si="22"/>
        <v>-3.5329166893397392</v>
      </c>
      <c r="K70" s="517">
        <f t="shared" si="22"/>
        <v>-2.7318427840704289</v>
      </c>
      <c r="L70" s="516">
        <f>SUM(D70:INDEX(D70:K70,0,MATCH('RFPR cover'!$C$7,$D$6:$K$6,0)))</f>
        <v>14.203897122121374</v>
      </c>
      <c r="M70" s="518">
        <f>SUM(D70:K70)</f>
        <v>7.9391376487112062</v>
      </c>
    </row>
    <row r="71" spans="1:20">
      <c r="A71" s="35"/>
      <c r="B71" s="780" t="s">
        <v>11</v>
      </c>
      <c r="C71" s="157" t="str">
        <f>'RFPR cover'!$C$14</f>
        <v>£m 12/13</v>
      </c>
      <c r="D71" s="146">
        <f>SUM(D69:D70)</f>
        <v>-13.020044628541836</v>
      </c>
      <c r="E71" s="147">
        <f t="shared" ref="E71:K71" si="23">SUM(E69:E70)</f>
        <v>-4.5395442383328017</v>
      </c>
      <c r="F71" s="147">
        <f t="shared" si="23"/>
        <v>-1.5563674074350526</v>
      </c>
      <c r="G71" s="147">
        <f t="shared" si="23"/>
        <v>5.0462451259922716</v>
      </c>
      <c r="H71" s="147">
        <f t="shared" si="23"/>
        <v>-3.3140275698202686</v>
      </c>
      <c r="I71" s="147">
        <f t="shared" si="23"/>
        <v>42.818830308829448</v>
      </c>
      <c r="J71" s="147">
        <f t="shared" si="23"/>
        <v>-6.3264369491729333</v>
      </c>
      <c r="K71" s="147">
        <f t="shared" si="23"/>
        <v>-4.8919441493268216</v>
      </c>
      <c r="L71" s="146">
        <f>SUM(D71:INDEX(D71:K71,0,MATCH('RFPR cover'!$C$7,$D$6:$K$6,0)))</f>
        <v>25.435091590691762</v>
      </c>
      <c r="M71" s="148">
        <f>SUM(D71:K71)</f>
        <v>14.216710492192007</v>
      </c>
    </row>
    <row r="72" spans="1:20">
      <c r="A72" s="35"/>
      <c r="B72" s="780"/>
      <c r="C72" s="157"/>
      <c r="D72" s="157"/>
      <c r="E72" s="157"/>
      <c r="F72" s="157"/>
      <c r="G72" s="157"/>
      <c r="H72" s="157"/>
      <c r="I72" s="157"/>
      <c r="J72" s="157"/>
      <c r="K72" s="157"/>
      <c r="L72" s="157"/>
      <c r="M72" s="157"/>
    </row>
    <row r="73" spans="1:20">
      <c r="A73" s="35"/>
      <c r="B73" s="772"/>
    </row>
    <row r="74" spans="1:20">
      <c r="A74" s="35"/>
      <c r="B74" s="775" t="s">
        <v>213</v>
      </c>
      <c r="C74" s="151"/>
      <c r="D74" s="81"/>
      <c r="E74" s="81"/>
      <c r="F74" s="81"/>
      <c r="G74" s="81"/>
      <c r="H74" s="81"/>
      <c r="I74" s="81"/>
      <c r="J74" s="81"/>
      <c r="K74" s="81"/>
      <c r="L74" s="81"/>
      <c r="M74" s="81"/>
      <c r="N74" s="81"/>
    </row>
    <row r="75" spans="1:20">
      <c r="A75" s="35"/>
      <c r="B75" s="363" t="s">
        <v>212</v>
      </c>
      <c r="C75" s="362"/>
      <c r="D75" s="362"/>
      <c r="E75" s="362"/>
      <c r="F75" s="362"/>
      <c r="G75" s="362"/>
      <c r="H75" s="362"/>
      <c r="I75" s="362"/>
      <c r="J75" s="362"/>
      <c r="K75" s="362"/>
      <c r="L75" s="362"/>
      <c r="M75" s="362"/>
      <c r="N75" s="362"/>
    </row>
    <row r="76" spans="1:20" s="35" customFormat="1">
      <c r="B76" s="423"/>
      <c r="C76" s="367"/>
      <c r="D76" s="367"/>
      <c r="E76" s="367"/>
      <c r="F76" s="367"/>
      <c r="G76" s="367"/>
      <c r="H76" s="367"/>
      <c r="I76" s="367"/>
      <c r="J76" s="367"/>
      <c r="K76" s="367"/>
      <c r="L76" s="367"/>
      <c r="M76" s="367"/>
      <c r="N76" s="367"/>
    </row>
    <row r="77" spans="1:20">
      <c r="A77" s="35"/>
      <c r="B77" s="779" t="s">
        <v>216</v>
      </c>
      <c r="C77" s="156" t="str">
        <f>'RFPR cover'!$C$14</f>
        <v>£m 12/13</v>
      </c>
      <c r="D77" s="659">
        <f>INDEX(Data!$C$119:$L$146,MATCH('RFPR cover'!$C$5,Data!$B$119:$B$146,0),MATCH('R4 - Totex'!D$6,Data!$C$118:$L$118,0))</f>
        <v>-0.86626036283610952</v>
      </c>
      <c r="E77" s="660">
        <f>INDEX(Data!$C$119:$L$146,MATCH('RFPR cover'!$C$5,Data!$B$119:$B$146,0),MATCH('R4 - Totex'!E$6,Data!$C$118:$L$118,0))</f>
        <v>-0.81019773780890636</v>
      </c>
      <c r="F77" s="660">
        <f>INDEX(Data!$C$119:$L$146,MATCH('RFPR cover'!$C$5,Data!$B$119:$B$146,0),MATCH('R4 - Totex'!F$6,Data!$C$118:$L$118,0))</f>
        <v>-0.78919084241395188</v>
      </c>
      <c r="G77" s="660">
        <f>INDEX(Data!$C$119:$L$146,MATCH('RFPR cover'!$C$5,Data!$B$119:$B$146,0),MATCH('R4 - Totex'!G$6,Data!$C$118:$L$118,0))</f>
        <v>-0.79061873066036981</v>
      </c>
      <c r="H77" s="660">
        <f>INDEX(Data!$C$119:$L$146,MATCH('RFPR cover'!$C$5,Data!$B$119:$B$146,0),MATCH('R4 - Totex'!H$6,Data!$C$118:$L$118,0))</f>
        <v>-0.74432653414361061</v>
      </c>
      <c r="I77" s="660">
        <f>INDEX(Data!$C$119:$L$146,MATCH('RFPR cover'!$C$5,Data!$B$119:$B$146,0),MATCH('R4 - Totex'!I$6,Data!$C$118:$L$118,0))</f>
        <v>-0.70697274816976396</v>
      </c>
      <c r="J77" s="660">
        <f>INDEX(Data!$C$119:$L$146,MATCH('RFPR cover'!$C$5,Data!$B$119:$B$146,0),MATCH('R4 - Totex'!J$6,Data!$C$118:$L$118,0))</f>
        <v>-0.65350946162011747</v>
      </c>
      <c r="K77" s="661">
        <f>INDEX(Data!$C$119:$L$146,MATCH('RFPR cover'!$C$5,Data!$B$119:$B$146,0),MATCH('R4 - Totex'!K$6,Data!$C$118:$L$118,0))</f>
        <v>-0.66429758885743451</v>
      </c>
      <c r="L77" s="99">
        <f>SUM(D77:INDEX(D77:K77,0,MATCH('RFPR cover'!$C$7,$D$6:$K$6,0)))</f>
        <v>-4.7075669560327116</v>
      </c>
      <c r="M77" s="101">
        <f>SUM(D77:K77)</f>
        <v>-6.0253740065102637</v>
      </c>
    </row>
    <row r="78" spans="1:20">
      <c r="A78" s="35"/>
      <c r="B78" s="226" t="s">
        <v>200</v>
      </c>
      <c r="C78" s="156" t="s">
        <v>7</v>
      </c>
      <c r="D78" s="871" t="str">
        <f>IF(INDEX(Data!$J$73:$J$100,MATCH('RFPR cover'!$C$5,Data!$B$73:$B$100,0),0)="Pre",INDEX(Data!$G$18:$G$27,MATCH('R4 - Totex'!D$6,Data!$C$18:$C$27,0),0),"n/a")</f>
        <v>n/a</v>
      </c>
      <c r="E78" s="871" t="str">
        <f>IF(INDEX(Data!$J$73:$J$100,MATCH('RFPR cover'!$C$5,Data!$B$73:$B$100,0),0)="Pre",INDEX(Data!$G$18:$G$27,MATCH('R4 - Totex'!E$6,Data!$C$18:$C$27,0),0),"n/a")</f>
        <v>n/a</v>
      </c>
      <c r="F78" s="871" t="str">
        <f>IF(INDEX(Data!$J$73:$J$100,MATCH('RFPR cover'!$C$5,Data!$B$73:$B$100,0),0)="Pre",INDEX(Data!$G$18:$G$27,MATCH('R4 - Totex'!F$6,Data!$C$18:$C$27,0),0),"n/a")</f>
        <v>n/a</v>
      </c>
      <c r="G78" s="871" t="str">
        <f>IF(INDEX(Data!$J$73:$J$100,MATCH('RFPR cover'!$C$5,Data!$B$73:$B$100,0),0)="Pre",INDEX(Data!$G$18:$G$27,MATCH('R4 - Totex'!G$6,Data!$C$18:$C$27,0),0),"n/a")</f>
        <v>n/a</v>
      </c>
      <c r="H78" s="871" t="str">
        <f>IF(INDEX(Data!$J$73:$J$100,MATCH('RFPR cover'!$C$5,Data!$B$73:$B$100,0),0)="Pre",INDEX(Data!$G$18:$G$27,MATCH('R4 - Totex'!H$6,Data!$C$18:$C$27,0),0),"n/a")</f>
        <v>n/a</v>
      </c>
      <c r="I78" s="871" t="str">
        <f>IF(INDEX(Data!$J$73:$J$100,MATCH('RFPR cover'!$C$5,Data!$B$73:$B$100,0),0)="Pre",INDEX(Data!$G$18:$G$27,MATCH('R4 - Totex'!I$6,Data!$C$18:$C$27,0),0),"n/a")</f>
        <v>n/a</v>
      </c>
      <c r="J78" s="871" t="str">
        <f>IF(INDEX(Data!$J$73:$J$100,MATCH('RFPR cover'!$C$5,Data!$B$73:$B$100,0),0)="Pre",INDEX(Data!$G$18:$G$27,MATCH('R4 - Totex'!J$6,Data!$C$18:$C$27,0),0),"n/a")</f>
        <v>n/a</v>
      </c>
      <c r="K78" s="871" t="str">
        <f>IF(INDEX(Data!$J$73:$J$100,MATCH('RFPR cover'!$C$5,Data!$B$73:$B$100,0),0)="Pre",INDEX(Data!$G$18:$G$27,MATCH('R4 - Totex'!K$6,Data!$C$18:$C$27,0),0),"n/a")</f>
        <v>n/a</v>
      </c>
      <c r="L78" s="869"/>
      <c r="M78" s="870"/>
    </row>
    <row r="79" spans="1:20">
      <c r="A79" s="35"/>
      <c r="B79" s="226" t="s">
        <v>209</v>
      </c>
      <c r="C79" s="156" t="str">
        <f>'RFPR cover'!$C$14</f>
        <v>£m 12/13</v>
      </c>
      <c r="D79" s="606">
        <f>IF(ISNUMBER(D78),D77*(1-D78),D77)</f>
        <v>-0.86626036283610952</v>
      </c>
      <c r="E79" s="607">
        <f t="shared" ref="E79:K79" si="24">IF(ISNUMBER(E78),E77*(1-E78),E77)</f>
        <v>-0.81019773780890636</v>
      </c>
      <c r="F79" s="607">
        <f t="shared" si="24"/>
        <v>-0.78919084241395188</v>
      </c>
      <c r="G79" s="607">
        <f t="shared" si="24"/>
        <v>-0.79061873066036981</v>
      </c>
      <c r="H79" s="607">
        <f t="shared" si="24"/>
        <v>-0.74432653414361061</v>
      </c>
      <c r="I79" s="607">
        <f t="shared" si="24"/>
        <v>-0.70697274816976396</v>
      </c>
      <c r="J79" s="607">
        <f t="shared" si="24"/>
        <v>-0.65350946162011747</v>
      </c>
      <c r="K79" s="608">
        <f t="shared" si="24"/>
        <v>-0.66429758885743451</v>
      </c>
      <c r="L79" s="665">
        <f>SUM(D79:INDEX(D79:K79,0,MATCH('RFPR cover'!$C$7,$D$6:$K$6,0)))</f>
        <v>-4.7075669560327116</v>
      </c>
      <c r="M79" s="666">
        <f>SUM(D79:K79)</f>
        <v>-6.0253740065102637</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72"/>
    </row>
    <row r="84" spans="1:20">
      <c r="A84" s="35"/>
      <c r="B84" s="774" t="s">
        <v>186</v>
      </c>
      <c r="C84" s="290"/>
      <c r="D84" s="292"/>
      <c r="E84" s="292"/>
      <c r="F84" s="292"/>
      <c r="G84" s="292"/>
      <c r="H84" s="292"/>
      <c r="I84" s="292"/>
      <c r="J84" s="292"/>
      <c r="K84" s="292"/>
      <c r="L84" s="292"/>
      <c r="M84" s="292"/>
      <c r="N84" s="292"/>
    </row>
    <row r="85" spans="1:20">
      <c r="A85" s="35"/>
      <c r="B85" s="780"/>
    </row>
    <row r="86" spans="1:20">
      <c r="A86" s="35"/>
      <c r="B86" s="779" t="str">
        <f>Data!B34</f>
        <v>Financial Year Average RPI (RPIt)</v>
      </c>
      <c r="C86" s="137" t="s">
        <v>126</v>
      </c>
      <c r="D86" s="113">
        <f>Data!C$34</f>
        <v>1.0603167467048125</v>
      </c>
      <c r="E86" s="114">
        <f>Data!D$34</f>
        <v>1.0830366813119445</v>
      </c>
      <c r="F86" s="114">
        <f>Data!E$34</f>
        <v>1.1235639113109226</v>
      </c>
      <c r="G86" s="114">
        <f>Data!F$34</f>
        <v>1.1578951670583426</v>
      </c>
      <c r="H86" s="114">
        <f>Data!G$34</f>
        <v>1.1878696229692449</v>
      </c>
      <c r="I86" s="114">
        <f>Data!H$34</f>
        <v>1.2022764892203943</v>
      </c>
      <c r="J86" s="114">
        <f>Data!I$34</f>
        <v>1.2341368161847346</v>
      </c>
      <c r="K86" s="115">
        <f>Data!J$34</f>
        <v>1.2720865232824152</v>
      </c>
    </row>
    <row r="87" spans="1:20">
      <c r="A87" s="35"/>
      <c r="B87" s="779"/>
      <c r="D87" s="137"/>
      <c r="E87" s="137"/>
      <c r="F87" s="137"/>
      <c r="G87" s="137"/>
      <c r="H87" s="137"/>
      <c r="I87" s="137"/>
      <c r="J87" s="137"/>
      <c r="K87" s="137"/>
    </row>
    <row r="88" spans="1:20">
      <c r="A88" s="35"/>
      <c r="B88" s="775" t="str">
        <f>B10</f>
        <v>Totex</v>
      </c>
      <c r="C88" s="151"/>
      <c r="D88" s="82"/>
      <c r="E88" s="82"/>
      <c r="F88" s="82"/>
      <c r="G88" s="82"/>
      <c r="H88" s="82"/>
      <c r="I88" s="82"/>
      <c r="J88" s="82"/>
      <c r="K88" s="82"/>
      <c r="L88" s="82"/>
      <c r="M88" s="82"/>
      <c r="N88" s="82"/>
    </row>
    <row r="89" spans="1:20" s="35" customFormat="1">
      <c r="B89" s="776"/>
      <c r="C89" s="139"/>
      <c r="D89" s="319"/>
      <c r="E89" s="319"/>
      <c r="F89" s="319"/>
      <c r="G89" s="319"/>
      <c r="H89" s="319"/>
      <c r="I89" s="319"/>
      <c r="J89" s="319"/>
      <c r="K89" s="319"/>
      <c r="L89" s="319"/>
      <c r="M89" s="319"/>
      <c r="N89" s="319"/>
    </row>
    <row r="90" spans="1:20">
      <c r="A90" s="35"/>
      <c r="B90" s="304" t="s">
        <v>34</v>
      </c>
      <c r="C90" s="156" t="s">
        <v>127</v>
      </c>
      <c r="D90" s="668">
        <f t="shared" ref="D90:K91" si="25">D12*D$86</f>
        <v>249.53321590897215</v>
      </c>
      <c r="E90" s="668">
        <f t="shared" si="25"/>
        <v>219.81163840133766</v>
      </c>
      <c r="F90" s="668">
        <f t="shared" si="25"/>
        <v>221.02446510092605</v>
      </c>
      <c r="G90" s="668">
        <f t="shared" si="25"/>
        <v>239.62431638436237</v>
      </c>
      <c r="H90" s="668">
        <f t="shared" si="25"/>
        <v>269.33989715838243</v>
      </c>
      <c r="I90" s="668">
        <f t="shared" si="25"/>
        <v>265.72267686589652</v>
      </c>
      <c r="J90" s="668">
        <f t="shared" si="25"/>
        <v>281.14549168015378</v>
      </c>
      <c r="K90" s="668">
        <f t="shared" si="25"/>
        <v>260.01785017900607</v>
      </c>
      <c r="L90" s="667">
        <f>SUM(D90:INDEX(D90:K90,0,MATCH('RFPR cover'!$C$7,$D$6:$K$6,0)))</f>
        <v>1465.0562098198773</v>
      </c>
      <c r="M90" s="668">
        <f>SUM(D90:K90)</f>
        <v>2006.2195516790371</v>
      </c>
      <c r="N90" s="63"/>
      <c r="O90" s="63"/>
    </row>
    <row r="91" spans="1:20" ht="25.5">
      <c r="A91" s="35"/>
      <c r="B91" s="777" t="s">
        <v>196</v>
      </c>
      <c r="C91" s="156" t="s">
        <v>127</v>
      </c>
      <c r="D91" s="668">
        <f t="shared" si="25"/>
        <v>256.26923434684443</v>
      </c>
      <c r="E91" s="668">
        <f t="shared" si="25"/>
        <v>246.80520450738416</v>
      </c>
      <c r="F91" s="668">
        <f t="shared" si="25"/>
        <v>251.77135863946535</v>
      </c>
      <c r="G91" s="668">
        <f t="shared" si="25"/>
        <v>261.87544494288494</v>
      </c>
      <c r="H91" s="668">
        <f t="shared" si="25"/>
        <v>255.30428930607962</v>
      </c>
      <c r="I91" s="668">
        <f t="shared" si="25"/>
        <v>245.94297166110567</v>
      </c>
      <c r="J91" s="668">
        <f t="shared" si="25"/>
        <v>234.98840603602613</v>
      </c>
      <c r="K91" s="668">
        <f t="shared" si="25"/>
        <v>247.94354692468622</v>
      </c>
      <c r="L91" s="669">
        <f>SUM(D91:INDEX(D91:K91,0,MATCH('RFPR cover'!$C$7,$D$6:$K$6,0)))</f>
        <v>1517.9685034037643</v>
      </c>
      <c r="M91" s="670">
        <f>SUM(D91:K91)</f>
        <v>2000.9004563644767</v>
      </c>
      <c r="N91" s="63"/>
      <c r="O91" s="63"/>
    </row>
    <row r="92" spans="1:20">
      <c r="A92" s="35"/>
      <c r="B92" s="778" t="s">
        <v>194</v>
      </c>
      <c r="C92" s="156" t="s">
        <v>127</v>
      </c>
      <c r="D92" s="103">
        <f>D91-D90</f>
        <v>6.7360184378722749</v>
      </c>
      <c r="E92" s="104">
        <f t="shared" ref="E92:M92" si="26">E91-E90</f>
        <v>26.993566106046501</v>
      </c>
      <c r="F92" s="104">
        <f t="shared" si="26"/>
        <v>30.746893538539297</v>
      </c>
      <c r="G92" s="104">
        <f t="shared" si="26"/>
        <v>22.251128558522566</v>
      </c>
      <c r="H92" s="104">
        <f t="shared" si="26"/>
        <v>-14.035607852302803</v>
      </c>
      <c r="I92" s="104">
        <f t="shared" si="26"/>
        <v>-19.779705204790844</v>
      </c>
      <c r="J92" s="104">
        <f t="shared" si="26"/>
        <v>-46.157085644127648</v>
      </c>
      <c r="K92" s="105">
        <f t="shared" si="26"/>
        <v>-12.074303254319858</v>
      </c>
      <c r="L92" s="103">
        <f t="shared" si="26"/>
        <v>52.912293583887049</v>
      </c>
      <c r="M92" s="105">
        <f t="shared" si="26"/>
        <v>-5.3190953145603999</v>
      </c>
      <c r="N92" s="63"/>
      <c r="O92" s="984"/>
      <c r="P92" s="984"/>
      <c r="Q92" s="984"/>
      <c r="R92"/>
      <c r="S92"/>
      <c r="T92"/>
    </row>
    <row r="93" spans="1:20">
      <c r="A93" s="35"/>
      <c r="B93" s="778"/>
      <c r="C93" s="156"/>
      <c r="D93" s="59"/>
      <c r="E93" s="59"/>
      <c r="F93" s="59"/>
      <c r="G93" s="59"/>
      <c r="H93" s="59"/>
      <c r="I93" s="59"/>
      <c r="J93" s="59"/>
      <c r="K93" s="59"/>
      <c r="L93" s="59"/>
      <c r="M93" s="59"/>
      <c r="O93" s="64"/>
      <c r="P93" s="64"/>
      <c r="Q93" s="64"/>
      <c r="R93"/>
      <c r="S93"/>
      <c r="T93"/>
    </row>
    <row r="94" spans="1:20">
      <c r="A94" s="35"/>
      <c r="B94" s="772" t="s">
        <v>177</v>
      </c>
      <c r="C94" s="137" t="s">
        <v>7</v>
      </c>
      <c r="D94" s="110">
        <f>1-INDEX(Data!$D$73:$D$100,MATCH('RFPR cover'!$C$5,Data!$B$73:$B$100,0),0)</f>
        <v>0.44156296542217133</v>
      </c>
      <c r="E94" s="111">
        <f>1-INDEX(Data!$D$73:$D$100,MATCH('RFPR cover'!$C$5,Data!$B$73:$B$100,0),0)</f>
        <v>0.44156296542217133</v>
      </c>
      <c r="F94" s="111">
        <f>1-INDEX(Data!$D$73:$D$100,MATCH('RFPR cover'!$C$5,Data!$B$73:$B$100,0),0)</f>
        <v>0.44156296542217133</v>
      </c>
      <c r="G94" s="111">
        <f>1-INDEX(Data!$D$73:$D$100,MATCH('RFPR cover'!$C$5,Data!$B$73:$B$100,0),0)</f>
        <v>0.44156296542217133</v>
      </c>
      <c r="H94" s="111">
        <f>1-INDEX(Data!$D$73:$D$100,MATCH('RFPR cover'!$C$5,Data!$B$73:$B$100,0),0)</f>
        <v>0.44156296542217133</v>
      </c>
      <c r="I94" s="111">
        <f>1-INDEX(Data!$D$73:$D$100,MATCH('RFPR cover'!$C$5,Data!$B$73:$B$100,0),0)</f>
        <v>0.44156296542217133</v>
      </c>
      <c r="J94" s="111">
        <f>1-INDEX(Data!$D$73:$D$100,MATCH('RFPR cover'!$C$5,Data!$B$73:$B$100,0),0)</f>
        <v>0.44156296542217133</v>
      </c>
      <c r="K94" s="112">
        <f>1-INDEX(Data!$D$73:$D$100,MATCH('RFPR cover'!$C$5,Data!$B$73:$B$100,0),0)</f>
        <v>0.44156296542217133</v>
      </c>
      <c r="L94" s="62"/>
      <c r="M94" s="62"/>
      <c r="O94"/>
      <c r="P94"/>
      <c r="Q94"/>
      <c r="R94"/>
      <c r="S94"/>
      <c r="T94"/>
    </row>
    <row r="95" spans="1:20">
      <c r="A95" s="35"/>
      <c r="B95" s="772"/>
      <c r="O95"/>
      <c r="P95"/>
      <c r="Q95"/>
      <c r="R95"/>
      <c r="S95"/>
      <c r="T95"/>
    </row>
    <row r="96" spans="1:20">
      <c r="A96" s="35"/>
      <c r="B96" s="779" t="s">
        <v>182</v>
      </c>
      <c r="C96" s="156" t="s">
        <v>127</v>
      </c>
      <c r="D96" s="96">
        <f>D92*D94</f>
        <v>2.9743762765653039</v>
      </c>
      <c r="E96" s="97">
        <f t="shared" ref="E96:K96" si="27">E92*E94</f>
        <v>11.919359097105307</v>
      </c>
      <c r="F96" s="97">
        <f t="shared" si="27"/>
        <v>13.576689488397211</v>
      </c>
      <c r="G96" s="97">
        <f t="shared" si="27"/>
        <v>9.8252743102911886</v>
      </c>
      <c r="H96" s="97">
        <f t="shared" si="27"/>
        <v>-6.197604624765539</v>
      </c>
      <c r="I96" s="97">
        <f t="shared" si="27"/>
        <v>-8.7339852854038007</v>
      </c>
      <c r="J96" s="97">
        <f t="shared" si="27"/>
        <v>-20.381259612266138</v>
      </c>
      <c r="K96" s="97">
        <f t="shared" si="27"/>
        <v>-5.3315651503840504</v>
      </c>
      <c r="L96" s="96">
        <f>SUM(D96:INDEX(D96:K96,0,MATCH('RFPR cover'!$C$7,$D$6:$K$6,0)))</f>
        <v>23.364109262189668</v>
      </c>
      <c r="M96" s="98">
        <f>SUM(D96:K96)</f>
        <v>-2.3487155004605205</v>
      </c>
      <c r="O96"/>
      <c r="P96"/>
      <c r="Q96"/>
      <c r="R96"/>
      <c r="S96"/>
      <c r="T96"/>
    </row>
    <row r="97" spans="1:20">
      <c r="A97" s="35"/>
      <c r="B97" s="779" t="s">
        <v>279</v>
      </c>
      <c r="C97" s="156" t="s">
        <v>127</v>
      </c>
      <c r="D97" s="93">
        <f>D92*(1-D94)</f>
        <v>3.761642161306971</v>
      </c>
      <c r="E97" s="94">
        <f t="shared" ref="E97:K97" si="28">E92*(1-E94)</f>
        <v>15.074207008941194</v>
      </c>
      <c r="F97" s="94">
        <f t="shared" si="28"/>
        <v>17.170204050142086</v>
      </c>
      <c r="G97" s="94">
        <f t="shared" si="28"/>
        <v>12.425854248231378</v>
      </c>
      <c r="H97" s="94">
        <f t="shared" si="28"/>
        <v>-7.8380032275372642</v>
      </c>
      <c r="I97" s="94">
        <f t="shared" si="28"/>
        <v>-11.045719919387043</v>
      </c>
      <c r="J97" s="94">
        <f t="shared" si="28"/>
        <v>-25.775826031861509</v>
      </c>
      <c r="K97" s="94">
        <f t="shared" si="28"/>
        <v>-6.7427381039358076</v>
      </c>
      <c r="L97" s="93">
        <f>SUM(D97:INDEX(D97:K97,0,MATCH('RFPR cover'!$C$7,$D$6:$K$6,0)))</f>
        <v>29.548184321697324</v>
      </c>
      <c r="M97" s="95">
        <f>SUM(D97:K97)</f>
        <v>-2.9703798140999931</v>
      </c>
      <c r="O97"/>
      <c r="P97"/>
      <c r="Q97"/>
      <c r="R97"/>
      <c r="S97"/>
      <c r="T97"/>
    </row>
    <row r="98" spans="1:20">
      <c r="A98" s="35"/>
      <c r="B98" s="772"/>
      <c r="O98"/>
      <c r="P98"/>
      <c r="Q98"/>
      <c r="R98"/>
      <c r="S98"/>
      <c r="T98"/>
    </row>
    <row r="99" spans="1:20">
      <c r="A99" s="35"/>
      <c r="B99" s="780" t="s">
        <v>181</v>
      </c>
      <c r="N99" s="63"/>
      <c r="O99"/>
      <c r="P99"/>
      <c r="Q99"/>
      <c r="R99"/>
      <c r="S99"/>
      <c r="T99"/>
    </row>
    <row r="100" spans="1:20">
      <c r="A100" s="270" t="s">
        <v>150</v>
      </c>
      <c r="B100" s="226" t="str">
        <f t="shared" ref="B100:B105" si="29">B22</f>
        <v>Smart Meter Roll-out updated allowances</v>
      </c>
      <c r="C100" s="156" t="s">
        <v>127</v>
      </c>
      <c r="D100" s="588">
        <f t="shared" ref="D100:K105" si="30">D22*D$86</f>
        <v>0</v>
      </c>
      <c r="E100" s="588">
        <f t="shared" si="30"/>
        <v>0</v>
      </c>
      <c r="F100" s="588">
        <f t="shared" si="30"/>
        <v>0</v>
      </c>
      <c r="G100" s="588">
        <f t="shared" si="30"/>
        <v>0</v>
      </c>
      <c r="H100" s="588">
        <f t="shared" si="30"/>
        <v>0</v>
      </c>
      <c r="I100" s="588">
        <f t="shared" si="30"/>
        <v>-0.73600249143973351</v>
      </c>
      <c r="J100" s="588">
        <f t="shared" si="30"/>
        <v>4.4619303327915105</v>
      </c>
      <c r="K100" s="588">
        <f t="shared" si="30"/>
        <v>4.59913469052485</v>
      </c>
      <c r="L100" s="580">
        <f>SUM(D100:INDEX(D100:K100,0,MATCH('RFPR cover'!$C$7,$D$6:$K$6,0)))</f>
        <v>-0.73600249143973351</v>
      </c>
      <c r="M100" s="581">
        <f t="shared" ref="M100:M106" si="31">SUM(D100:K100)</f>
        <v>8.3250625318766271</v>
      </c>
      <c r="N100" s="63"/>
      <c r="O100"/>
      <c r="P100"/>
      <c r="Q100"/>
      <c r="R100"/>
      <c r="S100"/>
      <c r="T100"/>
    </row>
    <row r="101" spans="1:20">
      <c r="A101" s="270" t="s">
        <v>151</v>
      </c>
      <c r="B101" s="226" t="str">
        <f t="shared" si="29"/>
        <v>Visual Amenity allowances</v>
      </c>
      <c r="C101" s="156" t="s">
        <v>127</v>
      </c>
      <c r="D101" s="588">
        <f t="shared" si="30"/>
        <v>0</v>
      </c>
      <c r="E101" s="588">
        <f t="shared" si="30"/>
        <v>0</v>
      </c>
      <c r="F101" s="588">
        <f t="shared" si="30"/>
        <v>0</v>
      </c>
      <c r="G101" s="588">
        <f t="shared" si="30"/>
        <v>0</v>
      </c>
      <c r="H101" s="588">
        <f t="shared" si="30"/>
        <v>0</v>
      </c>
      <c r="I101" s="588">
        <f t="shared" si="30"/>
        <v>0.6479920400000001</v>
      </c>
      <c r="J101" s="588">
        <f t="shared" si="30"/>
        <v>0.8420666874109024</v>
      </c>
      <c r="K101" s="588">
        <f t="shared" si="30"/>
        <v>0.32791080943655049</v>
      </c>
      <c r="L101" s="584">
        <f>SUM(D101:INDEX(D101:K101,0,MATCH('RFPR cover'!$C$7,$D$6:$K$6,0)))</f>
        <v>0.6479920400000001</v>
      </c>
      <c r="M101" s="585">
        <f t="shared" si="31"/>
        <v>1.8179695368474529</v>
      </c>
      <c r="N101" s="63"/>
      <c r="O101"/>
      <c r="P101"/>
      <c r="Q101"/>
      <c r="R101"/>
      <c r="S101"/>
      <c r="T101"/>
    </row>
    <row r="102" spans="1:20">
      <c r="A102" s="270" t="s">
        <v>152</v>
      </c>
      <c r="B102" s="226" t="str">
        <f t="shared" si="29"/>
        <v>Street Works allowances</v>
      </c>
      <c r="C102" s="156" t="s">
        <v>127</v>
      </c>
      <c r="D102" s="588">
        <f t="shared" si="30"/>
        <v>0</v>
      </c>
      <c r="E102" s="588">
        <f t="shared" si="30"/>
        <v>0</v>
      </c>
      <c r="F102" s="588">
        <f t="shared" si="30"/>
        <v>0</v>
      </c>
      <c r="G102" s="588">
        <f t="shared" si="30"/>
        <v>0</v>
      </c>
      <c r="H102" s="588">
        <f t="shared" si="30"/>
        <v>0</v>
      </c>
      <c r="I102" s="588">
        <f t="shared" si="30"/>
        <v>0</v>
      </c>
      <c r="J102" s="588">
        <f t="shared" si="30"/>
        <v>1.5052501030444221</v>
      </c>
      <c r="K102" s="588">
        <f t="shared" si="30"/>
        <v>2.7983425467481622</v>
      </c>
      <c r="L102" s="584">
        <f>SUM(D102:INDEX(D102:K102,0,MATCH('RFPR cover'!$C$7,$D$6:$K$6,0)))</f>
        <v>0</v>
      </c>
      <c r="M102" s="585">
        <f t="shared" si="31"/>
        <v>4.3035926497925843</v>
      </c>
      <c r="N102" s="63"/>
      <c r="O102"/>
      <c r="P102"/>
      <c r="Q102"/>
      <c r="R102"/>
      <c r="S102" s="65"/>
      <c r="T102"/>
    </row>
    <row r="103" spans="1:20">
      <c r="A103" s="270" t="s">
        <v>167</v>
      </c>
      <c r="B103" s="226" t="str">
        <f t="shared" si="29"/>
        <v>Adjustment to remove impact of re-phasing/timing differences</v>
      </c>
      <c r="C103" s="156" t="s">
        <v>127</v>
      </c>
      <c r="D103" s="588">
        <f t="shared" si="30"/>
        <v>-20.541389800359209</v>
      </c>
      <c r="E103" s="588">
        <f t="shared" si="30"/>
        <v>-31.910059032599204</v>
      </c>
      <c r="F103" s="588">
        <f t="shared" si="30"/>
        <v>-32.495571790273885</v>
      </c>
      <c r="G103" s="588">
        <f t="shared" si="30"/>
        <v>-16.408105715344426</v>
      </c>
      <c r="H103" s="588">
        <f t="shared" si="30"/>
        <v>10.098975172430702</v>
      </c>
      <c r="I103" s="588">
        <f t="shared" si="30"/>
        <v>71.347788632453884</v>
      </c>
      <c r="J103" s="588">
        <f t="shared" si="30"/>
        <v>31.540149766635047</v>
      </c>
      <c r="K103" s="588">
        <f t="shared" si="30"/>
        <v>-1.8740610173985957</v>
      </c>
      <c r="L103" s="584">
        <f>SUM(D103:INDEX(D103:K103,0,MATCH('RFPR cover'!$C$7,$D$6:$K$6,0)))</f>
        <v>-19.908362533692141</v>
      </c>
      <c r="M103" s="585">
        <f t="shared" si="31"/>
        <v>9.7577262155443094</v>
      </c>
      <c r="N103" s="63"/>
      <c r="O103"/>
      <c r="P103"/>
      <c r="Q103"/>
      <c r="R103"/>
      <c r="S103"/>
      <c r="T103"/>
    </row>
    <row r="104" spans="1:20">
      <c r="A104" s="270" t="s">
        <v>168</v>
      </c>
      <c r="B104" s="226" t="str">
        <f t="shared" si="29"/>
        <v>[Enduring Value adjustment]</v>
      </c>
      <c r="C104" s="156" t="s">
        <v>127</v>
      </c>
      <c r="D104" s="588">
        <f t="shared" si="30"/>
        <v>0</v>
      </c>
      <c r="E104" s="588">
        <f t="shared" si="30"/>
        <v>0</v>
      </c>
      <c r="F104" s="588">
        <f t="shared" si="30"/>
        <v>0</v>
      </c>
      <c r="G104" s="588">
        <f t="shared" si="30"/>
        <v>0</v>
      </c>
      <c r="H104" s="588">
        <f t="shared" si="30"/>
        <v>0</v>
      </c>
      <c r="I104" s="588">
        <f t="shared" si="30"/>
        <v>0</v>
      </c>
      <c r="J104" s="588">
        <f t="shared" si="30"/>
        <v>0</v>
      </c>
      <c r="K104" s="588">
        <f t="shared" si="30"/>
        <v>0</v>
      </c>
      <c r="L104" s="584">
        <f>SUM(D104:INDEX(D104:K104,0,MATCH('RFPR cover'!$C$7,$D$6:$K$6,0)))</f>
        <v>0</v>
      </c>
      <c r="M104" s="585">
        <f t="shared" si="31"/>
        <v>0</v>
      </c>
      <c r="N104" s="63"/>
      <c r="O104"/>
      <c r="P104"/>
      <c r="Q104"/>
      <c r="R104"/>
      <c r="S104"/>
      <c r="T104"/>
    </row>
    <row r="105" spans="1:20">
      <c r="A105" s="270" t="s">
        <v>169</v>
      </c>
      <c r="B105" s="226" t="str">
        <f t="shared" si="29"/>
        <v>[Enduring Value adjustment]</v>
      </c>
      <c r="C105" s="156" t="s">
        <v>127</v>
      </c>
      <c r="D105" s="588">
        <f t="shared" si="30"/>
        <v>0</v>
      </c>
      <c r="E105" s="588">
        <f t="shared" si="30"/>
        <v>0</v>
      </c>
      <c r="F105" s="588">
        <f t="shared" si="30"/>
        <v>0</v>
      </c>
      <c r="G105" s="588">
        <f t="shared" si="30"/>
        <v>0</v>
      </c>
      <c r="H105" s="588">
        <f t="shared" si="30"/>
        <v>0</v>
      </c>
      <c r="I105" s="588">
        <f t="shared" si="30"/>
        <v>0</v>
      </c>
      <c r="J105" s="588">
        <f t="shared" si="30"/>
        <v>0</v>
      </c>
      <c r="K105" s="588">
        <f t="shared" si="30"/>
        <v>0</v>
      </c>
      <c r="L105" s="588">
        <f>SUM(D105:INDEX(D105:K105,0,MATCH('RFPR cover'!$C$7,$D$6:$K$6,0)))</f>
        <v>0</v>
      </c>
      <c r="M105" s="589">
        <f t="shared" si="31"/>
        <v>0</v>
      </c>
      <c r="N105" s="63"/>
      <c r="O105"/>
      <c r="P105"/>
      <c r="Q105"/>
      <c r="R105"/>
      <c r="S105"/>
      <c r="T105"/>
    </row>
    <row r="106" spans="1:20">
      <c r="A106" s="35"/>
      <c r="B106" s="780" t="s">
        <v>189</v>
      </c>
      <c r="C106" s="156" t="s">
        <v>127</v>
      </c>
      <c r="D106" s="103">
        <f>SUM(D100:D105)</f>
        <v>-20.541389800359209</v>
      </c>
      <c r="E106" s="104">
        <f t="shared" ref="E106:K106" si="32">SUM(E100:E105)</f>
        <v>-31.910059032599204</v>
      </c>
      <c r="F106" s="104">
        <f t="shared" si="32"/>
        <v>-32.495571790273885</v>
      </c>
      <c r="G106" s="104">
        <f t="shared" si="32"/>
        <v>-16.408105715344426</v>
      </c>
      <c r="H106" s="104">
        <f t="shared" si="32"/>
        <v>10.098975172430702</v>
      </c>
      <c r="I106" s="104">
        <f t="shared" si="32"/>
        <v>71.259778181014156</v>
      </c>
      <c r="J106" s="104">
        <f t="shared" si="32"/>
        <v>38.349396889881881</v>
      </c>
      <c r="K106" s="105">
        <f t="shared" si="32"/>
        <v>5.8513270293109674</v>
      </c>
      <c r="L106" s="103">
        <f>SUM(D106:INDEX(D106:K106,0,MATCH('RFPR cover'!$C$7,$D$6:$K$6,0)))</f>
        <v>-19.99637298513187</v>
      </c>
      <c r="M106" s="105">
        <f t="shared" si="31"/>
        <v>24.204350934060976</v>
      </c>
      <c r="N106" s="63"/>
    </row>
    <row r="107" spans="1:20">
      <c r="A107" s="35"/>
      <c r="B107" s="772"/>
    </row>
    <row r="108" spans="1:20">
      <c r="A108" s="35"/>
      <c r="B108" s="779" t="s">
        <v>197</v>
      </c>
      <c r="C108" s="156" t="s">
        <v>127</v>
      </c>
      <c r="D108" s="96">
        <f t="shared" ref="D108:K108" si="33">D106*D94</f>
        <v>-9.0703169941393558</v>
      </c>
      <c r="E108" s="97">
        <f t="shared" si="33"/>
        <v>-14.090300293231047</v>
      </c>
      <c r="F108" s="97">
        <f t="shared" si="33"/>
        <v>-14.348841042802393</v>
      </c>
      <c r="G108" s="97">
        <f t="shared" si="33"/>
        <v>-7.2452118166279629</v>
      </c>
      <c r="H108" s="97">
        <f t="shared" si="33"/>
        <v>4.4593334248633845</v>
      </c>
      <c r="I108" s="97">
        <f t="shared" si="33"/>
        <v>31.465678968934753</v>
      </c>
      <c r="J108" s="97">
        <f t="shared" si="33"/>
        <v>16.933673412848037</v>
      </c>
      <c r="K108" s="97">
        <f t="shared" si="33"/>
        <v>2.5837293147174551</v>
      </c>
      <c r="L108" s="96">
        <f>SUM(D108:INDEX(D108:K108,0,MATCH('RFPR cover'!$C$7,$D$6:$K$6,0)))</f>
        <v>-8.8296577530026212</v>
      </c>
      <c r="M108" s="98">
        <f>SUM(D108:K108)</f>
        <v>10.687744974562872</v>
      </c>
    </row>
    <row r="109" spans="1:20">
      <c r="A109" s="35"/>
      <c r="B109" s="779" t="s">
        <v>306</v>
      </c>
      <c r="C109" s="156" t="s">
        <v>127</v>
      </c>
      <c r="D109" s="93">
        <f t="shared" ref="D109:K109" si="34">D106*(1-D94)</f>
        <v>-11.471072806219853</v>
      </c>
      <c r="E109" s="94">
        <f t="shared" si="34"/>
        <v>-17.819758739368154</v>
      </c>
      <c r="F109" s="94">
        <f t="shared" si="34"/>
        <v>-18.146730747471491</v>
      </c>
      <c r="G109" s="94">
        <f t="shared" si="34"/>
        <v>-9.1628938987164634</v>
      </c>
      <c r="H109" s="94">
        <f t="shared" si="34"/>
        <v>5.6396417475673175</v>
      </c>
      <c r="I109" s="94">
        <f t="shared" si="34"/>
        <v>39.794099212079402</v>
      </c>
      <c r="J109" s="94">
        <f t="shared" si="34"/>
        <v>21.415723477033843</v>
      </c>
      <c r="K109" s="94">
        <f t="shared" si="34"/>
        <v>3.2675977145935122</v>
      </c>
      <c r="L109" s="93">
        <f>SUM(D109:INDEX(D109:K109,0,MATCH('RFPR cover'!$C$7,$D$6:$K$6,0)))</f>
        <v>-11.166715232129242</v>
      </c>
      <c r="M109" s="95">
        <f>SUM(D109:K109)</f>
        <v>13.516605959498113</v>
      </c>
    </row>
    <row r="110" spans="1:20">
      <c r="A110" s="35"/>
      <c r="B110" s="772"/>
    </row>
    <row r="111" spans="1:20">
      <c r="A111" s="35"/>
      <c r="B111" s="780" t="s">
        <v>180</v>
      </c>
    </row>
    <row r="112" spans="1:20">
      <c r="A112" s="35"/>
      <c r="B112" s="772" t="s">
        <v>179</v>
      </c>
      <c r="C112" s="156" t="s">
        <v>127</v>
      </c>
      <c r="D112" s="96">
        <f>D96+D108</f>
        <v>-6.0959407175740523</v>
      </c>
      <c r="E112" s="97">
        <f t="shared" ref="E112:K112" si="35">E96+E108</f>
        <v>-2.1709411961257405</v>
      </c>
      <c r="F112" s="97">
        <f t="shared" si="35"/>
        <v>-0.77215155440518224</v>
      </c>
      <c r="G112" s="97">
        <f t="shared" si="35"/>
        <v>2.5800624936632257</v>
      </c>
      <c r="H112" s="97">
        <f t="shared" si="35"/>
        <v>-1.7382711999021545</v>
      </c>
      <c r="I112" s="97">
        <f t="shared" si="35"/>
        <v>22.731693683530953</v>
      </c>
      <c r="J112" s="97">
        <f t="shared" si="35"/>
        <v>-3.447586199418101</v>
      </c>
      <c r="K112" s="97">
        <f t="shared" si="35"/>
        <v>-2.7478358356665953</v>
      </c>
      <c r="L112" s="96">
        <f>SUM(D112:INDEX(D112:K112,0,MATCH('RFPR cover'!$C$7,$D$6:$K$6,0)))</f>
        <v>14.534451509187049</v>
      </c>
      <c r="M112" s="98">
        <f>SUM(D112:K112)</f>
        <v>8.3390294741023521</v>
      </c>
    </row>
    <row r="113" spans="1:20">
      <c r="A113" s="35"/>
      <c r="B113" s="772" t="s">
        <v>279</v>
      </c>
      <c r="C113" s="156" t="s">
        <v>127</v>
      </c>
      <c r="D113" s="516">
        <f>D97+D109</f>
        <v>-7.7094306449128815</v>
      </c>
      <c r="E113" s="517">
        <f t="shared" ref="E113:K113" si="36">E97+E109</f>
        <v>-2.7455517304269605</v>
      </c>
      <c r="F113" s="517">
        <f t="shared" si="36"/>
        <v>-0.97652669732940467</v>
      </c>
      <c r="G113" s="517">
        <f t="shared" si="36"/>
        <v>3.2629603495149144</v>
      </c>
      <c r="H113" s="517">
        <f t="shared" si="36"/>
        <v>-2.1983614799699467</v>
      </c>
      <c r="I113" s="517">
        <f t="shared" si="36"/>
        <v>28.748379292692359</v>
      </c>
      <c r="J113" s="517">
        <f t="shared" si="36"/>
        <v>-4.360102554827666</v>
      </c>
      <c r="K113" s="517">
        <f t="shared" si="36"/>
        <v>-3.4751403893422954</v>
      </c>
      <c r="L113" s="516">
        <f>SUM(D113:INDEX(D113:K113,0,MATCH('RFPR cover'!$C$7,$D$6:$K$6,0)))</f>
        <v>18.381469089568078</v>
      </c>
      <c r="M113" s="518">
        <f>SUM(D113:K113)</f>
        <v>10.546226145398117</v>
      </c>
    </row>
    <row r="114" spans="1:20">
      <c r="A114" s="35"/>
      <c r="B114" s="780" t="s">
        <v>11</v>
      </c>
      <c r="C114" s="157" t="s">
        <v>127</v>
      </c>
      <c r="D114" s="146">
        <f>SUM(D112:D113)</f>
        <v>-13.805371362486934</v>
      </c>
      <c r="E114" s="147">
        <f t="shared" ref="E114:K114" si="37">SUM(E112:E113)</f>
        <v>-4.9164929265527011</v>
      </c>
      <c r="F114" s="147">
        <f t="shared" si="37"/>
        <v>-1.7486782517345869</v>
      </c>
      <c r="G114" s="147">
        <f t="shared" si="37"/>
        <v>5.8430228431781401</v>
      </c>
      <c r="H114" s="147">
        <f t="shared" si="37"/>
        <v>-3.9366326798721012</v>
      </c>
      <c r="I114" s="147">
        <f t="shared" si="37"/>
        <v>51.480072976223312</v>
      </c>
      <c r="J114" s="147">
        <f t="shared" si="37"/>
        <v>-7.8076887542457669</v>
      </c>
      <c r="K114" s="147">
        <f t="shared" si="37"/>
        <v>-6.2229762250088907</v>
      </c>
      <c r="L114" s="146">
        <f>SUM(D114:INDEX(D114:K114,0,MATCH('RFPR cover'!$C$7,$D$6:$K$6,0)))</f>
        <v>32.915920598755122</v>
      </c>
      <c r="M114" s="148">
        <f>SUM(D114:K114)</f>
        <v>18.885255619500462</v>
      </c>
    </row>
    <row r="115" spans="1:20">
      <c r="A115" s="35"/>
      <c r="B115" s="772"/>
    </row>
    <row r="116" spans="1:20">
      <c r="A116" s="35"/>
      <c r="B116" s="775" t="str">
        <f>B38</f>
        <v>n/a</v>
      </c>
      <c r="C116" s="151"/>
      <c r="D116" s="82"/>
      <c r="E116" s="82"/>
      <c r="F116" s="82"/>
      <c r="G116" s="82"/>
      <c r="H116" s="82"/>
      <c r="I116" s="82"/>
      <c r="J116" s="82"/>
      <c r="K116" s="82"/>
      <c r="L116" s="82"/>
      <c r="M116" s="82"/>
      <c r="N116" s="82"/>
    </row>
    <row r="117" spans="1:20" s="35" customFormat="1">
      <c r="B117" s="773"/>
      <c r="C117" s="139"/>
      <c r="D117" s="319"/>
      <c r="E117" s="319"/>
      <c r="F117" s="319"/>
      <c r="G117" s="319"/>
      <c r="H117" s="319"/>
      <c r="I117" s="319"/>
      <c r="J117" s="319"/>
      <c r="K117" s="319"/>
      <c r="L117" s="319"/>
      <c r="M117" s="319"/>
      <c r="N117" s="319"/>
    </row>
    <row r="118" spans="1:20">
      <c r="A118" s="35"/>
      <c r="B118" s="304" t="s">
        <v>34</v>
      </c>
      <c r="C118" s="156" t="s">
        <v>127</v>
      </c>
      <c r="D118" s="667">
        <f t="shared" ref="D118:K119" si="38">D40*D$86</f>
        <v>0</v>
      </c>
      <c r="E118" s="667">
        <f t="shared" si="38"/>
        <v>0</v>
      </c>
      <c r="F118" s="667">
        <f t="shared" si="38"/>
        <v>0</v>
      </c>
      <c r="G118" s="667">
        <f t="shared" si="38"/>
        <v>0</v>
      </c>
      <c r="H118" s="667">
        <f t="shared" si="38"/>
        <v>0</v>
      </c>
      <c r="I118" s="667">
        <f t="shared" si="38"/>
        <v>0</v>
      </c>
      <c r="J118" s="667">
        <f t="shared" si="38"/>
        <v>0</v>
      </c>
      <c r="K118" s="667">
        <f t="shared" si="38"/>
        <v>0</v>
      </c>
      <c r="L118" s="667">
        <f>SUM(D118:INDEX(D118:K118,0,MATCH('RFPR cover'!$C$7,$D$6:$K$6,0)))</f>
        <v>0</v>
      </c>
      <c r="M118" s="668">
        <f>SUM(D118:K118)</f>
        <v>0</v>
      </c>
      <c r="N118" s="63"/>
      <c r="O118" s="63"/>
    </row>
    <row r="119" spans="1:20" ht="25.5">
      <c r="A119" s="35"/>
      <c r="B119" s="777" t="s">
        <v>196</v>
      </c>
      <c r="C119" s="156" t="s">
        <v>127</v>
      </c>
      <c r="D119" s="667">
        <f t="shared" si="38"/>
        <v>0</v>
      </c>
      <c r="E119" s="667">
        <f t="shared" si="38"/>
        <v>0</v>
      </c>
      <c r="F119" s="667">
        <f t="shared" si="38"/>
        <v>0</v>
      </c>
      <c r="G119" s="667">
        <f t="shared" si="38"/>
        <v>0</v>
      </c>
      <c r="H119" s="667">
        <f t="shared" si="38"/>
        <v>0</v>
      </c>
      <c r="I119" s="667">
        <f t="shared" si="38"/>
        <v>0</v>
      </c>
      <c r="J119" s="667">
        <f t="shared" si="38"/>
        <v>0</v>
      </c>
      <c r="K119" s="667">
        <f t="shared" si="38"/>
        <v>0</v>
      </c>
      <c r="L119" s="669">
        <f>SUM(D119:INDEX(D119:K119,0,MATCH('RFPR cover'!$C$7,$D$6:$K$6,0)))</f>
        <v>0</v>
      </c>
      <c r="M119" s="670">
        <f>SUM(D119:K119)</f>
        <v>0</v>
      </c>
      <c r="N119" s="63"/>
      <c r="O119" s="63"/>
    </row>
    <row r="120" spans="1:20">
      <c r="A120" s="35"/>
      <c r="B120" s="778" t="s">
        <v>194</v>
      </c>
      <c r="C120" s="156" t="s">
        <v>127</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84"/>
      <c r="P120" s="984"/>
      <c r="Q120" s="984"/>
      <c r="R120"/>
      <c r="S120"/>
      <c r="T120"/>
    </row>
    <row r="121" spans="1:20">
      <c r="A121" s="35"/>
      <c r="B121" s="778"/>
      <c r="C121" s="156"/>
      <c r="D121" s="59"/>
      <c r="E121" s="59"/>
      <c r="F121" s="59"/>
      <c r="G121" s="59"/>
      <c r="H121" s="59"/>
      <c r="I121" s="59"/>
      <c r="J121" s="59"/>
      <c r="K121" s="59"/>
      <c r="L121" s="59"/>
      <c r="M121" s="59"/>
      <c r="O121" s="64"/>
      <c r="P121" s="64"/>
      <c r="Q121" s="64"/>
      <c r="R121"/>
      <c r="S121"/>
      <c r="T121"/>
    </row>
    <row r="122" spans="1:20">
      <c r="A122" s="35"/>
      <c r="B122" s="772" t="s">
        <v>177</v>
      </c>
      <c r="C122" s="137" t="s">
        <v>7</v>
      </c>
      <c r="D122" s="110">
        <f>1-INDEX(Data!$D$73:$D$100,MATCH('RFPR cover'!$C$5,Data!$B$73:$B$100,0),0)</f>
        <v>0.44156296542217133</v>
      </c>
      <c r="E122" s="111">
        <f>1-INDEX(Data!$D$73:$D$100,MATCH('RFPR cover'!$C$5,Data!$B$73:$B$100,0),0)</f>
        <v>0.44156296542217133</v>
      </c>
      <c r="F122" s="111">
        <f>1-INDEX(Data!$D$73:$D$100,MATCH('RFPR cover'!$C$5,Data!$B$73:$B$100,0),0)</f>
        <v>0.44156296542217133</v>
      </c>
      <c r="G122" s="111">
        <f>1-INDEX(Data!$D$73:$D$100,MATCH('RFPR cover'!$C$5,Data!$B$73:$B$100,0),0)</f>
        <v>0.44156296542217133</v>
      </c>
      <c r="H122" s="111">
        <f>1-INDEX(Data!$D$73:$D$100,MATCH('RFPR cover'!$C$5,Data!$B$73:$B$100,0),0)</f>
        <v>0.44156296542217133</v>
      </c>
      <c r="I122" s="111">
        <f>1-INDEX(Data!$D$73:$D$100,MATCH('RFPR cover'!$C$5,Data!$B$73:$B$100,0),0)</f>
        <v>0.44156296542217133</v>
      </c>
      <c r="J122" s="111">
        <f>1-INDEX(Data!$D$73:$D$100,MATCH('RFPR cover'!$C$5,Data!$B$73:$B$100,0),0)</f>
        <v>0.44156296542217133</v>
      </c>
      <c r="K122" s="112">
        <f>1-INDEX(Data!$D$73:$D$100,MATCH('RFPR cover'!$C$5,Data!$B$73:$B$100,0),0)</f>
        <v>0.44156296542217133</v>
      </c>
      <c r="L122" s="62"/>
      <c r="M122" s="62"/>
      <c r="O122"/>
      <c r="P122"/>
      <c r="Q122"/>
      <c r="R122"/>
      <c r="S122"/>
      <c r="T122"/>
    </row>
    <row r="123" spans="1:20">
      <c r="A123" s="35"/>
      <c r="B123" s="772"/>
      <c r="O123"/>
      <c r="P123"/>
      <c r="Q123"/>
      <c r="R123"/>
      <c r="S123"/>
      <c r="T123"/>
    </row>
    <row r="124" spans="1:20">
      <c r="A124" s="35"/>
      <c r="B124" s="779" t="s">
        <v>182</v>
      </c>
      <c r="C124" s="160" t="s">
        <v>127</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79" t="s">
        <v>178</v>
      </c>
      <c r="C125" s="160" t="s">
        <v>127</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72"/>
      <c r="O126"/>
      <c r="P126"/>
      <c r="Q126"/>
      <c r="R126"/>
      <c r="S126"/>
      <c r="T126"/>
    </row>
    <row r="127" spans="1:20">
      <c r="A127" s="35"/>
      <c r="B127" s="780" t="s">
        <v>181</v>
      </c>
      <c r="N127" s="63"/>
      <c r="O127"/>
      <c r="P127"/>
      <c r="Q127"/>
      <c r="R127"/>
      <c r="S127"/>
      <c r="T127"/>
    </row>
    <row r="128" spans="1:20">
      <c r="A128" s="270" t="s">
        <v>150</v>
      </c>
      <c r="B128" s="226" t="str">
        <f t="shared" ref="B128:B133" si="42">B50</f>
        <v>[Enduring Value adjustment]</v>
      </c>
      <c r="C128" s="156" t="s">
        <v>127</v>
      </c>
      <c r="D128" s="580">
        <f t="shared" ref="D128:K133" si="43">D50*D$86</f>
        <v>0</v>
      </c>
      <c r="E128" s="580">
        <f t="shared" si="43"/>
        <v>0</v>
      </c>
      <c r="F128" s="580">
        <f t="shared" si="43"/>
        <v>0</v>
      </c>
      <c r="G128" s="580">
        <f t="shared" si="43"/>
        <v>0</v>
      </c>
      <c r="H128" s="580">
        <f t="shared" si="43"/>
        <v>0</v>
      </c>
      <c r="I128" s="580">
        <f t="shared" si="43"/>
        <v>0</v>
      </c>
      <c r="J128" s="580">
        <f t="shared" si="43"/>
        <v>0</v>
      </c>
      <c r="K128" s="580">
        <f t="shared" si="43"/>
        <v>0</v>
      </c>
      <c r="L128" s="580">
        <f>SUM(D128:INDEX(D128:K128,0,MATCH('RFPR cover'!$C$7,$D$6:$K$6,0)))</f>
        <v>0</v>
      </c>
      <c r="M128" s="581">
        <f t="shared" ref="M128:M134" si="44">SUM(D128:K128)</f>
        <v>0</v>
      </c>
      <c r="N128" s="63"/>
      <c r="O128"/>
      <c r="P128"/>
      <c r="Q128"/>
      <c r="R128"/>
      <c r="S128"/>
      <c r="T128"/>
    </row>
    <row r="129" spans="1:20">
      <c r="A129" s="270" t="s">
        <v>151</v>
      </c>
      <c r="B129" s="226" t="str">
        <f t="shared" si="42"/>
        <v>[Enduring Value adjustment]</v>
      </c>
      <c r="C129" s="156" t="s">
        <v>127</v>
      </c>
      <c r="D129" s="580">
        <f t="shared" si="43"/>
        <v>0</v>
      </c>
      <c r="E129" s="580">
        <f t="shared" si="43"/>
        <v>0</v>
      </c>
      <c r="F129" s="580">
        <f t="shared" si="43"/>
        <v>0</v>
      </c>
      <c r="G129" s="580">
        <f t="shared" si="43"/>
        <v>0</v>
      </c>
      <c r="H129" s="580">
        <f t="shared" si="43"/>
        <v>0</v>
      </c>
      <c r="I129" s="580">
        <f t="shared" si="43"/>
        <v>0</v>
      </c>
      <c r="J129" s="580">
        <f t="shared" si="43"/>
        <v>0</v>
      </c>
      <c r="K129" s="580">
        <f t="shared" si="43"/>
        <v>0</v>
      </c>
      <c r="L129" s="584">
        <f>SUM(D129:INDEX(D129:K129,0,MATCH('RFPR cover'!$C$7,$D$6:$K$6,0)))</f>
        <v>0</v>
      </c>
      <c r="M129" s="585">
        <f t="shared" si="44"/>
        <v>0</v>
      </c>
      <c r="N129" s="63"/>
      <c r="O129"/>
      <c r="P129"/>
      <c r="Q129"/>
      <c r="R129"/>
      <c r="S129"/>
      <c r="T129"/>
    </row>
    <row r="130" spans="1:20">
      <c r="A130" s="270" t="s">
        <v>152</v>
      </c>
      <c r="B130" s="226" t="str">
        <f t="shared" si="42"/>
        <v>[Enduring Value adjustment]</v>
      </c>
      <c r="C130" s="156" t="s">
        <v>127</v>
      </c>
      <c r="D130" s="580">
        <f t="shared" si="43"/>
        <v>0</v>
      </c>
      <c r="E130" s="580">
        <f t="shared" si="43"/>
        <v>0</v>
      </c>
      <c r="F130" s="580">
        <f t="shared" si="43"/>
        <v>0</v>
      </c>
      <c r="G130" s="580">
        <f t="shared" si="43"/>
        <v>0</v>
      </c>
      <c r="H130" s="580">
        <f t="shared" si="43"/>
        <v>0</v>
      </c>
      <c r="I130" s="580">
        <f t="shared" si="43"/>
        <v>0</v>
      </c>
      <c r="J130" s="580">
        <f t="shared" si="43"/>
        <v>0</v>
      </c>
      <c r="K130" s="580">
        <f t="shared" si="43"/>
        <v>0</v>
      </c>
      <c r="L130" s="584">
        <f>SUM(D130:INDEX(D130:K130,0,MATCH('RFPR cover'!$C$7,$D$6:$K$6,0)))</f>
        <v>0</v>
      </c>
      <c r="M130" s="585">
        <f t="shared" si="44"/>
        <v>0</v>
      </c>
      <c r="N130" s="63"/>
      <c r="O130"/>
      <c r="P130"/>
      <c r="Q130"/>
      <c r="R130"/>
      <c r="S130" s="65"/>
      <c r="T130"/>
    </row>
    <row r="131" spans="1:20">
      <c r="A131" s="270" t="s">
        <v>167</v>
      </c>
      <c r="B131" s="226" t="str">
        <f t="shared" si="42"/>
        <v>[Enduring Value adjustment]</v>
      </c>
      <c r="C131" s="156" t="s">
        <v>127</v>
      </c>
      <c r="D131" s="580">
        <f t="shared" si="43"/>
        <v>0</v>
      </c>
      <c r="E131" s="580">
        <f t="shared" si="43"/>
        <v>0</v>
      </c>
      <c r="F131" s="580">
        <f t="shared" si="43"/>
        <v>0</v>
      </c>
      <c r="G131" s="580">
        <f t="shared" si="43"/>
        <v>0</v>
      </c>
      <c r="H131" s="580">
        <f t="shared" si="43"/>
        <v>0</v>
      </c>
      <c r="I131" s="580">
        <f t="shared" si="43"/>
        <v>0</v>
      </c>
      <c r="J131" s="580">
        <f t="shared" si="43"/>
        <v>0</v>
      </c>
      <c r="K131" s="580">
        <f t="shared" si="43"/>
        <v>0</v>
      </c>
      <c r="L131" s="584">
        <f>SUM(D131:INDEX(D131:K131,0,MATCH('RFPR cover'!$C$7,$D$6:$K$6,0)))</f>
        <v>0</v>
      </c>
      <c r="M131" s="585">
        <f t="shared" si="44"/>
        <v>0</v>
      </c>
      <c r="N131" s="63"/>
      <c r="O131"/>
      <c r="P131"/>
      <c r="Q131"/>
      <c r="R131"/>
      <c r="S131"/>
      <c r="T131"/>
    </row>
    <row r="132" spans="1:20">
      <c r="A132" s="270" t="s">
        <v>168</v>
      </c>
      <c r="B132" s="226" t="str">
        <f t="shared" si="42"/>
        <v>[Enduring Value adjustment]</v>
      </c>
      <c r="C132" s="156" t="s">
        <v>127</v>
      </c>
      <c r="D132" s="580">
        <f t="shared" si="43"/>
        <v>0</v>
      </c>
      <c r="E132" s="580">
        <f t="shared" si="43"/>
        <v>0</v>
      </c>
      <c r="F132" s="580">
        <f t="shared" si="43"/>
        <v>0</v>
      </c>
      <c r="G132" s="580">
        <f t="shared" si="43"/>
        <v>0</v>
      </c>
      <c r="H132" s="580">
        <f t="shared" si="43"/>
        <v>0</v>
      </c>
      <c r="I132" s="580">
        <f t="shared" si="43"/>
        <v>0</v>
      </c>
      <c r="J132" s="580">
        <f t="shared" si="43"/>
        <v>0</v>
      </c>
      <c r="K132" s="580">
        <f t="shared" si="43"/>
        <v>0</v>
      </c>
      <c r="L132" s="584">
        <f>SUM(D132:INDEX(D132:K132,0,MATCH('RFPR cover'!$C$7,$D$6:$K$6,0)))</f>
        <v>0</v>
      </c>
      <c r="M132" s="585">
        <f t="shared" si="44"/>
        <v>0</v>
      </c>
      <c r="N132" s="63"/>
      <c r="O132"/>
      <c r="P132"/>
      <c r="Q132"/>
      <c r="R132"/>
      <c r="S132"/>
      <c r="T132"/>
    </row>
    <row r="133" spans="1:20">
      <c r="A133" s="270" t="s">
        <v>169</v>
      </c>
      <c r="B133" s="226" t="str">
        <f t="shared" si="42"/>
        <v>[Enduring Value adjustment]</v>
      </c>
      <c r="C133" s="156" t="s">
        <v>127</v>
      </c>
      <c r="D133" s="580">
        <f t="shared" si="43"/>
        <v>0</v>
      </c>
      <c r="E133" s="580">
        <f t="shared" si="43"/>
        <v>0</v>
      </c>
      <c r="F133" s="580">
        <f t="shared" si="43"/>
        <v>0</v>
      </c>
      <c r="G133" s="580">
        <f t="shared" si="43"/>
        <v>0</v>
      </c>
      <c r="H133" s="580">
        <f t="shared" si="43"/>
        <v>0</v>
      </c>
      <c r="I133" s="580">
        <f t="shared" si="43"/>
        <v>0</v>
      </c>
      <c r="J133" s="580">
        <f t="shared" si="43"/>
        <v>0</v>
      </c>
      <c r="K133" s="580">
        <f t="shared" si="43"/>
        <v>0</v>
      </c>
      <c r="L133" s="588">
        <f>SUM(D133:INDEX(D133:K133,0,MATCH('RFPR cover'!$C$7,$D$6:$K$6,0)))</f>
        <v>0</v>
      </c>
      <c r="M133" s="589">
        <f t="shared" si="44"/>
        <v>0</v>
      </c>
      <c r="N133" s="63"/>
      <c r="O133"/>
      <c r="P133"/>
      <c r="Q133"/>
      <c r="R133"/>
      <c r="S133"/>
      <c r="T133"/>
    </row>
    <row r="134" spans="1:20">
      <c r="A134" s="35"/>
      <c r="B134" s="780" t="s">
        <v>189</v>
      </c>
      <c r="C134" s="156" t="s">
        <v>127</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72"/>
    </row>
    <row r="136" spans="1:20">
      <c r="A136" s="35"/>
      <c r="B136" s="779" t="s">
        <v>197</v>
      </c>
      <c r="C136" s="160" t="s">
        <v>127</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79" t="s">
        <v>306</v>
      </c>
      <c r="C137" s="160" t="s">
        <v>127</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72"/>
    </row>
    <row r="139" spans="1:20">
      <c r="A139" s="35"/>
      <c r="B139" s="780" t="s">
        <v>180</v>
      </c>
    </row>
    <row r="140" spans="1:20">
      <c r="A140" s="35"/>
      <c r="B140" s="772" t="s">
        <v>179</v>
      </c>
      <c r="C140" s="156" t="s">
        <v>127</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72" t="s">
        <v>279</v>
      </c>
      <c r="C141" s="156" t="s">
        <v>127</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80" t="s">
        <v>11</v>
      </c>
      <c r="C142" s="157" t="s">
        <v>127</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80"/>
      <c r="C143" s="157"/>
      <c r="D143" s="157"/>
      <c r="E143" s="157"/>
      <c r="F143" s="157"/>
      <c r="G143" s="157"/>
      <c r="H143" s="157"/>
      <c r="I143" s="157"/>
      <c r="J143" s="157"/>
      <c r="K143" s="157"/>
      <c r="L143" s="157"/>
      <c r="M143" s="157"/>
    </row>
    <row r="144" spans="1:20">
      <c r="A144" s="35"/>
      <c r="B144" s="775" t="s">
        <v>256</v>
      </c>
      <c r="C144" s="151"/>
      <c r="D144" s="82"/>
      <c r="E144" s="82"/>
      <c r="F144" s="82"/>
      <c r="G144" s="82"/>
      <c r="H144" s="82"/>
      <c r="I144" s="82"/>
      <c r="J144" s="82"/>
      <c r="K144" s="82"/>
      <c r="L144" s="82"/>
      <c r="M144" s="82"/>
      <c r="N144" s="82"/>
    </row>
    <row r="145" spans="1:20">
      <c r="A145" s="35"/>
      <c r="B145" s="772"/>
      <c r="O145"/>
      <c r="P145"/>
      <c r="Q145"/>
      <c r="R145"/>
      <c r="S145"/>
      <c r="T145"/>
    </row>
    <row r="146" spans="1:20">
      <c r="A146" s="35"/>
      <c r="B146" s="780" t="s">
        <v>180</v>
      </c>
    </row>
    <row r="147" spans="1:20">
      <c r="A147" s="35"/>
      <c r="B147" s="772" t="s">
        <v>179</v>
      </c>
      <c r="C147" s="156" t="s">
        <v>127</v>
      </c>
      <c r="D147" s="96">
        <f>D112+D140</f>
        <v>-6.0959407175740523</v>
      </c>
      <c r="E147" s="97">
        <f t="shared" ref="E147:K147" si="51">E112+E140</f>
        <v>-2.1709411961257405</v>
      </c>
      <c r="F147" s="97">
        <f t="shared" si="51"/>
        <v>-0.77215155440518224</v>
      </c>
      <c r="G147" s="97">
        <f t="shared" si="51"/>
        <v>2.5800624936632257</v>
      </c>
      <c r="H147" s="97">
        <f t="shared" si="51"/>
        <v>-1.7382711999021545</v>
      </c>
      <c r="I147" s="97">
        <f t="shared" si="51"/>
        <v>22.731693683530953</v>
      </c>
      <c r="J147" s="97">
        <f t="shared" si="51"/>
        <v>-3.447586199418101</v>
      </c>
      <c r="K147" s="97">
        <f t="shared" si="51"/>
        <v>-2.7478358356665953</v>
      </c>
      <c r="L147" s="96">
        <f>SUM(D147:INDEX(D147:K147,0,MATCH('RFPR cover'!$C$7,$D$6:$K$6,0)))</f>
        <v>14.534451509187049</v>
      </c>
      <c r="M147" s="98">
        <f>SUM(D147:K147)</f>
        <v>8.3390294741023521</v>
      </c>
    </row>
    <row r="148" spans="1:20">
      <c r="A148" s="35"/>
      <c r="B148" s="772" t="s">
        <v>279</v>
      </c>
      <c r="C148" s="156" t="s">
        <v>127</v>
      </c>
      <c r="D148" s="99">
        <f t="shared" ref="D148:K148" si="52">D113+D141</f>
        <v>-7.7094306449128815</v>
      </c>
      <c r="E148" s="100">
        <f t="shared" si="52"/>
        <v>-2.7455517304269605</v>
      </c>
      <c r="F148" s="100">
        <f t="shared" si="52"/>
        <v>-0.97652669732940467</v>
      </c>
      <c r="G148" s="100">
        <f t="shared" si="52"/>
        <v>3.2629603495149144</v>
      </c>
      <c r="H148" s="100">
        <f t="shared" si="52"/>
        <v>-2.1983614799699467</v>
      </c>
      <c r="I148" s="100">
        <f t="shared" si="52"/>
        <v>28.748379292692359</v>
      </c>
      <c r="J148" s="100">
        <f t="shared" si="52"/>
        <v>-4.360102554827666</v>
      </c>
      <c r="K148" s="100">
        <f t="shared" si="52"/>
        <v>-3.4751403893422954</v>
      </c>
      <c r="L148" s="99">
        <f>SUM(D148:INDEX(D148:K148,0,MATCH('RFPR cover'!$C$7,$D$6:$K$6,0)))</f>
        <v>18.381469089568078</v>
      </c>
      <c r="M148" s="101">
        <f>SUM(D148:K148)</f>
        <v>10.546226145398117</v>
      </c>
    </row>
    <row r="149" spans="1:20">
      <c r="A149" s="35"/>
      <c r="B149" s="780" t="s">
        <v>11</v>
      </c>
      <c r="C149" s="157" t="s">
        <v>127</v>
      </c>
      <c r="D149" s="140">
        <f>SUM(D147:D148)</f>
        <v>-13.805371362486934</v>
      </c>
      <c r="E149" s="141">
        <f t="shared" ref="E149:K149" si="53">SUM(E147:E148)</f>
        <v>-4.9164929265527011</v>
      </c>
      <c r="F149" s="141">
        <f t="shared" si="53"/>
        <v>-1.7486782517345869</v>
      </c>
      <c r="G149" s="141">
        <f t="shared" si="53"/>
        <v>5.8430228431781401</v>
      </c>
      <c r="H149" s="141">
        <f t="shared" si="53"/>
        <v>-3.9366326798721012</v>
      </c>
      <c r="I149" s="141">
        <f t="shared" si="53"/>
        <v>51.480072976223312</v>
      </c>
      <c r="J149" s="141">
        <f t="shared" si="53"/>
        <v>-7.8076887542457669</v>
      </c>
      <c r="K149" s="141">
        <f t="shared" si="53"/>
        <v>-6.2229762250088907</v>
      </c>
      <c r="L149" s="140">
        <f>SUM(D149:INDEX(D149:K149,0,MATCH('RFPR cover'!$C$7,$D$6:$K$6,0)))</f>
        <v>32.915920598755122</v>
      </c>
      <c r="M149" s="142">
        <f>SUM(D149:K149)</f>
        <v>18.885255619500462</v>
      </c>
    </row>
    <row r="150" spans="1:20">
      <c r="A150" s="35"/>
      <c r="B150" s="779"/>
      <c r="D150" s="137"/>
      <c r="E150" s="137"/>
      <c r="F150" s="137"/>
      <c r="G150" s="137"/>
      <c r="H150" s="137"/>
      <c r="I150" s="137"/>
      <c r="J150" s="137"/>
      <c r="K150" s="137"/>
    </row>
    <row r="151" spans="1:20">
      <c r="A151" s="35"/>
      <c r="B151" s="772"/>
    </row>
    <row r="152" spans="1:20">
      <c r="A152" s="82"/>
      <c r="B152" s="771"/>
      <c r="C152" s="151"/>
      <c r="D152" s="82"/>
      <c r="E152" s="82"/>
      <c r="F152" s="82"/>
      <c r="G152" s="82"/>
      <c r="H152" s="82"/>
      <c r="I152" s="82"/>
      <c r="J152" s="82"/>
      <c r="K152" s="82"/>
      <c r="L152" s="82"/>
      <c r="M152" s="82"/>
      <c r="N152" s="82"/>
    </row>
    <row r="153" spans="1:20">
      <c r="B153" s="772"/>
    </row>
    <row r="154" spans="1:20">
      <c r="B154" s="772"/>
    </row>
  </sheetData>
  <sheetProtection password="DA3D" sheet="1" objects="1" scenarios="1"/>
  <mergeCells count="4">
    <mergeCell ref="O14:Q14"/>
    <mergeCell ref="O42:Q42"/>
    <mergeCell ref="O92:Q92"/>
    <mergeCell ref="O120:Q120"/>
  </mergeCells>
  <conditionalFormatting sqref="D6:K6">
    <cfRule type="expression" dxfId="60" priority="7">
      <formula>AND(D$5="Actuals",E$5="Forecast")</formula>
    </cfRule>
  </conditionalFormatting>
  <conditionalFormatting sqref="B118:M142">
    <cfRule type="expression" dxfId="59" priority="3">
      <formula>$B$38="n/a"</formula>
    </cfRule>
  </conditionalFormatting>
  <conditionalFormatting sqref="D5:K5">
    <cfRule type="expression" dxfId="58" priority="2">
      <formula>AND(D$5="Actuals",E$5="Forecast")</formula>
    </cfRule>
  </conditionalFormatting>
  <conditionalFormatting sqref="B38:N64">
    <cfRule type="expression" dxfId="57" priority="1">
      <formula>$B$38="n/a"</formula>
    </cfRule>
  </conditionalFormatting>
  <pageMargins left="0.70866141732283472" right="0.70866141732283472" top="0.74803149606299213" bottom="0.74803149606299213" header="0.31496062992125984" footer="0.31496062992125984"/>
  <pageSetup paperSize="8"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17" t="s">
        <v>261</v>
      </c>
      <c r="B1" s="918"/>
      <c r="C1" s="154"/>
      <c r="D1" s="132"/>
      <c r="E1" s="132"/>
      <c r="F1" s="132"/>
      <c r="G1" s="132"/>
      <c r="H1" s="132"/>
      <c r="I1" s="128"/>
      <c r="J1" s="128"/>
      <c r="K1" s="128"/>
      <c r="L1" s="128"/>
      <c r="M1" s="128"/>
      <c r="N1" s="129"/>
    </row>
    <row r="2" spans="1:14" s="37" customFormat="1" ht="20.25">
      <c r="A2" s="919" t="str">
        <f>'RFPR cover'!C5</f>
        <v>NPgY</v>
      </c>
      <c r="B2" s="920"/>
      <c r="C2" s="155"/>
      <c r="D2" s="36"/>
      <c r="E2" s="36"/>
      <c r="F2" s="36"/>
      <c r="G2" s="36"/>
      <c r="H2" s="36"/>
      <c r="I2" s="27"/>
      <c r="J2" s="27"/>
      <c r="K2" s="27"/>
      <c r="L2" s="27"/>
      <c r="M2" s="27"/>
      <c r="N2" s="124"/>
    </row>
    <row r="3" spans="1:14" s="37" customFormat="1" ht="20.25">
      <c r="A3" s="921">
        <f>'RFPR cover'!C7</f>
        <v>2021</v>
      </c>
      <c r="B3" s="922"/>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2021</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2" t="s">
        <v>392</v>
      </c>
      <c r="C9" s="362"/>
      <c r="D9" s="362"/>
      <c r="E9" s="362"/>
      <c r="F9" s="362"/>
      <c r="G9" s="362"/>
      <c r="H9" s="362"/>
      <c r="I9" s="362"/>
      <c r="J9" s="362"/>
      <c r="K9" s="362"/>
      <c r="L9" s="362"/>
      <c r="M9" s="362"/>
      <c r="N9" s="362"/>
    </row>
    <row r="10" spans="1:14" s="2" customFormat="1">
      <c r="A10" s="35"/>
      <c r="B10" s="12"/>
      <c r="C10" s="137"/>
    </row>
    <row r="11" spans="1:14" s="2" customFormat="1">
      <c r="A11" s="225" t="s">
        <v>150</v>
      </c>
      <c r="B11" s="35" t="str">
        <f>Data!B153</f>
        <v>Broad measure of customer service</v>
      </c>
      <c r="C11" s="156" t="str">
        <f>'RFPR cover'!$C$14</f>
        <v>£m 12/13</v>
      </c>
      <c r="D11" s="590">
        <v>1.4950660189349718</v>
      </c>
      <c r="E11" s="591">
        <v>2.4404047615840767</v>
      </c>
      <c r="F11" s="591">
        <v>2.5614762708453891</v>
      </c>
      <c r="G11" s="591">
        <v>2.7092631346021414</v>
      </c>
      <c r="H11" s="591">
        <v>3.3320679344321245</v>
      </c>
      <c r="I11" s="591">
        <v>3.1969000000000025</v>
      </c>
      <c r="J11" s="591">
        <v>4.2200000000000006</v>
      </c>
      <c r="K11" s="591">
        <v>4.3800000000000008</v>
      </c>
      <c r="L11" s="667">
        <f>SUM(D11:INDEX(D11:K11,0,MATCH('RFPR cover'!$C$7,$D$6:$K$6,0)))</f>
        <v>15.735178120398707</v>
      </c>
      <c r="M11" s="668">
        <f t="shared" ref="M11:M17" si="1">SUM(D11:K11)</f>
        <v>24.335178120398709</v>
      </c>
    </row>
    <row r="12" spans="1:14" s="2" customFormat="1">
      <c r="A12" s="225" t="s">
        <v>151</v>
      </c>
      <c r="B12" s="35" t="str">
        <f>Data!B154</f>
        <v>Interruptions-related quality of service</v>
      </c>
      <c r="C12" s="156" t="str">
        <f>'RFPR cover'!$C$14</f>
        <v>£m 12/13</v>
      </c>
      <c r="D12" s="592">
        <v>13.087008000000001</v>
      </c>
      <c r="E12" s="593">
        <v>13.5</v>
      </c>
      <c r="F12" s="593">
        <v>13.444224</v>
      </c>
      <c r="G12" s="593">
        <v>13.481033999999999</v>
      </c>
      <c r="H12" s="593">
        <v>11.562828026761702</v>
      </c>
      <c r="I12" s="593">
        <v>11.334597331294985</v>
      </c>
      <c r="J12" s="593">
        <v>10.64425759079467</v>
      </c>
      <c r="K12" s="593">
        <v>10.558640729544891</v>
      </c>
      <c r="L12" s="671">
        <f>SUM(D12:INDEX(D12:K12,0,MATCH('RFPR cover'!$C$7,$D$6:$K$6,0)))</f>
        <v>76.409691358056691</v>
      </c>
      <c r="M12" s="672">
        <f t="shared" si="1"/>
        <v>97.612589678396247</v>
      </c>
    </row>
    <row r="13" spans="1:14" s="2" customFormat="1">
      <c r="A13" s="225" t="s">
        <v>152</v>
      </c>
      <c r="B13" s="35" t="str">
        <f>Data!B155</f>
        <v>Incentive on connections engagement</v>
      </c>
      <c r="C13" s="156" t="str">
        <f>'RFPR cover'!$C$14</f>
        <v>£m 12/13</v>
      </c>
      <c r="D13" s="592">
        <v>0</v>
      </c>
      <c r="E13" s="593">
        <v>0</v>
      </c>
      <c r="F13" s="593">
        <v>0</v>
      </c>
      <c r="G13" s="593">
        <v>0</v>
      </c>
      <c r="H13" s="593">
        <v>0</v>
      </c>
      <c r="I13" s="593">
        <v>0</v>
      </c>
      <c r="J13" s="593">
        <v>0</v>
      </c>
      <c r="K13" s="593">
        <v>0</v>
      </c>
      <c r="L13" s="671">
        <f>SUM(D13:INDEX(D13:K13,0,MATCH('RFPR cover'!$C$7,$D$6:$K$6,0)))</f>
        <v>0</v>
      </c>
      <c r="M13" s="672">
        <f t="shared" si="1"/>
        <v>0</v>
      </c>
    </row>
    <row r="14" spans="1:14" s="2" customFormat="1">
      <c r="A14" s="225" t="s">
        <v>167</v>
      </c>
      <c r="B14" s="35" t="str">
        <f>Data!B156</f>
        <v>Time to Connect Incentive</v>
      </c>
      <c r="C14" s="156" t="str">
        <f>'RFPR cover'!$C$14</f>
        <v>£m 12/13</v>
      </c>
      <c r="D14" s="592">
        <v>0.69580790960451977</v>
      </c>
      <c r="E14" s="593">
        <v>0.6</v>
      </c>
      <c r="F14" s="593">
        <v>6.2900000000000178E-2</v>
      </c>
      <c r="G14" s="593">
        <v>0.35280000000000028</v>
      </c>
      <c r="H14" s="593">
        <v>0.10084904113284267</v>
      </c>
      <c r="I14" s="593">
        <v>0</v>
      </c>
      <c r="J14" s="593">
        <v>5.6338946938775572E-2</v>
      </c>
      <c r="K14" s="593">
        <v>1.1382211999999998</v>
      </c>
      <c r="L14" s="671">
        <f>SUM(D14:INDEX(D14:K14,0,MATCH('RFPR cover'!$C$7,$D$6:$K$6,0)))</f>
        <v>1.8123569507373627</v>
      </c>
      <c r="M14" s="672">
        <f t="shared" si="1"/>
        <v>3.0069170976761379</v>
      </c>
    </row>
    <row r="15" spans="1:14" s="2" customFormat="1">
      <c r="A15" s="225" t="s">
        <v>168</v>
      </c>
      <c r="B15" s="35" t="str">
        <f>Data!B157</f>
        <v>Losses discretionary reward scheme</v>
      </c>
      <c r="C15" s="156" t="str">
        <f>'RFPR cover'!$C$14</f>
        <v>£m 12/13</v>
      </c>
      <c r="D15" s="592">
        <v>0</v>
      </c>
      <c r="E15" s="593">
        <v>0.17499999999999999</v>
      </c>
      <c r="F15" s="593">
        <v>0</v>
      </c>
      <c r="G15" s="593">
        <v>0</v>
      </c>
      <c r="H15" s="593">
        <v>0</v>
      </c>
      <c r="I15" s="593">
        <v>0</v>
      </c>
      <c r="J15" s="593">
        <v>0</v>
      </c>
      <c r="K15" s="593">
        <v>0</v>
      </c>
      <c r="L15" s="671">
        <f>SUM(D15:INDEX(D15:K15,0,MATCH('RFPR cover'!$C$7,$D$6:$K$6,0)))</f>
        <v>0.17499999999999999</v>
      </c>
      <c r="M15" s="672">
        <f t="shared" si="1"/>
        <v>0.17499999999999999</v>
      </c>
    </row>
    <row r="16" spans="1:14" s="2" customFormat="1">
      <c r="A16" s="225" t="s">
        <v>169</v>
      </c>
      <c r="B16" s="35" t="str">
        <f>Data!B158</f>
        <v/>
      </c>
      <c r="C16" s="156" t="str">
        <f>'RFPR cover'!$C$14</f>
        <v>£m 12/13</v>
      </c>
      <c r="D16" s="592"/>
      <c r="E16" s="593"/>
      <c r="F16" s="593"/>
      <c r="G16" s="593"/>
      <c r="H16" s="593"/>
      <c r="I16" s="593"/>
      <c r="J16" s="593"/>
      <c r="K16" s="593"/>
      <c r="L16" s="671">
        <f>SUM(D16:INDEX(D16:K16,0,MATCH('RFPR cover'!$C$7,$D$6:$K$6,0)))</f>
        <v>0</v>
      </c>
      <c r="M16" s="672">
        <f t="shared" si="1"/>
        <v>0</v>
      </c>
    </row>
    <row r="17" spans="1:16" s="2" customFormat="1">
      <c r="A17" s="225" t="s">
        <v>477</v>
      </c>
      <c r="B17" s="35" t="str">
        <f>Data!B159</f>
        <v/>
      </c>
      <c r="C17" s="156" t="str">
        <f>'RFPR cover'!$C$14</f>
        <v>£m 12/13</v>
      </c>
      <c r="D17" s="841"/>
      <c r="E17" s="842"/>
      <c r="F17" s="842"/>
      <c r="G17" s="842"/>
      <c r="H17" s="842"/>
      <c r="I17" s="842"/>
      <c r="J17" s="842"/>
      <c r="K17" s="843"/>
      <c r="L17" s="671">
        <f>SUM(D17:INDEX(D17:K17,0,MATCH('RFPR cover'!$C$7,$D$6:$K$6,0)))</f>
        <v>0</v>
      </c>
      <c r="M17" s="672">
        <f t="shared" si="1"/>
        <v>0</v>
      </c>
    </row>
    <row r="18" spans="1:16" s="2" customFormat="1">
      <c r="A18" s="35"/>
      <c r="B18" s="12" t="s">
        <v>202</v>
      </c>
      <c r="C18" s="157" t="str">
        <f>'RFPR cover'!$C$14</f>
        <v>£m 12/13</v>
      </c>
      <c r="D18" s="606">
        <f>SUM(D11:D17)</f>
        <v>15.277881928539493</v>
      </c>
      <c r="E18" s="606">
        <f t="shared" ref="E18:K18" si="2">SUM(E11:E17)</f>
        <v>16.715404761584079</v>
      </c>
      <c r="F18" s="606">
        <f t="shared" si="2"/>
        <v>16.068600270845387</v>
      </c>
      <c r="G18" s="606">
        <f t="shared" si="2"/>
        <v>16.543097134602142</v>
      </c>
      <c r="H18" s="606">
        <f t="shared" si="2"/>
        <v>14.99574500232667</v>
      </c>
      <c r="I18" s="606">
        <f t="shared" si="2"/>
        <v>14.531497331294988</v>
      </c>
      <c r="J18" s="606">
        <f t="shared" si="2"/>
        <v>14.920596537733445</v>
      </c>
      <c r="K18" s="606">
        <f t="shared" si="2"/>
        <v>16.07686192954489</v>
      </c>
      <c r="L18" s="606">
        <f>SUM(L11:L17)</f>
        <v>94.13222642919277</v>
      </c>
      <c r="M18" s="606">
        <f>SUM(M11:M17)</f>
        <v>125.12968489647109</v>
      </c>
    </row>
    <row r="19" spans="1:16" s="2" customFormat="1">
      <c r="A19" s="35"/>
      <c r="B19" s="12"/>
      <c r="C19" s="157"/>
      <c r="D19" s="157"/>
      <c r="E19" s="157"/>
      <c r="F19" s="157"/>
      <c r="G19" s="157"/>
      <c r="H19" s="157"/>
      <c r="I19" s="157"/>
      <c r="J19" s="157"/>
      <c r="K19" s="157"/>
      <c r="L19" s="157"/>
      <c r="M19" s="157"/>
    </row>
    <row r="20" spans="1:16" s="2" customFormat="1">
      <c r="A20" s="35"/>
      <c r="B20" s="12" t="s">
        <v>374</v>
      </c>
      <c r="C20" s="157"/>
      <c r="D20" s="157"/>
      <c r="E20" s="157"/>
      <c r="F20" s="157"/>
      <c r="G20" s="157"/>
      <c r="H20" s="157"/>
      <c r="I20" s="157"/>
      <c r="J20" s="157"/>
      <c r="K20" s="157"/>
      <c r="L20" s="157"/>
      <c r="M20" s="157"/>
    </row>
    <row r="21" spans="1:16" s="2" customFormat="1">
      <c r="A21" s="270" t="str">
        <f>A11</f>
        <v>a</v>
      </c>
      <c r="B21" s="986" t="s">
        <v>601</v>
      </c>
      <c r="C21" s="986"/>
      <c r="D21" s="986"/>
      <c r="E21" s="986"/>
      <c r="F21" s="986"/>
      <c r="G21" s="986"/>
      <c r="H21" s="986"/>
      <c r="I21" s="986"/>
      <c r="J21" s="986"/>
      <c r="K21" s="986"/>
      <c r="L21" s="986"/>
      <c r="M21" s="986"/>
    </row>
    <row r="22" spans="1:16" s="2" customFormat="1">
      <c r="A22" s="270" t="str">
        <f>A12</f>
        <v>b</v>
      </c>
      <c r="B22" s="985"/>
      <c r="C22" s="985"/>
      <c r="D22" s="985"/>
      <c r="E22" s="985"/>
      <c r="F22" s="985"/>
      <c r="G22" s="985"/>
      <c r="H22" s="985"/>
      <c r="I22" s="985"/>
      <c r="J22" s="985"/>
      <c r="K22" s="985"/>
      <c r="L22" s="985"/>
      <c r="M22" s="985"/>
    </row>
    <row r="23" spans="1:16" s="2" customFormat="1">
      <c r="A23" s="270" t="str">
        <f>A13</f>
        <v>c</v>
      </c>
      <c r="B23" s="985"/>
      <c r="C23" s="985"/>
      <c r="D23" s="985"/>
      <c r="E23" s="985"/>
      <c r="F23" s="985"/>
      <c r="G23" s="985"/>
      <c r="H23" s="985"/>
      <c r="I23" s="985"/>
      <c r="J23" s="985"/>
      <c r="K23" s="985"/>
      <c r="L23" s="985"/>
      <c r="M23" s="985"/>
    </row>
    <row r="24" spans="1:16" s="2" customFormat="1">
      <c r="A24" s="270" t="str">
        <f>A14</f>
        <v>d</v>
      </c>
      <c r="B24" s="985"/>
      <c r="C24" s="985"/>
      <c r="D24" s="985"/>
      <c r="E24" s="985"/>
      <c r="F24" s="985"/>
      <c r="G24" s="985"/>
      <c r="H24" s="985"/>
      <c r="I24" s="985"/>
      <c r="J24" s="985"/>
      <c r="K24" s="985"/>
      <c r="L24" s="985"/>
      <c r="M24" s="985"/>
    </row>
    <row r="25" spans="1:16" s="2" customFormat="1">
      <c r="A25" s="270" t="str">
        <f>A15</f>
        <v>e</v>
      </c>
      <c r="B25" s="985"/>
      <c r="C25" s="985"/>
      <c r="D25" s="985"/>
      <c r="E25" s="985"/>
      <c r="F25" s="985"/>
      <c r="G25" s="985"/>
      <c r="H25" s="985"/>
      <c r="I25" s="985"/>
      <c r="J25" s="985"/>
      <c r="K25" s="985"/>
      <c r="L25" s="985"/>
      <c r="M25" s="985"/>
    </row>
    <row r="26" spans="1:16" s="2" customFormat="1">
      <c r="A26" s="270" t="s">
        <v>169</v>
      </c>
      <c r="B26" s="840"/>
      <c r="C26" s="840"/>
      <c r="D26" s="840"/>
      <c r="E26" s="840"/>
      <c r="F26" s="840"/>
      <c r="G26" s="840"/>
      <c r="H26" s="840"/>
      <c r="I26" s="840"/>
      <c r="J26" s="840"/>
      <c r="K26" s="840"/>
      <c r="L26" s="840"/>
      <c r="M26" s="840"/>
    </row>
    <row r="27" spans="1:16" s="2" customFormat="1">
      <c r="A27" s="270" t="s">
        <v>477</v>
      </c>
      <c r="B27" s="840"/>
      <c r="C27" s="840"/>
      <c r="D27" s="840"/>
      <c r="E27" s="840"/>
      <c r="F27" s="840"/>
      <c r="G27" s="840"/>
      <c r="H27" s="840"/>
      <c r="I27" s="840"/>
      <c r="J27" s="840"/>
      <c r="K27" s="840"/>
      <c r="L27" s="840"/>
      <c r="M27" s="840"/>
    </row>
    <row r="28" spans="1:16" s="529" customFormat="1">
      <c r="A28" s="38"/>
      <c r="B28" s="533"/>
      <c r="C28" s="533"/>
      <c r="D28" s="533"/>
      <c r="E28" s="533"/>
      <c r="F28" s="533"/>
      <c r="G28" s="533"/>
      <c r="H28" s="533"/>
      <c r="I28" s="533"/>
      <c r="J28" s="533"/>
      <c r="K28" s="533"/>
      <c r="L28" s="533"/>
      <c r="M28" s="533"/>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2" t="s">
        <v>210</v>
      </c>
      <c r="C32" s="290"/>
      <c r="D32" s="292"/>
      <c r="E32" s="292"/>
      <c r="F32" s="292"/>
      <c r="G32" s="292"/>
      <c r="H32" s="292"/>
      <c r="I32" s="292"/>
      <c r="J32" s="292"/>
      <c r="K32" s="292"/>
      <c r="L32" s="292"/>
      <c r="M32" s="292"/>
      <c r="N32" s="292"/>
    </row>
    <row r="33" spans="1:14" s="2" customFormat="1">
      <c r="A33" s="35"/>
      <c r="B33" s="363" t="s">
        <v>240</v>
      </c>
      <c r="C33" s="290"/>
      <c r="D33" s="292"/>
      <c r="E33" s="292"/>
      <c r="F33" s="292"/>
      <c r="G33" s="292"/>
      <c r="H33" s="292"/>
      <c r="I33" s="292"/>
      <c r="J33" s="292"/>
      <c r="K33" s="292"/>
      <c r="L33" s="292"/>
      <c r="M33" s="292"/>
      <c r="N33" s="292"/>
    </row>
    <row r="34" spans="1:14" s="2" customFormat="1">
      <c r="A34" s="35"/>
      <c r="B34" s="363" t="s">
        <v>478</v>
      </c>
      <c r="C34" s="290"/>
      <c r="D34" s="292"/>
      <c r="E34" s="292"/>
      <c r="F34" s="292"/>
      <c r="G34" s="292"/>
      <c r="H34" s="292"/>
      <c r="I34" s="292"/>
      <c r="J34" s="292"/>
      <c r="K34" s="292"/>
      <c r="L34" s="292"/>
      <c r="M34" s="292"/>
      <c r="N34" s="292"/>
    </row>
    <row r="35" spans="1:14" s="2" customFormat="1">
      <c r="A35" s="35"/>
      <c r="B35" s="363" t="s">
        <v>208</v>
      </c>
      <c r="C35" s="290"/>
      <c r="D35" s="292"/>
      <c r="E35" s="292"/>
      <c r="F35" s="292"/>
      <c r="G35" s="292"/>
      <c r="H35" s="292"/>
      <c r="I35" s="292"/>
      <c r="J35" s="292"/>
      <c r="K35" s="292"/>
      <c r="L35" s="292"/>
      <c r="M35" s="292"/>
      <c r="N35" s="292"/>
    </row>
    <row r="36" spans="1:14" s="2" customFormat="1">
      <c r="A36" s="35"/>
      <c r="B36" s="363" t="s">
        <v>201</v>
      </c>
      <c r="C36" s="290"/>
      <c r="D36" s="292"/>
      <c r="E36" s="292"/>
      <c r="F36" s="292"/>
      <c r="G36" s="292"/>
      <c r="H36" s="292"/>
      <c r="I36" s="292"/>
      <c r="J36" s="292"/>
      <c r="K36" s="292"/>
      <c r="L36" s="292"/>
      <c r="M36" s="292"/>
      <c r="N36" s="292"/>
    </row>
    <row r="37" spans="1:14" s="2" customFormat="1">
      <c r="A37" s="35"/>
      <c r="B37" s="363" t="s">
        <v>207</v>
      </c>
      <c r="C37" s="290"/>
      <c r="D37" s="292"/>
      <c r="E37" s="292"/>
      <c r="F37" s="292"/>
      <c r="G37" s="292"/>
      <c r="H37" s="292"/>
      <c r="I37" s="292"/>
      <c r="J37" s="292"/>
      <c r="K37" s="292"/>
      <c r="L37" s="292"/>
      <c r="M37" s="292"/>
      <c r="N37" s="292"/>
    </row>
    <row r="38" spans="1:14" s="2" customFormat="1">
      <c r="B38" s="12"/>
      <c r="C38" s="137"/>
    </row>
    <row r="39" spans="1:14" s="2" customFormat="1">
      <c r="A39" s="161" t="str">
        <f t="shared" ref="A39:A45" si="3">A11</f>
        <v>a</v>
      </c>
      <c r="B39" s="35" t="str">
        <f>$B$11&amp;""</f>
        <v>Broad measure of customer service</v>
      </c>
      <c r="C39" s="156" t="str">
        <f>'RFPR cover'!$C$14</f>
        <v>£m 12/13</v>
      </c>
      <c r="D39" s="667">
        <f>D51</f>
        <v>1.2110034753373273</v>
      </c>
      <c r="E39" s="667">
        <f t="shared" ref="E39:K39" si="4">E51</f>
        <v>1.9767278568831024</v>
      </c>
      <c r="F39" s="667">
        <f t="shared" si="4"/>
        <v>2.0747957793847651</v>
      </c>
      <c r="G39" s="667">
        <f t="shared" si="4"/>
        <v>2.1945031390277348</v>
      </c>
      <c r="H39" s="667">
        <f t="shared" si="4"/>
        <v>2.6989750268900208</v>
      </c>
      <c r="I39" s="667">
        <f t="shared" si="4"/>
        <v>2.5894890000000022</v>
      </c>
      <c r="J39" s="667">
        <f t="shared" si="4"/>
        <v>3.1650000000000005</v>
      </c>
      <c r="K39" s="667">
        <f t="shared" si="4"/>
        <v>3.2850000000000006</v>
      </c>
      <c r="L39" s="667">
        <f>SUM(D39:INDEX(D39:K39,0,MATCH('RFPR cover'!$C$7,$D$6:$K$6,0)))</f>
        <v>12.745494277522953</v>
      </c>
      <c r="M39" s="668">
        <f t="shared" ref="M39:M45" si="5">SUM(D39:K39)</f>
        <v>19.195494277522954</v>
      </c>
    </row>
    <row r="40" spans="1:14" s="2" customFormat="1">
      <c r="A40" s="161" t="str">
        <f t="shared" si="3"/>
        <v>b</v>
      </c>
      <c r="B40" s="35" t="str">
        <f>$B$12&amp;""</f>
        <v>Interruptions-related quality of service</v>
      </c>
      <c r="C40" s="156" t="str">
        <f>'RFPR cover'!$C$14</f>
        <v>£m 12/13</v>
      </c>
      <c r="D40" s="667">
        <f>D55</f>
        <v>10.600476480000001</v>
      </c>
      <c r="E40" s="667">
        <f t="shared" ref="E40:K40" si="6">E55</f>
        <v>10.935</v>
      </c>
      <c r="F40" s="667">
        <f t="shared" si="6"/>
        <v>10.88982144</v>
      </c>
      <c r="G40" s="667">
        <f t="shared" si="6"/>
        <v>10.91963754</v>
      </c>
      <c r="H40" s="667">
        <f t="shared" si="6"/>
        <v>9.3658907016769799</v>
      </c>
      <c r="I40" s="667">
        <f t="shared" si="6"/>
        <v>9.1810238383489384</v>
      </c>
      <c r="J40" s="667">
        <f t="shared" si="6"/>
        <v>7.9831931930960023</v>
      </c>
      <c r="K40" s="667">
        <f t="shared" si="6"/>
        <v>7.9189805471586681</v>
      </c>
      <c r="L40" s="671">
        <f>SUM(D40:INDEX(D40:K40,0,MATCH('RFPR cover'!$C$7,$D$6:$K$6,0)))</f>
        <v>61.891850000025926</v>
      </c>
      <c r="M40" s="672">
        <f t="shared" si="5"/>
        <v>77.794023740280593</v>
      </c>
    </row>
    <row r="41" spans="1:14" s="2" customFormat="1">
      <c r="A41" s="161" t="str">
        <f t="shared" si="3"/>
        <v>c</v>
      </c>
      <c r="B41" s="35" t="str">
        <f>$B$13&amp;""</f>
        <v>Incentive on connections engagement</v>
      </c>
      <c r="C41" s="156" t="str">
        <f>'RFPR cover'!$C$14</f>
        <v>£m 12/13</v>
      </c>
      <c r="D41" s="667">
        <f>D59</f>
        <v>0</v>
      </c>
      <c r="E41" s="667">
        <f t="shared" ref="E41:K41" si="7">E59</f>
        <v>0</v>
      </c>
      <c r="F41" s="667">
        <f t="shared" si="7"/>
        <v>0</v>
      </c>
      <c r="G41" s="667">
        <f t="shared" si="7"/>
        <v>0</v>
      </c>
      <c r="H41" s="667">
        <f t="shared" si="7"/>
        <v>0</v>
      </c>
      <c r="I41" s="667">
        <f t="shared" si="7"/>
        <v>0</v>
      </c>
      <c r="J41" s="667">
        <f t="shared" si="7"/>
        <v>0</v>
      </c>
      <c r="K41" s="667">
        <f t="shared" si="7"/>
        <v>0</v>
      </c>
      <c r="L41" s="671">
        <f>SUM(D41:INDEX(D41:K41,0,MATCH('RFPR cover'!$C$7,$D$6:$K$6,0)))</f>
        <v>0</v>
      </c>
      <c r="M41" s="672">
        <f t="shared" si="5"/>
        <v>0</v>
      </c>
    </row>
    <row r="42" spans="1:14" s="2" customFormat="1">
      <c r="A42" s="161" t="str">
        <f t="shared" si="3"/>
        <v>d</v>
      </c>
      <c r="B42" s="35" t="str">
        <f>$B$14&amp;""</f>
        <v>Time to Connect Incentive</v>
      </c>
      <c r="C42" s="156" t="str">
        <f>'RFPR cover'!$C$14</f>
        <v>£m 12/13</v>
      </c>
      <c r="D42" s="667">
        <f>D63</f>
        <v>0.56360440677966106</v>
      </c>
      <c r="E42" s="667">
        <f t="shared" ref="E42:K42" si="8">E63</f>
        <v>0.48599999999999999</v>
      </c>
      <c r="F42" s="667">
        <f t="shared" si="8"/>
        <v>5.0949000000000147E-2</v>
      </c>
      <c r="G42" s="667">
        <f t="shared" si="8"/>
        <v>0.28576800000000024</v>
      </c>
      <c r="H42" s="667">
        <f t="shared" si="8"/>
        <v>8.1687723317602573E-2</v>
      </c>
      <c r="I42" s="667">
        <f t="shared" si="8"/>
        <v>0</v>
      </c>
      <c r="J42" s="667">
        <f t="shared" si="8"/>
        <v>4.2254210204081682E-2</v>
      </c>
      <c r="K42" s="667">
        <f t="shared" si="8"/>
        <v>0.85366589999999987</v>
      </c>
      <c r="L42" s="671">
        <f>SUM(D42:INDEX(D42:K42,0,MATCH('RFPR cover'!$C$7,$D$6:$K$6,0)))</f>
        <v>1.468009130097264</v>
      </c>
      <c r="M42" s="672">
        <f t="shared" si="5"/>
        <v>2.3639292403013457</v>
      </c>
    </row>
    <row r="43" spans="1:14" s="2" customFormat="1">
      <c r="A43" s="161" t="str">
        <f t="shared" si="3"/>
        <v>e</v>
      </c>
      <c r="B43" s="35" t="str">
        <f>$B$15&amp;""</f>
        <v>Losses discretionary reward scheme</v>
      </c>
      <c r="C43" s="156" t="str">
        <f>'RFPR cover'!$C$14</f>
        <v>£m 12/13</v>
      </c>
      <c r="D43" s="667">
        <f>D67</f>
        <v>0</v>
      </c>
      <c r="E43" s="667">
        <f t="shared" ref="E43:K43" si="9">E67</f>
        <v>0.14174999999999999</v>
      </c>
      <c r="F43" s="667">
        <f t="shared" si="9"/>
        <v>0</v>
      </c>
      <c r="G43" s="667">
        <f t="shared" si="9"/>
        <v>0</v>
      </c>
      <c r="H43" s="667">
        <f t="shared" si="9"/>
        <v>0</v>
      </c>
      <c r="I43" s="667">
        <f t="shared" si="9"/>
        <v>0</v>
      </c>
      <c r="J43" s="667">
        <f t="shared" si="9"/>
        <v>0</v>
      </c>
      <c r="K43" s="667">
        <f t="shared" si="9"/>
        <v>0</v>
      </c>
      <c r="L43" s="671">
        <f>SUM(D43:INDEX(D43:K43,0,MATCH('RFPR cover'!$C$7,$D$6:$K$6,0)))</f>
        <v>0.14174999999999999</v>
      </c>
      <c r="M43" s="672">
        <f t="shared" si="5"/>
        <v>0.14174999999999999</v>
      </c>
    </row>
    <row r="44" spans="1:14" s="2" customFormat="1">
      <c r="A44" s="161" t="str">
        <f t="shared" si="3"/>
        <v>f</v>
      </c>
      <c r="B44" s="35" t="str">
        <f>$B$16&amp;""</f>
        <v/>
      </c>
      <c r="C44" s="156" t="str">
        <f>'RFPR cover'!$C$14</f>
        <v>£m 12/13</v>
      </c>
      <c r="D44" s="667">
        <f>D71</f>
        <v>0</v>
      </c>
      <c r="E44" s="667">
        <f t="shared" ref="E44:K44" si="10">E71</f>
        <v>0</v>
      </c>
      <c r="F44" s="667">
        <f t="shared" si="10"/>
        <v>0</v>
      </c>
      <c r="G44" s="667">
        <f t="shared" si="10"/>
        <v>0</v>
      </c>
      <c r="H44" s="667">
        <f t="shared" si="10"/>
        <v>0</v>
      </c>
      <c r="I44" s="667">
        <f t="shared" si="10"/>
        <v>0</v>
      </c>
      <c r="J44" s="667">
        <f t="shared" si="10"/>
        <v>0</v>
      </c>
      <c r="K44" s="667">
        <f t="shared" si="10"/>
        <v>0</v>
      </c>
      <c r="L44" s="671">
        <f>SUM(D44:INDEX(D44:K44,0,MATCH('RFPR cover'!$C$7,$D$6:$K$6,0)))</f>
        <v>0</v>
      </c>
      <c r="M44" s="672">
        <f t="shared" si="5"/>
        <v>0</v>
      </c>
    </row>
    <row r="45" spans="1:14" s="2" customFormat="1">
      <c r="A45" s="161" t="str">
        <f t="shared" si="3"/>
        <v>g</v>
      </c>
      <c r="B45" s="35" t="str">
        <f>$B$17&amp;""</f>
        <v/>
      </c>
      <c r="C45" s="156" t="str">
        <f>'RFPR cover'!$C$14</f>
        <v>£m 12/13</v>
      </c>
      <c r="D45" s="667">
        <f>D75</f>
        <v>0</v>
      </c>
      <c r="E45" s="667">
        <f t="shared" ref="E45:K45" si="11">E75</f>
        <v>0</v>
      </c>
      <c r="F45" s="667">
        <f t="shared" si="11"/>
        <v>0</v>
      </c>
      <c r="G45" s="667">
        <f t="shared" si="11"/>
        <v>0</v>
      </c>
      <c r="H45" s="667">
        <f t="shared" si="11"/>
        <v>0</v>
      </c>
      <c r="I45" s="667">
        <f t="shared" si="11"/>
        <v>0</v>
      </c>
      <c r="J45" s="667">
        <f t="shared" si="11"/>
        <v>0</v>
      </c>
      <c r="K45" s="667">
        <f t="shared" si="11"/>
        <v>0</v>
      </c>
      <c r="L45" s="671">
        <f>SUM(D45:INDEX(D45:K45,0,MATCH('RFPR cover'!$C$7,$D$6:$K$6,0)))</f>
        <v>0</v>
      </c>
      <c r="M45" s="672">
        <f t="shared" si="5"/>
        <v>0</v>
      </c>
    </row>
    <row r="46" spans="1:14" s="2" customFormat="1">
      <c r="B46" s="12" t="s">
        <v>203</v>
      </c>
      <c r="C46" s="157" t="str">
        <f>'RFPR cover'!$C$14</f>
        <v>£m 12/13</v>
      </c>
      <c r="D46" s="606">
        <f>SUM(D39:D45)</f>
        <v>12.375084362116988</v>
      </c>
      <c r="E46" s="606">
        <f t="shared" ref="E46:M46" si="12">SUM(E39:E45)</f>
        <v>13.539477856883103</v>
      </c>
      <c r="F46" s="606">
        <f t="shared" si="12"/>
        <v>13.015566219384766</v>
      </c>
      <c r="G46" s="606">
        <f t="shared" si="12"/>
        <v>13.399908679027735</v>
      </c>
      <c r="H46" s="607">
        <f t="shared" si="12"/>
        <v>12.146553451884602</v>
      </c>
      <c r="I46" s="607">
        <f t="shared" si="12"/>
        <v>11.770512838348941</v>
      </c>
      <c r="J46" s="607">
        <f t="shared" si="12"/>
        <v>11.190447403300084</v>
      </c>
      <c r="K46" s="607">
        <f t="shared" si="12"/>
        <v>12.057646447158668</v>
      </c>
      <c r="L46" s="606">
        <f t="shared" si="12"/>
        <v>76.247103407646136</v>
      </c>
      <c r="M46" s="606">
        <f t="shared" si="12"/>
        <v>99.495197258104895</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81">
        <f>INDEX($D$11:$K$17,MATCH($A49,$A$11:$A$17,0),0)</f>
        <v>1.4950660189349718</v>
      </c>
      <c r="E49" s="781">
        <f t="shared" ref="E49:K49" si="13">INDEX($D$11:$K$17,MATCH($A49,$A$11:$A$17,0),0)</f>
        <v>2.4404047615840767</v>
      </c>
      <c r="F49" s="781">
        <f t="shared" si="13"/>
        <v>2.5614762708453891</v>
      </c>
      <c r="G49" s="781">
        <f t="shared" si="13"/>
        <v>2.7092631346021414</v>
      </c>
      <c r="H49" s="781">
        <f t="shared" si="13"/>
        <v>3.3320679344321245</v>
      </c>
      <c r="I49" s="781">
        <f t="shared" si="13"/>
        <v>3.1969000000000025</v>
      </c>
      <c r="J49" s="781">
        <f t="shared" si="13"/>
        <v>4.2200000000000006</v>
      </c>
      <c r="K49" s="781">
        <f t="shared" si="13"/>
        <v>4.3800000000000008</v>
      </c>
      <c r="L49" s="781">
        <f>SUM(D49:INDEX(D49:K49,0,MATCH('RFPR cover'!$C$7,$D$6:$K$6,0)))</f>
        <v>15.735178120398707</v>
      </c>
      <c r="M49" s="782">
        <f>SUM(D49:K49)</f>
        <v>24.335178120398709</v>
      </c>
    </row>
    <row r="50" spans="1:13" s="2" customFormat="1">
      <c r="A50" s="161"/>
      <c r="B50" s="35" t="s">
        <v>200</v>
      </c>
      <c r="C50" s="293" t="s">
        <v>201</v>
      </c>
      <c r="D50" s="872">
        <f>IF($C50=$B$33,$B$33,INDEX(Data!$G$14:$G$30,MATCH('R5 - Output Incentives'!D$6+RIGHT('R5 - Output Incentives'!$C50,2),Data!$C$14:$C$30,0),0))</f>
        <v>0.19</v>
      </c>
      <c r="E50" s="873">
        <f>IF($C50=$B$33,$B$33,INDEX(Data!$G$14:$G$30,MATCH('R5 - Output Incentives'!E$6+RIGHT('R5 - Output Incentives'!$C50,2),Data!$C$14:$C$30,0),0))</f>
        <v>0.19</v>
      </c>
      <c r="F50" s="873">
        <f>IF($C50=$B$33,$B$33,INDEX(Data!$G$14:$G$30,MATCH('R5 - Output Incentives'!F$6+RIGHT('R5 - Output Incentives'!$C50,2),Data!$C$14:$C$30,0),0))</f>
        <v>0.19</v>
      </c>
      <c r="G50" s="873">
        <f>IF($C50=$B$33,$B$33,INDEX(Data!$G$14:$G$30,MATCH('R5 - Output Incentives'!G$6+RIGHT('R5 - Output Incentives'!$C50,2),Data!$C$14:$C$30,0),0))</f>
        <v>0.19</v>
      </c>
      <c r="H50" s="873">
        <f>IF($C50=$B$33,$B$33,INDEX(Data!$G$14:$G$30,MATCH('R5 - Output Incentives'!H$6+RIGHT('R5 - Output Incentives'!$C50,2),Data!$C$14:$C$30,0),0))</f>
        <v>0.19</v>
      </c>
      <c r="I50" s="873">
        <f>IF($C50=$B$33,$B$33,INDEX(Data!$G$14:$G$30,MATCH('R5 - Output Incentives'!I$6+RIGHT('R5 - Output Incentives'!$C50,2),Data!$C$14:$C$30,0),0))</f>
        <v>0.19</v>
      </c>
      <c r="J50" s="873">
        <f>IF($C50=$B$33,$B$33,INDEX(Data!$G$14:$G$30,MATCH('R5 - Output Incentives'!J$6+RIGHT('R5 - Output Incentives'!$C50,2),Data!$C$14:$C$30,0),0))</f>
        <v>0.25</v>
      </c>
      <c r="K50" s="874">
        <f>IF($C50=$B$33,$B$33,INDEX(Data!$G$14:$G$30,MATCH('R5 - Output Incentives'!K$6+RIGHT('R5 - Output Incentives'!$C50,2),Data!$C$14:$C$30,0),0))</f>
        <v>0.25</v>
      </c>
      <c r="L50" s="783"/>
      <c r="M50" s="784"/>
    </row>
    <row r="51" spans="1:13" s="2" customFormat="1">
      <c r="A51" s="161"/>
      <c r="B51" s="35" t="s">
        <v>209</v>
      </c>
      <c r="C51" s="156"/>
      <c r="D51" s="606">
        <f>IFERROR(D49*(1-D50),0)</f>
        <v>1.2110034753373273</v>
      </c>
      <c r="E51" s="607">
        <f t="shared" ref="E51:K51" si="14">IFERROR(E49*(1-E50),0)</f>
        <v>1.9767278568831024</v>
      </c>
      <c r="F51" s="607">
        <f t="shared" si="14"/>
        <v>2.0747957793847651</v>
      </c>
      <c r="G51" s="607">
        <f t="shared" si="14"/>
        <v>2.1945031390277348</v>
      </c>
      <c r="H51" s="607">
        <f t="shared" si="14"/>
        <v>2.6989750268900208</v>
      </c>
      <c r="I51" s="607">
        <f t="shared" si="14"/>
        <v>2.5894890000000022</v>
      </c>
      <c r="J51" s="607">
        <f t="shared" si="14"/>
        <v>3.1650000000000005</v>
      </c>
      <c r="K51" s="607">
        <f t="shared" si="14"/>
        <v>3.2850000000000006</v>
      </c>
      <c r="L51" s="665">
        <f>SUM(D51:INDEX(D51:K51,0,MATCH('RFPR cover'!$C$7,$D$6:$K$6,0)))</f>
        <v>12.745494277522953</v>
      </c>
      <c r="M51" s="666">
        <f>SUM(D51:K51)</f>
        <v>19.195494277522954</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81">
        <f>INDEX($D$11:$K$17,MATCH($A53,$A$11:$A$17,0),0)</f>
        <v>13.087008000000001</v>
      </c>
      <c r="E53" s="781">
        <f t="shared" ref="E53:K53" si="15">INDEX($D$11:$K$17,MATCH($A53,$A$11:$A$17,0),0)</f>
        <v>13.5</v>
      </c>
      <c r="F53" s="781">
        <f t="shared" si="15"/>
        <v>13.444224</v>
      </c>
      <c r="G53" s="781">
        <f t="shared" si="15"/>
        <v>13.481033999999999</v>
      </c>
      <c r="H53" s="781">
        <f t="shared" si="15"/>
        <v>11.562828026761702</v>
      </c>
      <c r="I53" s="781">
        <f t="shared" si="15"/>
        <v>11.334597331294985</v>
      </c>
      <c r="J53" s="781">
        <f t="shared" si="15"/>
        <v>10.64425759079467</v>
      </c>
      <c r="K53" s="781">
        <f t="shared" si="15"/>
        <v>10.558640729544891</v>
      </c>
      <c r="L53" s="667">
        <f>SUM(D53:INDEX(D53:K53,0,MATCH('RFPR cover'!$C$7,$D$6:$K$6,0)))</f>
        <v>76.409691358056691</v>
      </c>
      <c r="M53" s="668">
        <f>SUM(D53:K53)</f>
        <v>97.612589678396247</v>
      </c>
    </row>
    <row r="54" spans="1:13" s="2" customFormat="1">
      <c r="A54" s="161"/>
      <c r="B54" s="35" t="s">
        <v>200</v>
      </c>
      <c r="C54" s="293" t="s">
        <v>201</v>
      </c>
      <c r="D54" s="872">
        <f>IF($C54=$B$33,$B$33,INDEX(Data!$G$14:$G$30,MATCH('R5 - Output Incentives'!D$6+RIGHT('R5 - Output Incentives'!$C54,2),Data!$C$14:$C$30,0),0))</f>
        <v>0.19</v>
      </c>
      <c r="E54" s="873">
        <f>IF($C54=$B$33,$B$33,INDEX(Data!$G$14:$G$30,MATCH('R5 - Output Incentives'!E$6+RIGHT('R5 - Output Incentives'!$C54,2),Data!$C$14:$C$30,0),0))</f>
        <v>0.19</v>
      </c>
      <c r="F54" s="873">
        <f>IF($C54=$B$33,$B$33,INDEX(Data!$G$14:$G$30,MATCH('R5 - Output Incentives'!F$6+RIGHT('R5 - Output Incentives'!$C54,2),Data!$C$14:$C$30,0),0))</f>
        <v>0.19</v>
      </c>
      <c r="G54" s="873">
        <f>IF($C54=$B$33,$B$33,INDEX(Data!$G$14:$G$30,MATCH('R5 - Output Incentives'!G$6+RIGHT('R5 - Output Incentives'!$C54,2),Data!$C$14:$C$30,0),0))</f>
        <v>0.19</v>
      </c>
      <c r="H54" s="873">
        <f>IF($C54=$B$33,$B$33,INDEX(Data!$G$14:$G$30,MATCH('R5 - Output Incentives'!H$6+RIGHT('R5 - Output Incentives'!$C54,2),Data!$C$14:$C$30,0),0))</f>
        <v>0.19</v>
      </c>
      <c r="I54" s="873">
        <f>IF($C54=$B$33,$B$33,INDEX(Data!$G$14:$G$30,MATCH('R5 - Output Incentives'!I$6+RIGHT('R5 - Output Incentives'!$C54,2),Data!$C$14:$C$30,0),0))</f>
        <v>0.19</v>
      </c>
      <c r="J54" s="873">
        <f>IF($C54=$B$33,$B$33,INDEX(Data!$G$14:$G$30,MATCH('R5 - Output Incentives'!J$6+RIGHT('R5 - Output Incentives'!$C54,2),Data!$C$14:$C$30,0),0))</f>
        <v>0.25</v>
      </c>
      <c r="K54" s="874">
        <f>IF($C54=$B$33,$B$33,INDEX(Data!$G$14:$G$30,MATCH('R5 - Output Incentives'!K$6+RIGHT('R5 - Output Incentives'!$C54,2),Data!$C$14:$C$30,0),0))</f>
        <v>0.25</v>
      </c>
      <c r="L54" s="783"/>
      <c r="M54" s="784"/>
    </row>
    <row r="55" spans="1:13" s="2" customFormat="1">
      <c r="A55" s="161"/>
      <c r="B55" s="35" t="s">
        <v>209</v>
      </c>
      <c r="C55" s="156"/>
      <c r="D55" s="606">
        <f>IFERROR(D53*(1-D54),0)</f>
        <v>10.600476480000001</v>
      </c>
      <c r="E55" s="607">
        <f t="shared" ref="E55:K55" si="16">IFERROR(E53*(1-E54),0)</f>
        <v>10.935</v>
      </c>
      <c r="F55" s="607">
        <f t="shared" si="16"/>
        <v>10.88982144</v>
      </c>
      <c r="G55" s="607">
        <f t="shared" si="16"/>
        <v>10.91963754</v>
      </c>
      <c r="H55" s="607">
        <f t="shared" si="16"/>
        <v>9.3658907016769799</v>
      </c>
      <c r="I55" s="607">
        <f t="shared" si="16"/>
        <v>9.1810238383489384</v>
      </c>
      <c r="J55" s="607">
        <f t="shared" si="16"/>
        <v>7.9831931930960023</v>
      </c>
      <c r="K55" s="607">
        <f t="shared" si="16"/>
        <v>7.9189805471586681</v>
      </c>
      <c r="L55" s="665">
        <f>SUM(D55:INDEX(D55:K55,0,MATCH('RFPR cover'!$C$7,$D$6:$K$6,0)))</f>
        <v>61.891850000025926</v>
      </c>
      <c r="M55" s="666">
        <f>SUM(D55:K55)</f>
        <v>77.794023740280593</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81">
        <f>INDEX($D$11:$K$17,MATCH($A57,$A$11:$A$17,0),0)</f>
        <v>0</v>
      </c>
      <c r="E57" s="781">
        <f t="shared" ref="E57:K57" si="17">INDEX($D$11:$K$17,MATCH($A57,$A$11:$A$17,0),0)</f>
        <v>0</v>
      </c>
      <c r="F57" s="781">
        <f t="shared" si="17"/>
        <v>0</v>
      </c>
      <c r="G57" s="781">
        <f t="shared" si="17"/>
        <v>0</v>
      </c>
      <c r="H57" s="781">
        <f t="shared" si="17"/>
        <v>0</v>
      </c>
      <c r="I57" s="781">
        <f t="shared" si="17"/>
        <v>0</v>
      </c>
      <c r="J57" s="781">
        <f t="shared" si="17"/>
        <v>0</v>
      </c>
      <c r="K57" s="781">
        <f t="shared" si="17"/>
        <v>0</v>
      </c>
      <c r="L57" s="667">
        <f>SUM(D57:INDEX(D57:K57,0,MATCH('RFPR cover'!$C$7,$D$6:$K$6,0)))</f>
        <v>0</v>
      </c>
      <c r="M57" s="668">
        <f>SUM(D57:K57)</f>
        <v>0</v>
      </c>
    </row>
    <row r="58" spans="1:13" s="2" customFormat="1">
      <c r="A58" s="161"/>
      <c r="B58" s="35" t="s">
        <v>200</v>
      </c>
      <c r="C58" s="293" t="s">
        <v>207</v>
      </c>
      <c r="D58" s="872">
        <f>IF($C58=$B$33,$B$33,INDEX(Data!$G$14:$G$30,MATCH('R5 - Output Incentives'!D$6+RIGHT('R5 - Output Incentives'!$C58,2),Data!$C$14:$C$30,0),0))</f>
        <v>0.19</v>
      </c>
      <c r="E58" s="873">
        <f>IF($C58=$B$33,$B$33,INDEX(Data!$G$14:$G$30,MATCH('R5 - Output Incentives'!E$6+RIGHT('R5 - Output Incentives'!$C58,2),Data!$C$14:$C$30,0),0))</f>
        <v>0.19</v>
      </c>
      <c r="F58" s="873">
        <f>IF($C58=$B$33,$B$33,INDEX(Data!$G$14:$G$30,MATCH('R5 - Output Incentives'!F$6+RIGHT('R5 - Output Incentives'!$C58,2),Data!$C$14:$C$30,0),0))</f>
        <v>0.19</v>
      </c>
      <c r="G58" s="873">
        <f>IF($C58=$B$33,$B$33,INDEX(Data!$G$14:$G$30,MATCH('R5 - Output Incentives'!G$6+RIGHT('R5 - Output Incentives'!$C58,2),Data!$C$14:$C$30,0),0))</f>
        <v>0.19</v>
      </c>
      <c r="H58" s="873">
        <f>IF($C58=$B$33,$B$33,INDEX(Data!$G$14:$G$30,MATCH('R5 - Output Incentives'!H$6+RIGHT('R5 - Output Incentives'!$C58,2),Data!$C$14:$C$30,0),0))</f>
        <v>0.19</v>
      </c>
      <c r="I58" s="873">
        <f>IF($C58=$B$33,$B$33,INDEX(Data!$G$14:$G$30,MATCH('R5 - Output Incentives'!I$6+RIGHT('R5 - Output Incentives'!$C58,2),Data!$C$14:$C$30,0),0))</f>
        <v>0.25</v>
      </c>
      <c r="J58" s="873">
        <f>IF($C58=$B$33,$B$33,INDEX(Data!$G$14:$G$30,MATCH('R5 - Output Incentives'!J$6+RIGHT('R5 - Output Incentives'!$C58,2),Data!$C$14:$C$30,0),0))</f>
        <v>0.25</v>
      </c>
      <c r="K58" s="874">
        <f>IF($C58=$B$33,$B$33,INDEX(Data!$G$14:$G$30,MATCH('R5 - Output Incentives'!K$6+RIGHT('R5 - Output Incentives'!$C58,2),Data!$C$14:$C$30,0),0))</f>
        <v>0.25</v>
      </c>
      <c r="L58" s="783"/>
      <c r="M58" s="784"/>
    </row>
    <row r="59" spans="1:13" s="2" customFormat="1">
      <c r="A59" s="161"/>
      <c r="B59" s="35" t="s">
        <v>209</v>
      </c>
      <c r="C59" s="156"/>
      <c r="D59" s="606">
        <f>IFERROR(D57*(1-D58),0)</f>
        <v>0</v>
      </c>
      <c r="E59" s="607">
        <f t="shared" ref="E59:K59" si="18">IFERROR(E57*(1-E58),0)</f>
        <v>0</v>
      </c>
      <c r="F59" s="607">
        <f t="shared" si="18"/>
        <v>0</v>
      </c>
      <c r="G59" s="607">
        <f t="shared" si="18"/>
        <v>0</v>
      </c>
      <c r="H59" s="607">
        <f t="shared" si="18"/>
        <v>0</v>
      </c>
      <c r="I59" s="607">
        <f t="shared" si="18"/>
        <v>0</v>
      </c>
      <c r="J59" s="607">
        <f t="shared" si="18"/>
        <v>0</v>
      </c>
      <c r="K59" s="607">
        <f t="shared" si="18"/>
        <v>0</v>
      </c>
      <c r="L59" s="665">
        <f>SUM(D59:INDEX(D59:K59,0,MATCH('RFPR cover'!$C$7,$D$6:$K$6,0)))</f>
        <v>0</v>
      </c>
      <c r="M59" s="666">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81">
        <f>INDEX($D$11:$K$17,MATCH($A61,$A$11:$A$17,0),0)</f>
        <v>0.69580790960451977</v>
      </c>
      <c r="E61" s="781">
        <f t="shared" ref="E61:K61" si="19">INDEX($D$11:$K$17,MATCH($A61,$A$11:$A$17,0),0)</f>
        <v>0.6</v>
      </c>
      <c r="F61" s="781">
        <f t="shared" si="19"/>
        <v>6.2900000000000178E-2</v>
      </c>
      <c r="G61" s="781">
        <f t="shared" si="19"/>
        <v>0.35280000000000028</v>
      </c>
      <c r="H61" s="781">
        <f t="shared" si="19"/>
        <v>0.10084904113284267</v>
      </c>
      <c r="I61" s="781">
        <f t="shared" si="19"/>
        <v>0</v>
      </c>
      <c r="J61" s="781">
        <f t="shared" si="19"/>
        <v>5.6338946938775572E-2</v>
      </c>
      <c r="K61" s="781">
        <f t="shared" si="19"/>
        <v>1.1382211999999998</v>
      </c>
      <c r="L61" s="667">
        <f>SUM(D61:INDEX(D61:K61,0,MATCH('RFPR cover'!$C$7,$D$6:$K$6,0)))</f>
        <v>1.8123569507373627</v>
      </c>
      <c r="M61" s="668">
        <f>SUM(D61:K61)</f>
        <v>3.0069170976761379</v>
      </c>
    </row>
    <row r="62" spans="1:13" s="2" customFormat="1">
      <c r="A62" s="161"/>
      <c r="B62" s="35" t="s">
        <v>200</v>
      </c>
      <c r="C62" s="293" t="s">
        <v>201</v>
      </c>
      <c r="D62" s="872">
        <f>IF($C62=$B$33,$B$33,INDEX(Data!$G$14:$G$30,MATCH('R5 - Output Incentives'!D$6+RIGHT('R5 - Output Incentives'!$C62,2),Data!$C$14:$C$30,0),0))</f>
        <v>0.19</v>
      </c>
      <c r="E62" s="873">
        <f>IF($C62=$B$33,$B$33,INDEX(Data!$G$14:$G$30,MATCH('R5 - Output Incentives'!E$6+RIGHT('R5 - Output Incentives'!$C62,2),Data!$C$14:$C$30,0),0))</f>
        <v>0.19</v>
      </c>
      <c r="F62" s="873">
        <f>IF($C62=$B$33,$B$33,INDEX(Data!$G$14:$G$30,MATCH('R5 - Output Incentives'!F$6+RIGHT('R5 - Output Incentives'!$C62,2),Data!$C$14:$C$30,0),0))</f>
        <v>0.19</v>
      </c>
      <c r="G62" s="873">
        <f>IF($C62=$B$33,$B$33,INDEX(Data!$G$14:$G$30,MATCH('R5 - Output Incentives'!G$6+RIGHT('R5 - Output Incentives'!$C62,2),Data!$C$14:$C$30,0),0))</f>
        <v>0.19</v>
      </c>
      <c r="H62" s="873">
        <f>IF($C62=$B$33,$B$33,INDEX(Data!$G$14:$G$30,MATCH('R5 - Output Incentives'!H$6+RIGHT('R5 - Output Incentives'!$C62,2),Data!$C$14:$C$30,0),0))</f>
        <v>0.19</v>
      </c>
      <c r="I62" s="873">
        <f>IF($C62=$B$33,$B$33,INDEX(Data!$G$14:$G$30,MATCH('R5 - Output Incentives'!I$6+RIGHT('R5 - Output Incentives'!$C62,2),Data!$C$14:$C$30,0),0))</f>
        <v>0.19</v>
      </c>
      <c r="J62" s="873">
        <f>IF($C62=$B$33,$B$33,INDEX(Data!$G$14:$G$30,MATCH('R5 - Output Incentives'!J$6+RIGHT('R5 - Output Incentives'!$C62,2),Data!$C$14:$C$30,0),0))</f>
        <v>0.25</v>
      </c>
      <c r="K62" s="874">
        <f>IF($C62=$B$33,$B$33,INDEX(Data!$G$14:$G$30,MATCH('R5 - Output Incentives'!K$6+RIGHT('R5 - Output Incentives'!$C62,2),Data!$C$14:$C$30,0),0))</f>
        <v>0.25</v>
      </c>
      <c r="L62" s="783"/>
      <c r="M62" s="784"/>
    </row>
    <row r="63" spans="1:13" s="2" customFormat="1">
      <c r="A63" s="161"/>
      <c r="B63" s="35" t="s">
        <v>209</v>
      </c>
      <c r="C63" s="156"/>
      <c r="D63" s="606">
        <f>IFERROR(D61*(1-D62),0)</f>
        <v>0.56360440677966106</v>
      </c>
      <c r="E63" s="607">
        <f t="shared" ref="E63:K63" si="20">IFERROR(E61*(1-E62),0)</f>
        <v>0.48599999999999999</v>
      </c>
      <c r="F63" s="607">
        <f t="shared" si="20"/>
        <v>5.0949000000000147E-2</v>
      </c>
      <c r="G63" s="607">
        <f t="shared" si="20"/>
        <v>0.28576800000000024</v>
      </c>
      <c r="H63" s="607">
        <f t="shared" si="20"/>
        <v>8.1687723317602573E-2</v>
      </c>
      <c r="I63" s="607">
        <f t="shared" si="20"/>
        <v>0</v>
      </c>
      <c r="J63" s="607">
        <f t="shared" si="20"/>
        <v>4.2254210204081682E-2</v>
      </c>
      <c r="K63" s="607">
        <f t="shared" si="20"/>
        <v>0.85366589999999987</v>
      </c>
      <c r="L63" s="665">
        <f>SUM(D63:INDEX(D63:K63,0,MATCH('RFPR cover'!$C$7,$D$6:$K$6,0)))</f>
        <v>1.468009130097264</v>
      </c>
      <c r="M63" s="666">
        <f>SUM(D63:K63)</f>
        <v>2.3639292403013457</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81">
        <f>INDEX($D$11:$K$17,MATCH($A65,$A$11:$A$17,0),0)</f>
        <v>0</v>
      </c>
      <c r="E65" s="781">
        <f t="shared" ref="E65:K65" si="21">INDEX($D$11:$K$17,MATCH($A65,$A$11:$A$17,0),0)</f>
        <v>0.17499999999999999</v>
      </c>
      <c r="F65" s="781">
        <f t="shared" si="21"/>
        <v>0</v>
      </c>
      <c r="G65" s="781">
        <f t="shared" si="21"/>
        <v>0</v>
      </c>
      <c r="H65" s="781">
        <f t="shared" si="21"/>
        <v>0</v>
      </c>
      <c r="I65" s="781">
        <f t="shared" si="21"/>
        <v>0</v>
      </c>
      <c r="J65" s="781">
        <f t="shared" si="21"/>
        <v>0</v>
      </c>
      <c r="K65" s="781">
        <f t="shared" si="21"/>
        <v>0</v>
      </c>
      <c r="L65" s="667">
        <f>SUM(D65:INDEX(D65:K65,0,MATCH('RFPR cover'!$C$7,$D$6:$K$6,0)))</f>
        <v>0.17499999999999999</v>
      </c>
      <c r="M65" s="668">
        <f>SUM(D65:K65)</f>
        <v>0.17499999999999999</v>
      </c>
    </row>
    <row r="66" spans="1:14" s="2" customFormat="1">
      <c r="A66" s="161"/>
      <c r="B66" s="35" t="s">
        <v>200</v>
      </c>
      <c r="C66" s="293" t="s">
        <v>208</v>
      </c>
      <c r="D66" s="872">
        <f>IF($C66=$B$33,$B$33,INDEX(Data!$G$14:$G$30,MATCH('R5 - Output Incentives'!D$6+RIGHT('R5 - Output Incentives'!$C66,2),Data!$C$14:$C$30,0),0))</f>
        <v>0.2</v>
      </c>
      <c r="E66" s="873">
        <f>IF($C66=$B$33,$B$33,INDEX(Data!$G$14:$G$30,MATCH('R5 - Output Incentives'!E$6+RIGHT('R5 - Output Incentives'!$C66,2),Data!$C$14:$C$30,0),0))</f>
        <v>0.19</v>
      </c>
      <c r="F66" s="873">
        <f>IF($C66=$B$33,$B$33,INDEX(Data!$G$14:$G$30,MATCH('R5 - Output Incentives'!F$6+RIGHT('R5 - Output Incentives'!$C66,2),Data!$C$14:$C$30,0),0))</f>
        <v>0.19</v>
      </c>
      <c r="G66" s="873">
        <f>IF($C66=$B$33,$B$33,INDEX(Data!$G$14:$G$30,MATCH('R5 - Output Incentives'!G$6+RIGHT('R5 - Output Incentives'!$C66,2),Data!$C$14:$C$30,0),0))</f>
        <v>0.19</v>
      </c>
      <c r="H66" s="873">
        <f>IF($C66=$B$33,$B$33,INDEX(Data!$G$14:$G$30,MATCH('R5 - Output Incentives'!H$6+RIGHT('R5 - Output Incentives'!$C66,2),Data!$C$14:$C$30,0),0))</f>
        <v>0.19</v>
      </c>
      <c r="I66" s="873">
        <f>IF($C66=$B$33,$B$33,INDEX(Data!$G$14:$G$30,MATCH('R5 - Output Incentives'!I$6+RIGHT('R5 - Output Incentives'!$C66,2),Data!$C$14:$C$30,0),0))</f>
        <v>0.19</v>
      </c>
      <c r="J66" s="873">
        <f>IF($C66=$B$33,$B$33,INDEX(Data!$G$14:$G$30,MATCH('R5 - Output Incentives'!J$6+RIGHT('R5 - Output Incentives'!$C66,2),Data!$C$14:$C$30,0),0))</f>
        <v>0.19</v>
      </c>
      <c r="K66" s="874">
        <f>IF($C66=$B$33,$B$33,INDEX(Data!$G$14:$G$30,MATCH('R5 - Output Incentives'!K$6+RIGHT('R5 - Output Incentives'!$C66,2),Data!$C$14:$C$30,0),0))</f>
        <v>0.25</v>
      </c>
      <c r="L66" s="783"/>
      <c r="M66" s="784"/>
    </row>
    <row r="67" spans="1:14" s="2" customFormat="1">
      <c r="A67" s="161"/>
      <c r="B67" s="35" t="s">
        <v>209</v>
      </c>
      <c r="C67" s="156"/>
      <c r="D67" s="606">
        <f>IFERROR(D65*(1-D66),0)</f>
        <v>0</v>
      </c>
      <c r="E67" s="607">
        <f t="shared" ref="E67:K67" si="22">IFERROR(E65*(1-E66),0)</f>
        <v>0.14174999999999999</v>
      </c>
      <c r="F67" s="607">
        <f t="shared" si="22"/>
        <v>0</v>
      </c>
      <c r="G67" s="607">
        <f t="shared" si="22"/>
        <v>0</v>
      </c>
      <c r="H67" s="607">
        <f t="shared" si="22"/>
        <v>0</v>
      </c>
      <c r="I67" s="607">
        <f t="shared" si="22"/>
        <v>0</v>
      </c>
      <c r="J67" s="607">
        <f t="shared" si="22"/>
        <v>0</v>
      </c>
      <c r="K67" s="607">
        <f t="shared" si="22"/>
        <v>0</v>
      </c>
      <c r="L67" s="665">
        <f>SUM(D67:INDEX(D67:K67,0,MATCH('RFPR cover'!$C$7,$D$6:$K$6,0)))</f>
        <v>0.14174999999999999</v>
      </c>
      <c r="M67" s="666">
        <f>SUM(D67:K67)</f>
        <v>0.14174999999999999</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81">
        <f>INDEX($D$11:$K$17,MATCH($A69,$A$11:$A$17,0),0)</f>
        <v>0</v>
      </c>
      <c r="E69" s="781">
        <f t="shared" ref="E69:K69" si="23">INDEX($D$11:$K$17,MATCH($A69,$A$11:$A$17,0),0)</f>
        <v>0</v>
      </c>
      <c r="F69" s="781">
        <f t="shared" si="23"/>
        <v>0</v>
      </c>
      <c r="G69" s="781">
        <f t="shared" si="23"/>
        <v>0</v>
      </c>
      <c r="H69" s="781">
        <f t="shared" si="23"/>
        <v>0</v>
      </c>
      <c r="I69" s="781">
        <f t="shared" si="23"/>
        <v>0</v>
      </c>
      <c r="J69" s="781">
        <f t="shared" si="23"/>
        <v>0</v>
      </c>
      <c r="K69" s="781">
        <f t="shared" si="23"/>
        <v>0</v>
      </c>
      <c r="L69" s="667">
        <f>SUM(D69:INDEX(D69:K69,0,MATCH('RFPR cover'!$C$7,$D$6:$K$6,0)))</f>
        <v>0</v>
      </c>
      <c r="M69" s="668">
        <f>SUM(D69:K69)</f>
        <v>0</v>
      </c>
    </row>
    <row r="70" spans="1:14" s="2" customFormat="1">
      <c r="A70" s="161"/>
      <c r="B70" s="35" t="s">
        <v>200</v>
      </c>
      <c r="C70" s="293" t="s">
        <v>240</v>
      </c>
      <c r="D70" s="872" t="str">
        <f>IF($C70=$B$33,$B$33,INDEX(Data!$G$14:$G$30,MATCH('R5 - Output Incentives'!D$6+RIGHT('R5 - Output Incentives'!$C70,2),Data!$C$14:$C$30,0),0))</f>
        <v>-</v>
      </c>
      <c r="E70" s="873" t="str">
        <f>IF($C70=$B$33,$B$33,INDEX(Data!$G$14:$G$30,MATCH('R5 - Output Incentives'!E$6+RIGHT('R5 - Output Incentives'!$C70,2),Data!$C$14:$C$30,0),0))</f>
        <v>-</v>
      </c>
      <c r="F70" s="873" t="str">
        <f>IF($C70=$B$33,$B$33,INDEX(Data!$G$14:$G$30,MATCH('R5 - Output Incentives'!F$6+RIGHT('R5 - Output Incentives'!$C70,2),Data!$C$14:$C$30,0),0))</f>
        <v>-</v>
      </c>
      <c r="G70" s="873" t="str">
        <f>IF($C70=$B$33,$B$33,INDEX(Data!$G$14:$G$30,MATCH('R5 - Output Incentives'!G$6+RIGHT('R5 - Output Incentives'!$C70,2),Data!$C$14:$C$30,0),0))</f>
        <v>-</v>
      </c>
      <c r="H70" s="873" t="str">
        <f>IF($C70=$B$33,$B$33,INDEX(Data!$G$14:$G$30,MATCH('R5 - Output Incentives'!H$6+RIGHT('R5 - Output Incentives'!$C70,2),Data!$C$14:$C$30,0),0))</f>
        <v>-</v>
      </c>
      <c r="I70" s="873" t="str">
        <f>IF($C70=$B$33,$B$33,INDEX(Data!$G$14:$G$30,MATCH('R5 - Output Incentives'!I$6+RIGHT('R5 - Output Incentives'!$C70,2),Data!$C$14:$C$30,0),0))</f>
        <v>-</v>
      </c>
      <c r="J70" s="873" t="str">
        <f>IF($C70=$B$33,$B$33,INDEX(Data!$G$14:$G$30,MATCH('R5 - Output Incentives'!J$6+RIGHT('R5 - Output Incentives'!$C70,2),Data!$C$14:$C$30,0),0))</f>
        <v>-</v>
      </c>
      <c r="K70" s="874" t="str">
        <f>IF($C70=$B$33,$B$33,INDEX(Data!$G$14:$G$30,MATCH('R5 - Output Incentives'!K$6+RIGHT('R5 - Output Incentives'!$C70,2),Data!$C$14:$C$30,0),0))</f>
        <v>-</v>
      </c>
      <c r="L70" s="783"/>
      <c r="M70" s="784"/>
    </row>
    <row r="71" spans="1:14" s="2" customFormat="1">
      <c r="A71" s="161"/>
      <c r="B71" s="35" t="s">
        <v>209</v>
      </c>
      <c r="C71" s="156"/>
      <c r="D71" s="606">
        <f>IFERROR(D69*(1-D70),0)</f>
        <v>0</v>
      </c>
      <c r="E71" s="607">
        <f t="shared" ref="E71:K71" si="24">IFERROR(E69*(1-E70),0)</f>
        <v>0</v>
      </c>
      <c r="F71" s="607">
        <f t="shared" si="24"/>
        <v>0</v>
      </c>
      <c r="G71" s="607">
        <f t="shared" si="24"/>
        <v>0</v>
      </c>
      <c r="H71" s="607">
        <f t="shared" si="24"/>
        <v>0</v>
      </c>
      <c r="I71" s="607">
        <f t="shared" si="24"/>
        <v>0</v>
      </c>
      <c r="J71" s="607">
        <f t="shared" si="24"/>
        <v>0</v>
      </c>
      <c r="K71" s="607">
        <f t="shared" si="24"/>
        <v>0</v>
      </c>
      <c r="L71" s="665">
        <f>SUM(D71:INDEX(D71:K71,0,MATCH('RFPR cover'!$C$7,$D$6:$K$6,0)))</f>
        <v>0</v>
      </c>
      <c r="M71" s="666">
        <f>SUM(D71:K71)</f>
        <v>0</v>
      </c>
    </row>
    <row r="72" spans="1:14" s="2" customFormat="1">
      <c r="A72" s="161"/>
      <c r="B72" s="51"/>
      <c r="C72" s="157"/>
      <c r="D72" s="157"/>
      <c r="E72" s="157"/>
      <c r="F72" s="157"/>
      <c r="G72" s="157"/>
      <c r="H72" s="157"/>
      <c r="I72" s="157"/>
      <c r="J72" s="157"/>
      <c r="K72" s="157"/>
      <c r="L72" s="157"/>
      <c r="M72" s="157"/>
    </row>
    <row r="73" spans="1:14" s="2" customFormat="1">
      <c r="A73" s="161" t="s">
        <v>477</v>
      </c>
      <c r="B73" s="172" t="str">
        <f>INDEX($B$11:$B$17,MATCH($A73,$A$11:$A$17,0),0)&amp;""</f>
        <v/>
      </c>
      <c r="C73" s="156" t="str">
        <f>'RFPR cover'!$C$14</f>
        <v>£m 12/13</v>
      </c>
      <c r="D73" s="781">
        <f>INDEX($D$11:$K$17,MATCH($A73,$A$11:$A$17,0),0)</f>
        <v>0</v>
      </c>
      <c r="E73" s="781">
        <f t="shared" ref="E73:K73" si="25">INDEX($D$11:$K$17,MATCH($A73,$A$11:$A$17,0),0)</f>
        <v>0</v>
      </c>
      <c r="F73" s="781">
        <f t="shared" si="25"/>
        <v>0</v>
      </c>
      <c r="G73" s="781">
        <f t="shared" si="25"/>
        <v>0</v>
      </c>
      <c r="H73" s="781">
        <f t="shared" si="25"/>
        <v>0</v>
      </c>
      <c r="I73" s="781">
        <f t="shared" si="25"/>
        <v>0</v>
      </c>
      <c r="J73" s="781">
        <f t="shared" si="25"/>
        <v>0</v>
      </c>
      <c r="K73" s="781">
        <f t="shared" si="25"/>
        <v>0</v>
      </c>
      <c r="L73" s="667">
        <f>SUM(D73:INDEX(D73:K73,0,MATCH('RFPR cover'!$C$7,$D$6:$K$6,0)))</f>
        <v>0</v>
      </c>
      <c r="M73" s="668">
        <f>SUM(D73:K73)</f>
        <v>0</v>
      </c>
    </row>
    <row r="74" spans="1:14" s="2" customFormat="1">
      <c r="A74" s="161"/>
      <c r="B74" s="35" t="s">
        <v>200</v>
      </c>
      <c r="C74" s="293" t="s">
        <v>240</v>
      </c>
      <c r="D74" s="872" t="str">
        <f>IF($C74=$B$33,$B$33,INDEX(Data!$G$14:$G$30,MATCH('R5 - Output Incentives'!D$6+RIGHT('R5 - Output Incentives'!$C74,2),Data!$C$14:$C$30,0),0))</f>
        <v>-</v>
      </c>
      <c r="E74" s="873" t="str">
        <f>IF($C74=$B$33,$B$33,INDEX(Data!$G$14:$G$30,MATCH('R5 - Output Incentives'!E$6+RIGHT('R5 - Output Incentives'!$C74,2),Data!$C$14:$C$30,0),0))</f>
        <v>-</v>
      </c>
      <c r="F74" s="873" t="str">
        <f>IF($C74=$B$33,$B$33,INDEX(Data!$G$14:$G$30,MATCH('R5 - Output Incentives'!F$6+RIGHT('R5 - Output Incentives'!$C74,2),Data!$C$14:$C$30,0),0))</f>
        <v>-</v>
      </c>
      <c r="G74" s="873" t="str">
        <f>IF($C74=$B$33,$B$33,INDEX(Data!$G$14:$G$30,MATCH('R5 - Output Incentives'!G$6+RIGHT('R5 - Output Incentives'!$C74,2),Data!$C$14:$C$30,0),0))</f>
        <v>-</v>
      </c>
      <c r="H74" s="873" t="str">
        <f>IF($C74=$B$33,$B$33,INDEX(Data!$G$14:$G$30,MATCH('R5 - Output Incentives'!H$6+RIGHT('R5 - Output Incentives'!$C74,2),Data!$C$14:$C$30,0),0))</f>
        <v>-</v>
      </c>
      <c r="I74" s="873" t="str">
        <f>IF($C74=$B$33,$B$33,INDEX(Data!$G$14:$G$30,MATCH('R5 - Output Incentives'!I$6+RIGHT('R5 - Output Incentives'!$C74,2),Data!$C$14:$C$30,0),0))</f>
        <v>-</v>
      </c>
      <c r="J74" s="873" t="str">
        <f>IF($C74=$B$33,$B$33,INDEX(Data!$G$14:$G$30,MATCH('R5 - Output Incentives'!J$6+RIGHT('R5 - Output Incentives'!$C74,2),Data!$C$14:$C$30,0),0))</f>
        <v>-</v>
      </c>
      <c r="K74" s="874" t="str">
        <f>IF($C74=$B$33,$B$33,INDEX(Data!$G$14:$G$30,MATCH('R5 - Output Incentives'!K$6+RIGHT('R5 - Output Incentives'!$C74,2),Data!$C$14:$C$30,0),0))</f>
        <v>-</v>
      </c>
      <c r="L74" s="783"/>
      <c r="M74" s="784"/>
    </row>
    <row r="75" spans="1:14" s="2" customFormat="1">
      <c r="A75" s="161"/>
      <c r="B75" s="35" t="s">
        <v>209</v>
      </c>
      <c r="C75" s="156"/>
      <c r="D75" s="606">
        <f>IFERROR(D73*(1-D74),0)</f>
        <v>0</v>
      </c>
      <c r="E75" s="607">
        <f t="shared" ref="E75:K75" si="26">IFERROR(E73*(1-E74),0)</f>
        <v>0</v>
      </c>
      <c r="F75" s="607">
        <f t="shared" si="26"/>
        <v>0</v>
      </c>
      <c r="G75" s="607">
        <f t="shared" si="26"/>
        <v>0</v>
      </c>
      <c r="H75" s="607">
        <f t="shared" si="26"/>
        <v>0</v>
      </c>
      <c r="I75" s="607">
        <f t="shared" si="26"/>
        <v>0</v>
      </c>
      <c r="J75" s="607">
        <f t="shared" si="26"/>
        <v>0</v>
      </c>
      <c r="K75" s="607">
        <f t="shared" si="26"/>
        <v>0</v>
      </c>
      <c r="L75" s="665">
        <f>SUM(D75:INDEX(D75:K75,0,MATCH('RFPR cover'!$C$7,$D$6:$K$6,0)))</f>
        <v>0</v>
      </c>
      <c r="M75" s="666">
        <f>SUM(D75:K75)</f>
        <v>0</v>
      </c>
    </row>
    <row r="76" spans="1:14" s="529" customFormat="1" ht="14.25" customHeight="1">
      <c r="A76" s="528"/>
      <c r="C76" s="530"/>
      <c r="D76" s="531"/>
      <c r="E76" s="531"/>
      <c r="F76" s="531"/>
      <c r="G76" s="531"/>
      <c r="H76" s="531"/>
      <c r="I76" s="531"/>
      <c r="J76" s="531"/>
      <c r="K76" s="531"/>
      <c r="L76" s="532"/>
      <c r="M76" s="532"/>
    </row>
    <row r="77" spans="1:14" s="2" customFormat="1">
      <c r="B77" s="117" t="s">
        <v>397</v>
      </c>
      <c r="C77" s="151"/>
      <c r="D77" s="134"/>
      <c r="E77" s="134"/>
      <c r="F77" s="134"/>
      <c r="G77" s="134"/>
      <c r="H77" s="134"/>
      <c r="I77" s="134"/>
      <c r="J77" s="134"/>
      <c r="K77" s="134"/>
      <c r="L77" s="81"/>
      <c r="M77" s="81"/>
      <c r="N77" s="81"/>
    </row>
    <row r="78" spans="1:14" s="2" customFormat="1">
      <c r="B78" s="362" t="s">
        <v>396</v>
      </c>
      <c r="C78" s="290"/>
      <c r="D78" s="291"/>
      <c r="E78" s="291"/>
      <c r="F78" s="291"/>
      <c r="G78" s="291"/>
      <c r="H78" s="291"/>
      <c r="I78" s="291"/>
      <c r="J78" s="291"/>
      <c r="K78" s="291"/>
      <c r="L78" s="292"/>
      <c r="M78" s="292"/>
      <c r="N78" s="292"/>
    </row>
    <row r="79" spans="1:14" s="2" customFormat="1">
      <c r="B79" s="362" t="s">
        <v>398</v>
      </c>
      <c r="C79" s="290"/>
      <c r="D79" s="291"/>
      <c r="E79" s="291"/>
      <c r="F79" s="291"/>
      <c r="G79" s="291"/>
      <c r="H79" s="291"/>
      <c r="I79" s="291"/>
      <c r="J79" s="291"/>
      <c r="K79" s="291"/>
      <c r="L79" s="292"/>
      <c r="M79" s="292"/>
      <c r="N79" s="292"/>
    </row>
    <row r="80" spans="1:14" s="529" customFormat="1">
      <c r="B80" s="534"/>
      <c r="C80" s="535"/>
      <c r="D80" s="536"/>
      <c r="E80" s="536"/>
      <c r="F80" s="536"/>
      <c r="G80" s="536"/>
      <c r="H80" s="536"/>
      <c r="I80" s="536"/>
      <c r="J80" s="536"/>
      <c r="K80" s="536"/>
    </row>
    <row r="81" spans="1:12" s="2" customFormat="1">
      <c r="B81" s="12"/>
      <c r="C81" s="537" t="s">
        <v>399</v>
      </c>
      <c r="D81" s="540" t="str">
        <f t="shared" ref="D81:K81" si="27">IF($C50=$B$33,D$6,IF(D$6-RIGHT($C50,1)&lt;$D$6,"Pre-RIIO",D$6-RIGHT($C50,1)))</f>
        <v>Pre-RIIO</v>
      </c>
      <c r="E81" s="541" t="str">
        <f t="shared" si="27"/>
        <v>Pre-RIIO</v>
      </c>
      <c r="F81" s="541">
        <f t="shared" si="27"/>
        <v>2016</v>
      </c>
      <c r="G81" s="541">
        <f t="shared" si="27"/>
        <v>2017</v>
      </c>
      <c r="H81" s="541">
        <f t="shared" si="27"/>
        <v>2018</v>
      </c>
      <c r="I81" s="541">
        <f t="shared" si="27"/>
        <v>2019</v>
      </c>
      <c r="J81" s="541">
        <f t="shared" si="27"/>
        <v>2020</v>
      </c>
      <c r="K81" s="542">
        <f t="shared" si="27"/>
        <v>2021</v>
      </c>
    </row>
    <row r="82" spans="1:12" s="2" customFormat="1">
      <c r="A82" s="3" t="str">
        <f>A11</f>
        <v>a</v>
      </c>
      <c r="B82" s="130" t="str">
        <f>B11&amp;""</f>
        <v>Broad measure of customer service</v>
      </c>
      <c r="C82" s="137" t="s">
        <v>127</v>
      </c>
      <c r="D82" s="634">
        <v>-1.124693400583354</v>
      </c>
      <c r="E82" s="635">
        <v>-0.93216531468781072</v>
      </c>
      <c r="F82" s="635">
        <v>1.5852435373060449</v>
      </c>
      <c r="G82" s="635">
        <v>2.6430478740438859</v>
      </c>
      <c r="H82" s="613">
        <v>2.8779822976011613</v>
      </c>
      <c r="I82" s="613">
        <v>3.1370426898451553</v>
      </c>
      <c r="J82" s="613">
        <v>3.9580622809817982</v>
      </c>
      <c r="K82" s="613">
        <v>3.8435577083886825</v>
      </c>
    </row>
    <row r="83" spans="1:12" s="2" customFormat="1">
      <c r="A83" s="3"/>
      <c r="B83" s="130"/>
      <c r="C83" s="137"/>
      <c r="D83" s="137"/>
      <c r="E83" s="137"/>
      <c r="F83" s="137"/>
      <c r="G83" s="137"/>
      <c r="H83" s="137"/>
      <c r="I83" s="137"/>
      <c r="J83" s="137"/>
      <c r="K83" s="137"/>
      <c r="L83" s="137"/>
    </row>
    <row r="84" spans="1:12" s="2" customFormat="1">
      <c r="A84" s="3"/>
      <c r="B84" s="130"/>
      <c r="C84" s="537" t="s">
        <v>399</v>
      </c>
      <c r="D84" s="540" t="str">
        <f t="shared" ref="D84:K84" si="28">IF($C54=$B$33,D$6,IF(D$6-RIGHT($C54,1)&lt;$D$6,"Pre-RIIO",D$6-RIGHT($C54,1)))</f>
        <v>Pre-RIIO</v>
      </c>
      <c r="E84" s="541" t="str">
        <f t="shared" si="28"/>
        <v>Pre-RIIO</v>
      </c>
      <c r="F84" s="541">
        <f t="shared" si="28"/>
        <v>2016</v>
      </c>
      <c r="G84" s="541">
        <f t="shared" si="28"/>
        <v>2017</v>
      </c>
      <c r="H84" s="541">
        <f t="shared" si="28"/>
        <v>2018</v>
      </c>
      <c r="I84" s="541">
        <f t="shared" si="28"/>
        <v>2019</v>
      </c>
      <c r="J84" s="541">
        <f t="shared" si="28"/>
        <v>2020</v>
      </c>
      <c r="K84" s="542">
        <f t="shared" si="28"/>
        <v>2021</v>
      </c>
    </row>
    <row r="85" spans="1:12" s="2" customFormat="1">
      <c r="A85" s="3" t="str">
        <f>A12</f>
        <v>b</v>
      </c>
      <c r="B85" s="130" t="str">
        <f>B12&amp;""</f>
        <v>Interruptions-related quality of service</v>
      </c>
      <c r="C85" s="137" t="s">
        <v>127</v>
      </c>
      <c r="D85" s="634">
        <v>9.1318670151695471</v>
      </c>
      <c r="E85" s="635">
        <v>13.844560363984531</v>
      </c>
      <c r="F85" s="635">
        <v>15.780877386240121</v>
      </c>
      <c r="G85" s="635">
        <v>16.803293561486324</v>
      </c>
      <c r="H85" s="613">
        <v>17.26117198360604</v>
      </c>
      <c r="I85" s="613">
        <v>17.544324930362173</v>
      </c>
      <c r="J85" s="613">
        <v>15.277803381786525</v>
      </c>
      <c r="K85" s="613">
        <v>15.35658236999441</v>
      </c>
    </row>
    <row r="86" spans="1:12" s="2" customFormat="1">
      <c r="A86" s="3"/>
      <c r="B86" s="130"/>
      <c r="C86" s="137"/>
      <c r="D86" s="137"/>
      <c r="E86" s="137"/>
      <c r="F86" s="137"/>
      <c r="G86" s="137"/>
      <c r="H86" s="137"/>
      <c r="I86" s="137"/>
      <c r="J86" s="137"/>
      <c r="K86" s="137"/>
      <c r="L86" s="137"/>
    </row>
    <row r="87" spans="1:12" s="2" customFormat="1">
      <c r="A87" s="3"/>
      <c r="B87" s="130"/>
      <c r="C87" s="537" t="s">
        <v>399</v>
      </c>
      <c r="D87" s="540" t="str">
        <f t="shared" ref="D87:K87" si="29">IF($C58=$B$33,D$6,IF(D$6-RIGHT($C58,1)&lt;$D$6,"Pre-RIIO",D$6-RIGHT($C58,1)))</f>
        <v>Pre-RIIO</v>
      </c>
      <c r="E87" s="541" t="str">
        <f t="shared" si="29"/>
        <v>Pre-RIIO</v>
      </c>
      <c r="F87" s="541" t="str">
        <f t="shared" si="29"/>
        <v>Pre-RIIO</v>
      </c>
      <c r="G87" s="541">
        <f t="shared" si="29"/>
        <v>2016</v>
      </c>
      <c r="H87" s="541">
        <f t="shared" si="29"/>
        <v>2017</v>
      </c>
      <c r="I87" s="541">
        <f t="shared" si="29"/>
        <v>2018</v>
      </c>
      <c r="J87" s="541">
        <f t="shared" si="29"/>
        <v>2019</v>
      </c>
      <c r="K87" s="542">
        <f t="shared" si="29"/>
        <v>2020</v>
      </c>
    </row>
    <row r="88" spans="1:12" s="2" customFormat="1">
      <c r="A88" s="3" t="str">
        <f>A13</f>
        <v>c</v>
      </c>
      <c r="B88" s="130" t="str">
        <f>B13&amp;""</f>
        <v>Incentive on connections engagement</v>
      </c>
      <c r="C88" s="137" t="s">
        <v>127</v>
      </c>
      <c r="D88" s="634">
        <v>0</v>
      </c>
      <c r="E88" s="635">
        <v>0</v>
      </c>
      <c r="F88" s="635">
        <v>0</v>
      </c>
      <c r="G88" s="635">
        <v>0</v>
      </c>
      <c r="H88" s="613">
        <v>0</v>
      </c>
      <c r="I88" s="613">
        <v>0</v>
      </c>
      <c r="J88" s="613">
        <v>0</v>
      </c>
      <c r="K88" s="613">
        <v>0</v>
      </c>
    </row>
    <row r="89" spans="1:12" s="2" customFormat="1">
      <c r="A89" s="3"/>
      <c r="B89" s="130"/>
      <c r="C89" s="137"/>
      <c r="D89" s="137"/>
      <c r="E89" s="137"/>
      <c r="F89" s="137"/>
      <c r="G89" s="137"/>
      <c r="H89" s="137"/>
      <c r="I89" s="137"/>
      <c r="J89" s="137"/>
      <c r="K89" s="137"/>
      <c r="L89" s="137"/>
    </row>
    <row r="90" spans="1:12" s="2" customFormat="1">
      <c r="A90" s="3"/>
      <c r="B90" s="130"/>
      <c r="C90" s="537" t="s">
        <v>399</v>
      </c>
      <c r="D90" s="540" t="str">
        <f t="shared" ref="D90:K90" si="30">IF($C62=$B$33,D$6,IF(D$6-RIGHT($C62,1)&lt;$D$6,"Pre-RIIO",D$6-RIGHT($C62,1)))</f>
        <v>Pre-RIIO</v>
      </c>
      <c r="E90" s="541" t="str">
        <f t="shared" si="30"/>
        <v>Pre-RIIO</v>
      </c>
      <c r="F90" s="541">
        <f t="shared" si="30"/>
        <v>2016</v>
      </c>
      <c r="G90" s="541">
        <f t="shared" si="30"/>
        <v>2017</v>
      </c>
      <c r="H90" s="541">
        <f t="shared" si="30"/>
        <v>2018</v>
      </c>
      <c r="I90" s="541">
        <f t="shared" si="30"/>
        <v>2019</v>
      </c>
      <c r="J90" s="541">
        <f t="shared" si="30"/>
        <v>2020</v>
      </c>
      <c r="K90" s="542">
        <f t="shared" si="30"/>
        <v>2021</v>
      </c>
    </row>
    <row r="91" spans="1:12" s="2" customFormat="1">
      <c r="A91" s="3" t="str">
        <f>A14</f>
        <v>d</v>
      </c>
      <c r="B91" s="130" t="str">
        <f>B14&amp;""</f>
        <v>Time to Connect Incentive</v>
      </c>
      <c r="C91" s="137" t="s">
        <v>127</v>
      </c>
      <c r="D91" s="634">
        <v>0</v>
      </c>
      <c r="E91" s="635">
        <v>0</v>
      </c>
      <c r="F91" s="635">
        <v>0.7377767790433406</v>
      </c>
      <c r="G91" s="635">
        <v>0.64982200878716667</v>
      </c>
      <c r="H91" s="613">
        <v>7.0672170021457231E-2</v>
      </c>
      <c r="I91" s="613">
        <v>0.4085054149381836</v>
      </c>
      <c r="J91" s="613">
        <v>0.11979551246727969</v>
      </c>
      <c r="K91" s="613">
        <v>0</v>
      </c>
    </row>
    <row r="92" spans="1:12" s="2" customFormat="1">
      <c r="A92" s="3"/>
      <c r="B92" s="130"/>
      <c r="C92" s="137"/>
      <c r="D92" s="137"/>
      <c r="E92" s="137"/>
      <c r="F92" s="137"/>
      <c r="G92" s="137"/>
      <c r="H92" s="137"/>
      <c r="I92" s="137"/>
      <c r="J92" s="137"/>
      <c r="K92" s="137"/>
      <c r="L92" s="137"/>
    </row>
    <row r="93" spans="1:12" s="2" customFormat="1">
      <c r="A93" s="3"/>
      <c r="B93" s="130"/>
      <c r="C93" s="537" t="s">
        <v>399</v>
      </c>
      <c r="D93" s="540" t="str">
        <f>IF($C66=$B$33,D$6,IF(D$6-RIGHT($C66,1)&lt;$D$6,"Pre-RIIO",D$6-RIGHT($C66,1)))</f>
        <v>Pre-RIIO</v>
      </c>
      <c r="E93" s="541">
        <f t="shared" ref="E93:K93" si="31">IF($C66=$B$33,E$6,IF(E$6-RIGHT($C66,1)&lt;$D$6,"Pre-RIIO",E$6-RIGHT($C66,1)))</f>
        <v>2016</v>
      </c>
      <c r="F93" s="541">
        <f t="shared" si="31"/>
        <v>2017</v>
      </c>
      <c r="G93" s="541">
        <f t="shared" si="31"/>
        <v>2018</v>
      </c>
      <c r="H93" s="541">
        <f t="shared" si="31"/>
        <v>2019</v>
      </c>
      <c r="I93" s="541">
        <f t="shared" si="31"/>
        <v>2020</v>
      </c>
      <c r="J93" s="541">
        <f t="shared" si="31"/>
        <v>2021</v>
      </c>
      <c r="K93" s="542">
        <f t="shared" si="31"/>
        <v>2022</v>
      </c>
    </row>
    <row r="94" spans="1:12" s="2" customFormat="1">
      <c r="A94" s="3" t="str">
        <f>A15</f>
        <v>e</v>
      </c>
      <c r="B94" s="130" t="str">
        <f>B15&amp;""</f>
        <v>Losses discretionary reward scheme</v>
      </c>
      <c r="C94" s="137" t="s">
        <v>127</v>
      </c>
      <c r="D94" s="634">
        <v>0</v>
      </c>
      <c r="E94" s="635">
        <v>0</v>
      </c>
      <c r="F94" s="635">
        <v>0.19617499999999999</v>
      </c>
      <c r="G94" s="635">
        <v>0</v>
      </c>
      <c r="H94" s="613">
        <v>0</v>
      </c>
      <c r="I94" s="613">
        <v>0</v>
      </c>
      <c r="J94" s="613">
        <v>0</v>
      </c>
      <c r="K94" s="613">
        <v>0</v>
      </c>
    </row>
    <row r="95" spans="1:12" s="2" customFormat="1">
      <c r="A95" s="3"/>
      <c r="B95" s="130"/>
      <c r="C95" s="137"/>
      <c r="D95" s="137"/>
      <c r="E95" s="137"/>
      <c r="F95" s="137"/>
      <c r="G95" s="137"/>
      <c r="H95" s="137"/>
      <c r="I95" s="137"/>
      <c r="J95" s="137"/>
      <c r="K95" s="137"/>
      <c r="L95" s="137"/>
    </row>
    <row r="96" spans="1:12" s="2" customFormat="1">
      <c r="A96" s="3"/>
      <c r="B96" s="130"/>
      <c r="C96" s="537" t="s">
        <v>399</v>
      </c>
      <c r="D96" s="540">
        <f>IF($C70=$B$33,D$6,IF(D$6-RIGHT($C70,1)&lt;$D$6,"Pre-RIIO",D$6-RIGHT($C70,1)))</f>
        <v>2016</v>
      </c>
      <c r="E96" s="540">
        <f t="shared" ref="E96:K96" si="32">IF($C70=$B$33,E$6,IF(E$6-RIGHT($C70,1)&lt;$D$6,"Pre-RIIO",E$6-RIGHT($C70,1)))</f>
        <v>2017</v>
      </c>
      <c r="F96" s="540">
        <f t="shared" si="32"/>
        <v>2018</v>
      </c>
      <c r="G96" s="540">
        <f t="shared" si="32"/>
        <v>2019</v>
      </c>
      <c r="H96" s="540">
        <f t="shared" si="32"/>
        <v>2020</v>
      </c>
      <c r="I96" s="540">
        <f t="shared" si="32"/>
        <v>2021</v>
      </c>
      <c r="J96" s="540">
        <f t="shared" si="32"/>
        <v>2022</v>
      </c>
      <c r="K96" s="540">
        <f t="shared" si="32"/>
        <v>2023</v>
      </c>
    </row>
    <row r="97" spans="1:13" s="2" customFormat="1">
      <c r="A97" s="3" t="str">
        <f>A16</f>
        <v>f</v>
      </c>
      <c r="B97" s="130" t="str">
        <f>B16&amp;""</f>
        <v/>
      </c>
      <c r="C97" s="137" t="s">
        <v>127</v>
      </c>
      <c r="D97" s="634"/>
      <c r="E97" s="635"/>
      <c r="F97" s="635"/>
      <c r="G97" s="635"/>
      <c r="H97" s="613"/>
      <c r="I97" s="613"/>
      <c r="J97" s="613"/>
      <c r="K97" s="613"/>
    </row>
    <row r="98" spans="1:13" s="2" customFormat="1">
      <c r="A98" s="3"/>
      <c r="B98" s="130"/>
      <c r="C98" s="137"/>
      <c r="D98" s="137"/>
      <c r="E98" s="137"/>
      <c r="F98" s="137"/>
      <c r="G98" s="137"/>
      <c r="H98" s="137"/>
      <c r="I98" s="137"/>
      <c r="J98" s="137"/>
      <c r="K98" s="137"/>
      <c r="L98" s="137"/>
    </row>
    <row r="99" spans="1:13" s="2" customFormat="1">
      <c r="A99" s="3"/>
      <c r="B99" s="130"/>
      <c r="C99" s="537" t="s">
        <v>399</v>
      </c>
      <c r="D99" s="540">
        <f>IF($C74=$B$33,D$6,IF(D$6-RIGHT($C74,1)&lt;$D$6,"Pre-RIIO",D$6-RIGHT($C74,1)))</f>
        <v>2016</v>
      </c>
      <c r="E99" s="540">
        <f t="shared" ref="E99:K99" si="33">IF($C74=$B$33,E$6,IF(E$6-RIGHT($C74,1)&lt;$D$6,"Pre-RIIO",E$6-RIGHT($C74,1)))</f>
        <v>2017</v>
      </c>
      <c r="F99" s="540">
        <f t="shared" si="33"/>
        <v>2018</v>
      </c>
      <c r="G99" s="540">
        <f t="shared" si="33"/>
        <v>2019</v>
      </c>
      <c r="H99" s="540">
        <f t="shared" si="33"/>
        <v>2020</v>
      </c>
      <c r="I99" s="540">
        <f t="shared" si="33"/>
        <v>2021</v>
      </c>
      <c r="J99" s="540">
        <f t="shared" si="33"/>
        <v>2022</v>
      </c>
      <c r="K99" s="540">
        <f t="shared" si="33"/>
        <v>2023</v>
      </c>
    </row>
    <row r="100" spans="1:13" s="2" customFormat="1">
      <c r="A100" s="3" t="str">
        <f>A17</f>
        <v>g</v>
      </c>
      <c r="B100" s="130" t="str">
        <f>B17&amp;""</f>
        <v/>
      </c>
      <c r="C100" s="137" t="s">
        <v>127</v>
      </c>
      <c r="D100" s="634"/>
      <c r="E100" s="635"/>
      <c r="F100" s="635"/>
      <c r="G100" s="635"/>
      <c r="H100" s="613"/>
      <c r="I100" s="613"/>
      <c r="J100" s="613"/>
      <c r="K100" s="613"/>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127</v>
      </c>
      <c r="D102" s="606">
        <f>SUM(D82,D85,D88,D91,D94,D97,D100)</f>
        <v>8.0071736145861934</v>
      </c>
      <c r="E102" s="606">
        <f t="shared" ref="E102:K102" si="34">SUM(E82,E85,E88,E91,E94,E97,E100)</f>
        <v>12.91239504929672</v>
      </c>
      <c r="F102" s="606">
        <f t="shared" si="34"/>
        <v>18.300072702589507</v>
      </c>
      <c r="G102" s="606">
        <f t="shared" si="34"/>
        <v>20.096163444317376</v>
      </c>
      <c r="H102" s="607">
        <f>SUM(H82,H85,H88,H91,H94,H97,H100)</f>
        <v>20.209826451228658</v>
      </c>
      <c r="I102" s="607">
        <f t="shared" si="34"/>
        <v>21.089873035145512</v>
      </c>
      <c r="J102" s="607">
        <f t="shared" si="34"/>
        <v>19.355661175235603</v>
      </c>
      <c r="K102" s="607">
        <f t="shared" si="34"/>
        <v>19.200140078383093</v>
      </c>
    </row>
    <row r="103" spans="1:13" s="2" customFormat="1">
      <c r="C103" s="137"/>
    </row>
    <row r="104" spans="1:13" s="2" customFormat="1">
      <c r="A104" s="35"/>
      <c r="B104" s="12" t="s">
        <v>374</v>
      </c>
      <c r="C104" s="157"/>
      <c r="D104" s="157"/>
      <c r="E104" s="157"/>
      <c r="F104" s="157"/>
      <c r="G104" s="157"/>
      <c r="H104" s="157"/>
      <c r="I104" s="157"/>
      <c r="J104" s="157"/>
      <c r="K104" s="157"/>
      <c r="L104" s="157"/>
      <c r="M104" s="157"/>
    </row>
    <row r="105" spans="1:13" s="2" customFormat="1">
      <c r="A105" s="270" t="str">
        <f>A82</f>
        <v>a</v>
      </c>
      <c r="B105" s="985"/>
      <c r="C105" s="985"/>
      <c r="D105" s="985"/>
      <c r="E105" s="985"/>
      <c r="F105" s="985"/>
      <c r="G105" s="985"/>
      <c r="H105" s="985"/>
      <c r="I105" s="985"/>
      <c r="J105" s="985"/>
      <c r="K105" s="985"/>
      <c r="L105" s="985"/>
      <c r="M105" s="985"/>
    </row>
    <row r="106" spans="1:13" s="2" customFormat="1">
      <c r="A106" s="270" t="str">
        <f>A85</f>
        <v>b</v>
      </c>
      <c r="B106" s="985"/>
      <c r="C106" s="985"/>
      <c r="D106" s="985"/>
      <c r="E106" s="985"/>
      <c r="F106" s="985"/>
      <c r="G106" s="985"/>
      <c r="H106" s="985"/>
      <c r="I106" s="985"/>
      <c r="J106" s="985"/>
      <c r="K106" s="985"/>
      <c r="L106" s="985"/>
      <c r="M106" s="985"/>
    </row>
    <row r="107" spans="1:13" s="2" customFormat="1">
      <c r="A107" s="270" t="str">
        <f>A88</f>
        <v>c</v>
      </c>
      <c r="B107" s="985"/>
      <c r="C107" s="985"/>
      <c r="D107" s="985"/>
      <c r="E107" s="985"/>
      <c r="F107" s="985"/>
      <c r="G107" s="985"/>
      <c r="H107" s="985"/>
      <c r="I107" s="985"/>
      <c r="J107" s="985"/>
      <c r="K107" s="985"/>
      <c r="L107" s="985"/>
      <c r="M107" s="985"/>
    </row>
    <row r="108" spans="1:13" s="2" customFormat="1">
      <c r="A108" s="270" t="str">
        <f>A91</f>
        <v>d</v>
      </c>
      <c r="B108" s="985"/>
      <c r="C108" s="985"/>
      <c r="D108" s="985"/>
      <c r="E108" s="985"/>
      <c r="F108" s="985"/>
      <c r="G108" s="985"/>
      <c r="H108" s="985"/>
      <c r="I108" s="985"/>
      <c r="J108" s="985"/>
      <c r="K108" s="985"/>
      <c r="L108" s="985"/>
      <c r="M108" s="985"/>
    </row>
    <row r="109" spans="1:13" s="2" customFormat="1">
      <c r="A109" s="270" t="str">
        <f>A94</f>
        <v>e</v>
      </c>
      <c r="B109" s="985"/>
      <c r="C109" s="985"/>
      <c r="D109" s="985"/>
      <c r="E109" s="985"/>
      <c r="F109" s="985"/>
      <c r="G109" s="985"/>
      <c r="H109" s="985"/>
      <c r="I109" s="985"/>
      <c r="J109" s="985"/>
      <c r="K109" s="985"/>
      <c r="L109" s="985"/>
      <c r="M109" s="985"/>
    </row>
    <row r="110" spans="1:13" s="2" customFormat="1">
      <c r="A110" s="270" t="str">
        <f>A97</f>
        <v>f</v>
      </c>
      <c r="B110" s="985"/>
      <c r="C110" s="985"/>
      <c r="D110" s="985"/>
      <c r="E110" s="985"/>
      <c r="F110" s="985"/>
      <c r="G110" s="985"/>
      <c r="H110" s="985"/>
      <c r="I110" s="985"/>
      <c r="J110" s="985"/>
      <c r="K110" s="985"/>
      <c r="L110" s="985"/>
      <c r="M110" s="985"/>
    </row>
    <row r="111" spans="1:13" s="2" customFormat="1">
      <c r="A111" s="270" t="str">
        <f>A100</f>
        <v>g</v>
      </c>
      <c r="B111" s="985"/>
      <c r="C111" s="985"/>
      <c r="D111" s="985"/>
      <c r="E111" s="985"/>
      <c r="F111" s="985"/>
      <c r="G111" s="985"/>
      <c r="H111" s="985"/>
      <c r="I111" s="985"/>
      <c r="J111" s="985"/>
      <c r="K111" s="985"/>
      <c r="L111" s="985"/>
      <c r="M111" s="985"/>
    </row>
    <row r="112" spans="1:13" s="529" customFormat="1">
      <c r="A112" s="528"/>
      <c r="C112" s="530"/>
      <c r="D112" s="531"/>
      <c r="E112" s="531"/>
      <c r="F112" s="531"/>
      <c r="G112" s="531"/>
      <c r="H112" s="531"/>
      <c r="I112" s="531"/>
      <c r="J112" s="531"/>
      <c r="K112" s="531"/>
      <c r="L112" s="532"/>
      <c r="M112" s="532"/>
    </row>
    <row r="113" spans="1:14" s="529" customFormat="1">
      <c r="A113" s="528"/>
      <c r="C113" s="530"/>
      <c r="D113" s="530"/>
      <c r="E113" s="530"/>
      <c r="F113" s="530"/>
      <c r="G113" s="530"/>
      <c r="H113" s="530"/>
      <c r="I113" s="530"/>
      <c r="J113" s="530"/>
      <c r="K113" s="530"/>
      <c r="L113" s="530"/>
      <c r="M113" s="530"/>
    </row>
    <row r="114" spans="1:14" s="2" customFormat="1">
      <c r="A114" s="81"/>
      <c r="B114" s="81"/>
      <c r="C114" s="151"/>
      <c r="D114" s="81"/>
      <c r="E114" s="81"/>
      <c r="F114" s="81"/>
      <c r="G114" s="81"/>
      <c r="H114" s="81"/>
      <c r="I114" s="81"/>
      <c r="J114" s="81"/>
      <c r="K114" s="81"/>
      <c r="L114" s="81"/>
      <c r="M114" s="81"/>
      <c r="N114" s="81"/>
    </row>
  </sheetData>
  <sheetProtection password="DA3D"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56" priority="31">
      <formula>AND(D$5="Actuals",E$5="Forecast")</formula>
    </cfRule>
  </conditionalFormatting>
  <conditionalFormatting sqref="D5:K5">
    <cfRule type="expression" dxfId="55"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08" t="s">
        <v>100</v>
      </c>
      <c r="B1" s="904"/>
      <c r="C1" s="279"/>
      <c r="D1" s="257"/>
      <c r="E1" s="257"/>
      <c r="F1" s="257"/>
      <c r="G1" s="257"/>
      <c r="H1" s="257"/>
      <c r="I1" s="258"/>
      <c r="J1" s="258"/>
      <c r="K1" s="259"/>
      <c r="L1" s="260"/>
    </row>
    <row r="2" spans="1:12" s="31" customFormat="1" ht="20.25">
      <c r="A2" s="897" t="str">
        <f>'RFPR cover'!C5</f>
        <v>NPgY</v>
      </c>
      <c r="B2" s="889"/>
      <c r="C2" s="135"/>
      <c r="D2" s="29"/>
      <c r="E2" s="29"/>
      <c r="F2" s="29"/>
      <c r="G2" s="29"/>
      <c r="H2" s="29"/>
      <c r="I2" s="27"/>
      <c r="J2" s="27"/>
      <c r="K2" s="27"/>
      <c r="L2" s="124"/>
    </row>
    <row r="3" spans="1:12" s="37" customFormat="1" ht="23.25">
      <c r="A3" s="900">
        <f>'RFPR cover'!C7</f>
        <v>2021</v>
      </c>
      <c r="B3" s="906" t="str">
        <f>'R1 - RoRE'!B3</f>
        <v/>
      </c>
      <c r="C3" s="281"/>
      <c r="D3" s="280"/>
      <c r="E3" s="280"/>
      <c r="F3" s="280"/>
      <c r="G3" s="280"/>
      <c r="H3" s="280"/>
      <c r="I3" s="256"/>
      <c r="J3" s="256"/>
      <c r="K3" s="256"/>
      <c r="L3" s="262"/>
    </row>
    <row r="4" spans="1:12" s="2" customFormat="1" ht="12.75" customHeight="1">
      <c r="C4" s="137"/>
    </row>
    <row r="5" spans="1:12" s="2" customFormat="1">
      <c r="B5" s="3"/>
      <c r="C5" s="137"/>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133</v>
      </c>
      <c r="C8" s="138"/>
      <c r="D8" s="57"/>
      <c r="E8" s="57"/>
      <c r="F8" s="57"/>
      <c r="G8" s="57"/>
      <c r="H8" s="57"/>
      <c r="I8" s="57"/>
      <c r="J8" s="57"/>
      <c r="K8" s="57"/>
    </row>
    <row r="9" spans="1:12" s="2" customFormat="1">
      <c r="B9" s="226" t="s">
        <v>515</v>
      </c>
      <c r="C9" s="153" t="s">
        <v>127</v>
      </c>
      <c r="D9" s="590">
        <v>0.8202488247745281</v>
      </c>
      <c r="E9" s="591">
        <v>0.78253045889138884</v>
      </c>
      <c r="F9" s="591">
        <v>2.3310237800519573</v>
      </c>
      <c r="G9" s="591">
        <v>2.4119222903338855</v>
      </c>
      <c r="H9" s="591">
        <v>2.3356430368962635</v>
      </c>
      <c r="I9" s="591">
        <v>2.4687189218531773</v>
      </c>
      <c r="J9" s="935">
        <v>2.5955857163503593</v>
      </c>
      <c r="K9" s="935">
        <v>2.5879597655195363</v>
      </c>
    </row>
    <row r="10" spans="1:12" s="2" customFormat="1">
      <c r="B10" s="226" t="s">
        <v>496</v>
      </c>
      <c r="C10" s="153" t="s">
        <v>127</v>
      </c>
      <c r="D10" s="592"/>
      <c r="E10" s="593"/>
      <c r="F10" s="593"/>
      <c r="G10" s="593"/>
      <c r="H10" s="593"/>
      <c r="I10" s="593"/>
      <c r="J10" s="936"/>
      <c r="K10" s="936"/>
    </row>
    <row r="11" spans="1:12" s="2" customFormat="1">
      <c r="B11" s="226" t="s">
        <v>514</v>
      </c>
      <c r="C11" s="153" t="s">
        <v>127</v>
      </c>
      <c r="D11" s="841">
        <v>8.2024882477452765E-2</v>
      </c>
      <c r="E11" s="842">
        <v>7.8253045889138839E-2</v>
      </c>
      <c r="F11" s="842">
        <v>0.23310237800519573</v>
      </c>
      <c r="G11" s="842">
        <v>0.24119222903338855</v>
      </c>
      <c r="H11" s="842">
        <v>0.23356430368962622</v>
      </c>
      <c r="I11" s="842">
        <v>0.24687189218531769</v>
      </c>
      <c r="J11" s="937">
        <v>0.25955857163503593</v>
      </c>
      <c r="K11" s="937">
        <v>0.25879597655195363</v>
      </c>
    </row>
    <row r="12" spans="1:12" s="12" customFormat="1">
      <c r="B12" s="51" t="s">
        <v>131</v>
      </c>
      <c r="C12" s="153" t="s">
        <v>127</v>
      </c>
      <c r="D12" s="606">
        <f>D9-D10-D11</f>
        <v>0.73822394229707533</v>
      </c>
      <c r="E12" s="607">
        <f t="shared" ref="E12:K12" si="1">E9-E10-E11</f>
        <v>0.70427741300225</v>
      </c>
      <c r="F12" s="607">
        <f t="shared" si="1"/>
        <v>2.0979214020467616</v>
      </c>
      <c r="G12" s="607">
        <f t="shared" si="1"/>
        <v>2.1707300613004969</v>
      </c>
      <c r="H12" s="607">
        <f t="shared" si="1"/>
        <v>2.1020787332066373</v>
      </c>
      <c r="I12" s="607">
        <f t="shared" si="1"/>
        <v>2.2218470296678596</v>
      </c>
      <c r="J12" s="607">
        <f t="shared" si="1"/>
        <v>2.3360271447153234</v>
      </c>
      <c r="K12" s="607">
        <f t="shared" si="1"/>
        <v>2.3291637889675827</v>
      </c>
      <c r="L12" s="2"/>
    </row>
    <row r="13" spans="1:12" s="12" customFormat="1">
      <c r="B13" s="51"/>
      <c r="C13" s="137"/>
      <c r="D13" s="52"/>
      <c r="E13" s="52"/>
      <c r="F13" s="52"/>
      <c r="G13" s="52"/>
      <c r="H13" s="52"/>
      <c r="I13" s="52"/>
      <c r="J13" s="52"/>
      <c r="K13" s="52"/>
      <c r="L13" s="2"/>
    </row>
    <row r="14" spans="1:12" s="2" customFormat="1">
      <c r="B14" s="51" t="s">
        <v>155</v>
      </c>
      <c r="C14" s="138"/>
      <c r="D14" s="57"/>
      <c r="E14" s="57"/>
      <c r="F14" s="57"/>
      <c r="G14" s="57"/>
      <c r="H14" s="57"/>
      <c r="I14" s="57"/>
      <c r="J14" s="57"/>
      <c r="K14" s="57"/>
    </row>
    <row r="15" spans="1:12" s="2" customFormat="1" ht="13.15" customHeight="1">
      <c r="B15" s="226" t="s">
        <v>517</v>
      </c>
      <c r="C15" s="153" t="s">
        <v>127</v>
      </c>
      <c r="D15" s="590">
        <v>1.58060117</v>
      </c>
      <c r="E15" s="591">
        <v>8.3856570000000005E-2</v>
      </c>
      <c r="F15" s="591">
        <v>0.24265197999999999</v>
      </c>
      <c r="G15" s="591">
        <v>0.65832199000000002</v>
      </c>
      <c r="H15" s="591">
        <v>8.9907860000000006E-2</v>
      </c>
      <c r="I15" s="591">
        <v>-0.24241409999999999</v>
      </c>
      <c r="J15" s="591"/>
      <c r="K15" s="591"/>
    </row>
    <row r="16" spans="1:12" s="2" customFormat="1">
      <c r="B16" s="226" t="s">
        <v>516</v>
      </c>
      <c r="C16" s="153" t="s">
        <v>127</v>
      </c>
      <c r="D16" s="592"/>
      <c r="E16" s="593"/>
      <c r="F16" s="593"/>
      <c r="G16" s="593"/>
      <c r="H16" s="593"/>
      <c r="I16" s="593"/>
      <c r="J16" s="593"/>
      <c r="K16" s="593"/>
    </row>
    <row r="17" spans="2:12" s="12" customFormat="1">
      <c r="B17" s="51" t="s">
        <v>132</v>
      </c>
      <c r="C17" s="153" t="s">
        <v>127</v>
      </c>
      <c r="D17" s="606">
        <f>D15-D16</f>
        <v>1.58060117</v>
      </c>
      <c r="E17" s="606">
        <f t="shared" ref="E17:K17" si="2">E15-E16</f>
        <v>8.3856570000000005E-2</v>
      </c>
      <c r="F17" s="606">
        <f t="shared" si="2"/>
        <v>0.24265197999999999</v>
      </c>
      <c r="G17" s="606">
        <f t="shared" si="2"/>
        <v>0.65832199000000002</v>
      </c>
      <c r="H17" s="606">
        <f t="shared" si="2"/>
        <v>8.9907860000000006E-2</v>
      </c>
      <c r="I17" s="606">
        <f t="shared" si="2"/>
        <v>-0.24241409999999999</v>
      </c>
      <c r="J17" s="606">
        <f t="shared" si="2"/>
        <v>0</v>
      </c>
      <c r="K17" s="606">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448</v>
      </c>
      <c r="C20" s="153" t="s">
        <v>127</v>
      </c>
      <c r="D20" s="590"/>
      <c r="E20" s="591"/>
      <c r="F20" s="591"/>
      <c r="G20" s="591"/>
      <c r="H20" s="591"/>
      <c r="I20" s="591"/>
      <c r="J20" s="591"/>
      <c r="K20" s="591"/>
    </row>
    <row r="21" spans="2:12" s="2" customFormat="1">
      <c r="B21" s="226" t="s">
        <v>514</v>
      </c>
      <c r="C21" s="153" t="s">
        <v>127</v>
      </c>
      <c r="D21" s="628"/>
      <c r="E21" s="629"/>
      <c r="F21" s="629"/>
      <c r="G21" s="629"/>
      <c r="H21" s="629"/>
      <c r="I21" s="629"/>
      <c r="J21" s="629"/>
      <c r="K21" s="629"/>
    </row>
    <row r="22" spans="2:12" s="2" customFormat="1">
      <c r="B22" s="35"/>
      <c r="C22" s="139"/>
      <c r="D22" s="35"/>
      <c r="E22" s="35"/>
      <c r="F22" s="35"/>
      <c r="G22" s="35"/>
      <c r="H22" s="35"/>
      <c r="I22" s="35"/>
      <c r="J22" s="35"/>
      <c r="K22" s="35"/>
    </row>
    <row r="23" spans="2:12" s="2" customFormat="1">
      <c r="B23" s="226" t="s">
        <v>499</v>
      </c>
      <c r="C23" s="153" t="s">
        <v>127</v>
      </c>
      <c r="D23" s="628"/>
      <c r="E23" s="629"/>
      <c r="F23" s="629"/>
      <c r="G23" s="629"/>
      <c r="H23" s="629"/>
      <c r="I23" s="629"/>
      <c r="J23" s="629"/>
      <c r="K23" s="629"/>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394</v>
      </c>
      <c r="C27" s="139"/>
      <c r="D27" s="35"/>
      <c r="E27" s="35"/>
      <c r="F27" s="35"/>
      <c r="G27" s="35"/>
      <c r="H27" s="35"/>
      <c r="I27" s="35"/>
      <c r="J27" s="35"/>
      <c r="K27" s="35"/>
    </row>
    <row r="28" spans="2:12" s="2" customFormat="1">
      <c r="B28" s="226" t="s">
        <v>497</v>
      </c>
      <c r="C28" s="156" t="str">
        <f>'RFPR cover'!$C$14</f>
        <v>£m 12/13</v>
      </c>
      <c r="D28" s="676">
        <f>(SUM(D10,D11,D21)-D23)/Data!C34</f>
        <v>7.7358848412386841E-2</v>
      </c>
      <c r="E28" s="676">
        <f>(SUM(E10,E11,E21)-E23)/Data!D34</f>
        <v>7.2253366150393378E-2</v>
      </c>
      <c r="F28" s="676">
        <f>(SUM(F10,F11,F21)-F23)/Data!E34</f>
        <v>0.20746695017395372</v>
      </c>
      <c r="G28" s="676">
        <f>(SUM(G10,G11,G21)-G23)/Data!F34</f>
        <v>0.2083023022249437</v>
      </c>
      <c r="H28" s="676">
        <f>(SUM(H10,H11,H21)-H23)/Data!G34</f>
        <v>0.19662452778765385</v>
      </c>
      <c r="I28" s="676">
        <f>(SUM(I10,I11,I21)-I23)/Data!H34</f>
        <v>0.20533703719466362</v>
      </c>
      <c r="J28" s="676">
        <f>(SUM(J10,J11,J21)-J23)/Data!I34</f>
        <v>0.21031588089029452</v>
      </c>
      <c r="K28" s="676">
        <f>(SUM(K10,K11,K21)-K23)/Data!J34</f>
        <v>0.20344211798122988</v>
      </c>
      <c r="L28" s="35"/>
    </row>
  </sheetData>
  <sheetProtection password="DA3D" sheet="1" objects="1" scenarios="1"/>
  <conditionalFormatting sqref="D6:K6">
    <cfRule type="expression" dxfId="54" priority="24">
      <formula>AND(D$5="Actuals",E$5="Forecast")</formula>
    </cfRule>
  </conditionalFormatting>
  <conditionalFormatting sqref="D5:K5">
    <cfRule type="expression" dxfId="53"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9" zoomScaleNormal="55" workbookViewId="0">
      <pane ySplit="6" topLeftCell="A10" activePane="bottomLeft" state="frozen"/>
      <selection activeCell="A4" sqref="A4"/>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08" t="s">
        <v>264</v>
      </c>
      <c r="B1" s="904"/>
      <c r="C1" s="257"/>
      <c r="D1" s="257"/>
      <c r="E1" s="257"/>
      <c r="F1" s="257"/>
      <c r="G1" s="257"/>
      <c r="H1" s="257"/>
      <c r="I1" s="258"/>
      <c r="J1" s="258"/>
      <c r="K1" s="259"/>
      <c r="L1" s="259"/>
      <c r="M1" s="259"/>
      <c r="N1" s="260"/>
    </row>
    <row r="2" spans="1:14" s="31" customFormat="1" ht="20.25">
      <c r="A2" s="897" t="str">
        <f>'RFPR cover'!C5</f>
        <v>NPgY</v>
      </c>
      <c r="B2" s="889"/>
      <c r="C2" s="29"/>
      <c r="D2" s="29"/>
      <c r="E2" s="29"/>
      <c r="F2" s="29"/>
      <c r="G2" s="29"/>
      <c r="H2" s="29"/>
      <c r="I2" s="27"/>
      <c r="J2" s="27"/>
      <c r="K2" s="27"/>
      <c r="L2" s="27"/>
      <c r="M2" s="27"/>
      <c r="N2" s="124"/>
    </row>
    <row r="3" spans="1:14" s="31" customFormat="1" ht="23.25">
      <c r="A3" s="900">
        <f>'RFPR cover'!C7</f>
        <v>2021</v>
      </c>
      <c r="B3" s="906"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2021</v>
      </c>
      <c r="M6" s="282" t="s">
        <v>109</v>
      </c>
    </row>
    <row r="7" spans="1:14" s="2" customFormat="1"/>
    <row r="8" spans="1:14">
      <c r="B8" s="474" t="s">
        <v>301</v>
      </c>
      <c r="C8" s="153" t="s">
        <v>127</v>
      </c>
      <c r="D8" s="343">
        <v>44.345330000000004</v>
      </c>
      <c r="E8" s="380">
        <v>46.886030000000012</v>
      </c>
      <c r="F8" s="380">
        <v>48.444030000000012</v>
      </c>
      <c r="G8" s="380">
        <v>48.768000000000008</v>
      </c>
      <c r="H8" s="380">
        <v>47.71416808</v>
      </c>
      <c r="I8" s="380">
        <v>37.746801839999996</v>
      </c>
      <c r="J8" s="380">
        <v>37.752648209999997</v>
      </c>
      <c r="K8" s="381">
        <v>32.996589320000005</v>
      </c>
      <c r="L8" s="35"/>
      <c r="M8" s="35"/>
    </row>
    <row r="9" spans="1:14">
      <c r="B9" s="14"/>
      <c r="C9" s="153"/>
      <c r="D9" s="230"/>
      <c r="E9" s="230"/>
      <c r="F9" s="230"/>
      <c r="G9" s="230"/>
      <c r="H9" s="230"/>
      <c r="I9" s="230"/>
      <c r="J9" s="230"/>
      <c r="K9" s="230"/>
      <c r="L9" s="35"/>
      <c r="M9" s="35"/>
    </row>
    <row r="10" spans="1:14">
      <c r="B10" s="14" t="s">
        <v>475</v>
      </c>
      <c r="C10" s="16"/>
      <c r="D10" s="231"/>
      <c r="E10" s="231"/>
      <c r="F10" s="231"/>
      <c r="G10" s="231"/>
      <c r="H10" s="231"/>
      <c r="I10" s="231"/>
      <c r="J10" s="231"/>
      <c r="K10" s="231"/>
      <c r="L10" s="35"/>
      <c r="M10" s="35"/>
    </row>
    <row r="11" spans="1:14">
      <c r="B11" s="364" t="s">
        <v>12</v>
      </c>
      <c r="C11" s="153" t="s">
        <v>127</v>
      </c>
      <c r="D11" s="372">
        <v>0</v>
      </c>
      <c r="E11" s="373">
        <v>0</v>
      </c>
      <c r="F11" s="373">
        <v>0</v>
      </c>
      <c r="G11" s="373">
        <v>0</v>
      </c>
      <c r="H11" s="373">
        <v>0</v>
      </c>
      <c r="I11" s="373">
        <v>0</v>
      </c>
      <c r="J11" s="373">
        <v>0</v>
      </c>
      <c r="K11" s="377">
        <v>0</v>
      </c>
      <c r="L11" s="35"/>
      <c r="M11" s="35"/>
    </row>
    <row r="12" spans="1:14">
      <c r="B12" s="364" t="s">
        <v>13</v>
      </c>
      <c r="C12" s="153" t="s">
        <v>127</v>
      </c>
      <c r="D12" s="342">
        <v>0</v>
      </c>
      <c r="E12" s="374">
        <v>0</v>
      </c>
      <c r="F12" s="374">
        <v>0</v>
      </c>
      <c r="G12" s="374">
        <v>0</v>
      </c>
      <c r="H12" s="374">
        <v>0</v>
      </c>
      <c r="I12" s="374">
        <v>0</v>
      </c>
      <c r="J12" s="374">
        <v>0</v>
      </c>
      <c r="K12" s="378">
        <v>0</v>
      </c>
      <c r="L12" s="35"/>
      <c r="M12" s="35"/>
    </row>
    <row r="13" spans="1:14">
      <c r="B13" s="364" t="s">
        <v>14</v>
      </c>
      <c r="C13" s="153" t="s">
        <v>127</v>
      </c>
      <c r="D13" s="342">
        <v>0</v>
      </c>
      <c r="E13" s="374">
        <v>0</v>
      </c>
      <c r="F13" s="374">
        <v>0</v>
      </c>
      <c r="G13" s="374">
        <v>0</v>
      </c>
      <c r="H13" s="374">
        <v>0</v>
      </c>
      <c r="I13" s="374">
        <v>0</v>
      </c>
      <c r="J13" s="374">
        <v>0</v>
      </c>
      <c r="K13" s="378">
        <v>0</v>
      </c>
      <c r="L13" s="35"/>
      <c r="M13" s="35"/>
    </row>
    <row r="14" spans="1:14">
      <c r="B14" s="364" t="s">
        <v>15</v>
      </c>
      <c r="C14" s="153" t="s">
        <v>127</v>
      </c>
      <c r="D14" s="342">
        <v>0</v>
      </c>
      <c r="E14" s="374">
        <v>0</v>
      </c>
      <c r="F14" s="374">
        <v>0</v>
      </c>
      <c r="G14" s="374">
        <v>0</v>
      </c>
      <c r="H14" s="374">
        <v>0</v>
      </c>
      <c r="I14" s="374">
        <v>0</v>
      </c>
      <c r="J14" s="374">
        <v>0</v>
      </c>
      <c r="K14" s="378">
        <v>0</v>
      </c>
      <c r="L14" s="35"/>
      <c r="M14" s="35"/>
    </row>
    <row r="15" spans="1:14">
      <c r="B15" s="364" t="s">
        <v>16</v>
      </c>
      <c r="C15" s="153" t="s">
        <v>127</v>
      </c>
      <c r="D15" s="342">
        <v>0</v>
      </c>
      <c r="E15" s="374">
        <v>0</v>
      </c>
      <c r="F15" s="374">
        <v>0</v>
      </c>
      <c r="G15" s="374">
        <v>0</v>
      </c>
      <c r="H15" s="374">
        <v>0</v>
      </c>
      <c r="I15" s="374">
        <v>0</v>
      </c>
      <c r="J15" s="374">
        <v>0</v>
      </c>
      <c r="K15" s="378">
        <v>0</v>
      </c>
      <c r="L15" s="35"/>
      <c r="M15" s="35"/>
    </row>
    <row r="16" spans="1:14">
      <c r="B16" s="364" t="s">
        <v>17</v>
      </c>
      <c r="C16" s="153" t="s">
        <v>127</v>
      </c>
      <c r="D16" s="342">
        <v>0</v>
      </c>
      <c r="E16" s="374">
        <v>0</v>
      </c>
      <c r="F16" s="374">
        <v>0</v>
      </c>
      <c r="G16" s="374">
        <v>0</v>
      </c>
      <c r="H16" s="374">
        <v>0</v>
      </c>
      <c r="I16" s="374">
        <v>0</v>
      </c>
      <c r="J16" s="374">
        <v>0</v>
      </c>
      <c r="K16" s="378">
        <v>0</v>
      </c>
      <c r="L16" s="35"/>
    </row>
    <row r="17" spans="2:12">
      <c r="B17" s="364" t="s">
        <v>281</v>
      </c>
      <c r="C17" s="153" t="s">
        <v>127</v>
      </c>
      <c r="D17" s="342">
        <v>-0.96299999999999997</v>
      </c>
      <c r="E17" s="374">
        <v>-0.78500000000000003</v>
      </c>
      <c r="F17" s="374">
        <v>-0.80100000000000005</v>
      </c>
      <c r="G17" s="374">
        <v>-0.81700000000000006</v>
      </c>
      <c r="H17" s="374">
        <v>-0.82099999999999995</v>
      </c>
      <c r="I17" s="374">
        <v>-0.73199999999999998</v>
      </c>
      <c r="J17" s="374">
        <v>-0.67399999999999949</v>
      </c>
      <c r="K17" s="378">
        <v>-0.67500000000000071</v>
      </c>
      <c r="L17" s="35"/>
    </row>
    <row r="18" spans="2:12" ht="12.75" customHeight="1">
      <c r="B18" s="364" t="s">
        <v>18</v>
      </c>
      <c r="C18" s="153" t="s">
        <v>127</v>
      </c>
      <c r="D18" s="342">
        <v>-0.19500000000000001</v>
      </c>
      <c r="E18" s="374">
        <v>-9.1999999999999998E-2</v>
      </c>
      <c r="F18" s="374">
        <v>-9.0999999999999998E-2</v>
      </c>
      <c r="G18" s="374">
        <v>-6.9000000000000006E-2</v>
      </c>
      <c r="H18" s="374">
        <v>-7.8E-2</v>
      </c>
      <c r="I18" s="374">
        <v>-5.1999999999999998E-2</v>
      </c>
      <c r="J18" s="374">
        <v>-5.2999999999999999E-2</v>
      </c>
      <c r="K18" s="378">
        <v>-5.2999999999999999E-2</v>
      </c>
      <c r="L18" s="35"/>
    </row>
    <row r="19" spans="2:12">
      <c r="B19" s="364" t="s">
        <v>575</v>
      </c>
      <c r="C19" s="153" t="s">
        <v>127</v>
      </c>
      <c r="D19" s="342">
        <v>3.3039999999999998</v>
      </c>
      <c r="E19" s="374">
        <v>2.472</v>
      </c>
      <c r="F19" s="374">
        <v>2.0249999999999999</v>
      </c>
      <c r="G19" s="374">
        <v>1.278</v>
      </c>
      <c r="H19" s="374">
        <v>1.599</v>
      </c>
      <c r="I19" s="374">
        <v>1.5760000000000001</v>
      </c>
      <c r="J19" s="374">
        <v>1.641</v>
      </c>
      <c r="K19" s="378">
        <v>1.98</v>
      </c>
      <c r="L19" s="35"/>
    </row>
    <row r="20" spans="2:12">
      <c r="B20" s="364" t="s">
        <v>595</v>
      </c>
      <c r="C20" s="153" t="s">
        <v>127</v>
      </c>
      <c r="D20" s="342">
        <v>0</v>
      </c>
      <c r="E20" s="374">
        <v>0</v>
      </c>
      <c r="F20" s="374">
        <v>0</v>
      </c>
      <c r="G20" s="374">
        <v>0</v>
      </c>
      <c r="H20" s="374">
        <v>-0.29316808</v>
      </c>
      <c r="I20" s="374">
        <v>-0.26380184000000001</v>
      </c>
      <c r="J20" s="374">
        <v>-0.22664821000000002</v>
      </c>
      <c r="K20" s="378">
        <v>-0.15858931999999998</v>
      </c>
      <c r="L20" s="35"/>
    </row>
    <row r="21" spans="2:12">
      <c r="B21" s="364" t="s">
        <v>349</v>
      </c>
      <c r="C21" s="153" t="s">
        <v>127</v>
      </c>
      <c r="D21" s="342">
        <v>0</v>
      </c>
      <c r="E21" s="374">
        <v>0</v>
      </c>
      <c r="F21" s="374">
        <v>0</v>
      </c>
      <c r="G21" s="374">
        <v>0</v>
      </c>
      <c r="H21" s="374">
        <v>0</v>
      </c>
      <c r="I21" s="374">
        <v>0</v>
      </c>
      <c r="J21" s="374">
        <v>0</v>
      </c>
      <c r="K21" s="378">
        <v>0</v>
      </c>
      <c r="L21" s="35"/>
    </row>
    <row r="22" spans="2:12">
      <c r="B22" s="364" t="s">
        <v>350</v>
      </c>
      <c r="C22" s="153" t="s">
        <v>127</v>
      </c>
      <c r="D22" s="342">
        <v>0</v>
      </c>
      <c r="E22" s="374">
        <v>0</v>
      </c>
      <c r="F22" s="374">
        <v>0</v>
      </c>
      <c r="G22" s="374">
        <v>0</v>
      </c>
      <c r="H22" s="374">
        <v>0</v>
      </c>
      <c r="I22" s="374">
        <v>0</v>
      </c>
      <c r="J22" s="374">
        <v>0</v>
      </c>
      <c r="K22" s="378">
        <v>0</v>
      </c>
      <c r="L22" s="35"/>
    </row>
    <row r="23" spans="2:12">
      <c r="B23" s="364" t="s">
        <v>351</v>
      </c>
      <c r="C23" s="153" t="s">
        <v>127</v>
      </c>
      <c r="D23" s="342">
        <v>0</v>
      </c>
      <c r="E23" s="374">
        <v>0</v>
      </c>
      <c r="F23" s="374">
        <v>0</v>
      </c>
      <c r="G23" s="374">
        <v>0</v>
      </c>
      <c r="H23" s="374">
        <v>0</v>
      </c>
      <c r="I23" s="374">
        <v>0</v>
      </c>
      <c r="J23" s="374">
        <v>0</v>
      </c>
      <c r="K23" s="378">
        <v>0</v>
      </c>
      <c r="L23" s="35"/>
    </row>
    <row r="24" spans="2:12">
      <c r="B24" s="364" t="s">
        <v>352</v>
      </c>
      <c r="C24" s="153" t="s">
        <v>127</v>
      </c>
      <c r="D24" s="342">
        <v>0</v>
      </c>
      <c r="E24" s="374">
        <v>0</v>
      </c>
      <c r="F24" s="374">
        <v>0</v>
      </c>
      <c r="G24" s="374">
        <v>0</v>
      </c>
      <c r="H24" s="374">
        <v>0</v>
      </c>
      <c r="I24" s="374">
        <v>0</v>
      </c>
      <c r="J24" s="374">
        <v>0</v>
      </c>
      <c r="K24" s="378">
        <v>0</v>
      </c>
      <c r="L24" s="35"/>
    </row>
    <row r="25" spans="2:12">
      <c r="B25" s="364" t="s">
        <v>353</v>
      </c>
      <c r="C25" s="153" t="s">
        <v>127</v>
      </c>
      <c r="D25" s="342">
        <v>0</v>
      </c>
      <c r="E25" s="374">
        <v>0</v>
      </c>
      <c r="F25" s="374">
        <v>0</v>
      </c>
      <c r="G25" s="374">
        <v>0</v>
      </c>
      <c r="H25" s="374">
        <v>0</v>
      </c>
      <c r="I25" s="374">
        <v>0</v>
      </c>
      <c r="J25" s="374">
        <v>0</v>
      </c>
      <c r="K25" s="378">
        <v>0</v>
      </c>
      <c r="L25" s="35"/>
    </row>
    <row r="26" spans="2:12">
      <c r="B26" s="364" t="s">
        <v>354</v>
      </c>
      <c r="C26" s="153" t="s">
        <v>127</v>
      </c>
      <c r="D26" s="342">
        <v>0</v>
      </c>
      <c r="E26" s="374">
        <v>0</v>
      </c>
      <c r="F26" s="374">
        <v>0</v>
      </c>
      <c r="G26" s="374">
        <v>0</v>
      </c>
      <c r="H26" s="374">
        <v>0</v>
      </c>
      <c r="I26" s="374">
        <v>0</v>
      </c>
      <c r="J26" s="374">
        <v>0</v>
      </c>
      <c r="K26" s="378">
        <v>0</v>
      </c>
      <c r="L26" s="35"/>
    </row>
    <row r="27" spans="2:12">
      <c r="B27" s="364" t="s">
        <v>355</v>
      </c>
      <c r="C27" s="153" t="s">
        <v>127</v>
      </c>
      <c r="D27" s="375">
        <v>0</v>
      </c>
      <c r="E27" s="376">
        <v>0</v>
      </c>
      <c r="F27" s="376">
        <v>0</v>
      </c>
      <c r="G27" s="376">
        <v>0</v>
      </c>
      <c r="H27" s="376">
        <v>0</v>
      </c>
      <c r="I27" s="376">
        <v>0</v>
      </c>
      <c r="J27" s="376">
        <v>0</v>
      </c>
      <c r="K27" s="379">
        <v>0</v>
      </c>
      <c r="L27" s="35"/>
    </row>
    <row r="28" spans="2:12">
      <c r="B28" s="13" t="s">
        <v>19</v>
      </c>
      <c r="C28" s="153" t="s">
        <v>127</v>
      </c>
      <c r="D28" s="143">
        <f t="shared" ref="D28:K28" si="1">SUM(D8,D11:D27)</f>
        <v>46.491330000000005</v>
      </c>
      <c r="E28" s="144">
        <f t="shared" si="1"/>
        <v>48.481030000000018</v>
      </c>
      <c r="F28" s="144">
        <f t="shared" si="1"/>
        <v>49.577030000000008</v>
      </c>
      <c r="G28" s="144">
        <f t="shared" si="1"/>
        <v>49.160000000000004</v>
      </c>
      <c r="H28" s="144">
        <f t="shared" si="1"/>
        <v>48.120999999999995</v>
      </c>
      <c r="I28" s="144">
        <f t="shared" si="1"/>
        <v>38.274999999999999</v>
      </c>
      <c r="J28" s="144">
        <f t="shared" si="1"/>
        <v>38.44</v>
      </c>
      <c r="K28" s="145">
        <f t="shared" si="1"/>
        <v>34.090000000000003</v>
      </c>
      <c r="L28" s="35"/>
    </row>
    <row r="29" spans="2:12">
      <c r="B29" s="365" t="s">
        <v>533</v>
      </c>
      <c r="C29" s="153" t="s">
        <v>127</v>
      </c>
      <c r="D29" s="382"/>
      <c r="E29" s="383"/>
      <c r="F29" s="383"/>
      <c r="G29" s="677"/>
      <c r="H29" s="677"/>
      <c r="I29" s="677"/>
      <c r="J29" s="677">
        <v>1.1909999999999998</v>
      </c>
      <c r="K29" s="677">
        <v>2.5590000000000002</v>
      </c>
      <c r="L29" s="35"/>
    </row>
    <row r="30" spans="2:12">
      <c r="B30" s="341" t="s">
        <v>302</v>
      </c>
      <c r="C30" s="153" t="s">
        <v>127</v>
      </c>
      <c r="D30" s="143">
        <f>SUM(D28:D29)</f>
        <v>46.491330000000005</v>
      </c>
      <c r="E30" s="144">
        <f t="shared" ref="E30:K30" si="2">SUM(E28:E29)</f>
        <v>48.481030000000018</v>
      </c>
      <c r="F30" s="144">
        <f t="shared" si="2"/>
        <v>49.577030000000008</v>
      </c>
      <c r="G30" s="144">
        <f t="shared" si="2"/>
        <v>49.160000000000004</v>
      </c>
      <c r="H30" s="144">
        <f t="shared" si="2"/>
        <v>48.120999999999995</v>
      </c>
      <c r="I30" s="144">
        <f t="shared" si="2"/>
        <v>38.274999999999999</v>
      </c>
      <c r="J30" s="144">
        <f t="shared" si="2"/>
        <v>39.631</v>
      </c>
      <c r="K30" s="145">
        <f t="shared" si="2"/>
        <v>36.649000000000001</v>
      </c>
    </row>
    <row r="31" spans="2:12">
      <c r="B31" s="214" t="s">
        <v>21</v>
      </c>
      <c r="C31" s="153" t="s">
        <v>127</v>
      </c>
      <c r="D31" s="582">
        <v>47.188330000000008</v>
      </c>
      <c r="E31" s="583">
        <v>48.984030000000018</v>
      </c>
      <c r="F31" s="583">
        <v>50.21003000000001</v>
      </c>
      <c r="G31" s="583">
        <v>50.341000000000001</v>
      </c>
      <c r="H31" s="583">
        <v>49.69</v>
      </c>
      <c r="I31" s="583">
        <v>38.469000000000001</v>
      </c>
      <c r="J31" s="583">
        <v>39.749000000000002</v>
      </c>
      <c r="K31" s="678">
        <v>36.715000000000003</v>
      </c>
    </row>
    <row r="32" spans="2:12">
      <c r="B32" s="214" t="s">
        <v>469</v>
      </c>
      <c r="C32" s="153" t="s">
        <v>127</v>
      </c>
      <c r="D32" s="586">
        <v>-0.69699999999999984</v>
      </c>
      <c r="E32" s="587">
        <v>-0.503</v>
      </c>
      <c r="F32" s="587">
        <v>-0.63300000000000001</v>
      </c>
      <c r="G32" s="587">
        <v>-1.181</v>
      </c>
      <c r="H32" s="587">
        <v>-1.569</v>
      </c>
      <c r="I32" s="587">
        <v>-0.128</v>
      </c>
      <c r="J32" s="587">
        <v>-0.11799999999999999</v>
      </c>
      <c r="K32" s="679">
        <v>-6.6000000000000003E-2</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532</v>
      </c>
      <c r="C35" s="153" t="s">
        <v>127</v>
      </c>
      <c r="D35" s="582">
        <v>0</v>
      </c>
      <c r="E35" s="583">
        <v>0</v>
      </c>
      <c r="F35" s="583">
        <v>0</v>
      </c>
      <c r="G35" s="583">
        <v>0</v>
      </c>
      <c r="H35" s="583">
        <v>0</v>
      </c>
      <c r="I35" s="583">
        <v>0</v>
      </c>
      <c r="J35" s="583">
        <v>0</v>
      </c>
      <c r="K35" s="678">
        <v>0</v>
      </c>
    </row>
    <row r="36" spans="2:14">
      <c r="D36" s="23"/>
      <c r="E36" s="23"/>
      <c r="F36" s="23"/>
      <c r="G36" s="23"/>
      <c r="H36" s="23"/>
      <c r="I36" s="23"/>
      <c r="J36" s="23"/>
      <c r="K36" s="23"/>
    </row>
    <row r="37" spans="2:14">
      <c r="B37" s="214" t="s">
        <v>82</v>
      </c>
      <c r="C37" s="153" t="s">
        <v>127</v>
      </c>
      <c r="D37" s="867">
        <v>8.6493710576305833</v>
      </c>
      <c r="E37" s="867">
        <v>17.807321928975966</v>
      </c>
      <c r="F37" s="867">
        <v>30.792541812583089</v>
      </c>
      <c r="G37" s="867">
        <v>25.352350604565739</v>
      </c>
      <c r="H37" s="867">
        <v>22.65277380801103</v>
      </c>
      <c r="I37" s="867">
        <v>11.455152386785088</v>
      </c>
      <c r="J37" s="867">
        <v>26.317096999999968</v>
      </c>
      <c r="K37" s="867">
        <v>31.349625000000056</v>
      </c>
      <c r="N37" s="321"/>
    </row>
    <row r="38" spans="2:14" s="31" customFormat="1">
      <c r="B38" s="213"/>
      <c r="C38" s="821"/>
      <c r="D38" s="823"/>
      <c r="E38" s="823"/>
      <c r="F38" s="823"/>
      <c r="G38" s="823"/>
      <c r="H38" s="823"/>
      <c r="I38" s="823"/>
      <c r="J38" s="823"/>
      <c r="K38" s="823"/>
      <c r="L38"/>
      <c r="M38"/>
      <c r="N38" s="822"/>
    </row>
    <row r="39" spans="2:14">
      <c r="B39" s="214" t="s">
        <v>483</v>
      </c>
      <c r="C39" s="153" t="s">
        <v>127</v>
      </c>
      <c r="D39" s="103">
        <f t="shared" ref="D39:K39" si="3">D30-D37</f>
        <v>37.841958942369423</v>
      </c>
      <c r="E39" s="103">
        <f t="shared" si="3"/>
        <v>30.673708071024052</v>
      </c>
      <c r="F39" s="103">
        <f t="shared" si="3"/>
        <v>18.784488187416919</v>
      </c>
      <c r="G39" s="103">
        <f t="shared" si="3"/>
        <v>23.807649395434265</v>
      </c>
      <c r="H39" s="103">
        <f t="shared" si="3"/>
        <v>25.468226191988965</v>
      </c>
      <c r="I39" s="103">
        <f t="shared" si="3"/>
        <v>26.819847613214911</v>
      </c>
      <c r="J39" s="103">
        <f t="shared" si="3"/>
        <v>13.313903000000032</v>
      </c>
      <c r="K39" s="103">
        <f t="shared" si="3"/>
        <v>5.2993749999999444</v>
      </c>
    </row>
    <row r="40" spans="2:14">
      <c r="B40" s="214"/>
      <c r="C40" s="153"/>
      <c r="D40" s="153"/>
      <c r="E40" s="153"/>
      <c r="F40" s="153"/>
      <c r="G40" s="153"/>
      <c r="H40" s="153"/>
      <c r="I40" s="153"/>
      <c r="J40" s="153"/>
      <c r="K40" s="153"/>
      <c r="L40" s="153"/>
      <c r="N40" s="321"/>
    </row>
    <row r="41" spans="2:14">
      <c r="B41" s="844" t="s">
        <v>376</v>
      </c>
      <c r="C41" s="153" t="s">
        <v>126</v>
      </c>
      <c r="D41" s="500">
        <f>Data!C34</f>
        <v>1.0603167467048125</v>
      </c>
      <c r="E41" s="500">
        <f>Data!D34</f>
        <v>1.0830366813119445</v>
      </c>
      <c r="F41" s="500">
        <f>Data!E34</f>
        <v>1.1235639113109226</v>
      </c>
      <c r="G41" s="500">
        <f>Data!F34</f>
        <v>1.1578951670583426</v>
      </c>
      <c r="H41" s="500">
        <f>Data!G34</f>
        <v>1.1878696229692449</v>
      </c>
      <c r="I41" s="500">
        <f>Data!H34</f>
        <v>1.2022764892203943</v>
      </c>
      <c r="J41" s="500">
        <f>Data!I34</f>
        <v>1.2341368161847346</v>
      </c>
      <c r="K41" s="500">
        <f>Data!J34</f>
        <v>1.2720865232824152</v>
      </c>
      <c r="L41" s="153"/>
      <c r="N41" s="321"/>
    </row>
    <row r="42" spans="2:14">
      <c r="L42" s="156"/>
      <c r="M42" s="156"/>
      <c r="N42" s="156"/>
    </row>
    <row r="43" spans="2:14">
      <c r="B43" s="832" t="s">
        <v>432</v>
      </c>
      <c r="C43" s="157" t="str">
        <f>'RFPR cover'!$C$14</f>
        <v>£m 12/13</v>
      </c>
      <c r="D43" s="146">
        <f t="shared" ref="D43:K43" si="4">D39/D41</f>
        <v>35.689296674764734</v>
      </c>
      <c r="E43" s="147">
        <f t="shared" si="4"/>
        <v>28.321947539087251</v>
      </c>
      <c r="F43" s="147">
        <f t="shared" si="4"/>
        <v>16.718664597815398</v>
      </c>
      <c r="G43" s="147">
        <f t="shared" si="4"/>
        <v>20.561144111101271</v>
      </c>
      <c r="H43" s="147">
        <f t="shared" si="4"/>
        <v>21.440253795132499</v>
      </c>
      <c r="I43" s="147">
        <f t="shared" si="4"/>
        <v>22.307553922647198</v>
      </c>
      <c r="J43" s="147">
        <f t="shared" si="4"/>
        <v>10.788028381779602</v>
      </c>
      <c r="K43" s="148">
        <f t="shared" si="4"/>
        <v>4.1658919444612597</v>
      </c>
      <c r="L43" s="685">
        <f>SUM(D43:INDEX(D43:K43,0,MATCH('RFPR cover'!$C$7,$D$6:$K$6,0)))</f>
        <v>145.03886064054834</v>
      </c>
      <c r="M43" s="686">
        <f>SUM(D43:K43)</f>
        <v>159.99278096678921</v>
      </c>
    </row>
    <row r="44" spans="2:14">
      <c r="B44" s="214"/>
      <c r="C44" s="66"/>
      <c r="D44" s="804"/>
      <c r="E44" s="804"/>
      <c r="F44" s="804"/>
      <c r="G44" s="804"/>
      <c r="H44" s="804"/>
      <c r="I44" s="804"/>
      <c r="J44" s="804"/>
      <c r="K44" s="804"/>
      <c r="L44" s="827"/>
      <c r="M44" s="827"/>
    </row>
    <row r="45" spans="2:14">
      <c r="B45" s="832" t="s">
        <v>520</v>
      </c>
      <c r="C45" s="153"/>
      <c r="D45" s="804"/>
      <c r="E45" s="804"/>
      <c r="F45" s="804"/>
      <c r="G45" s="804"/>
      <c r="H45" s="804"/>
      <c r="I45" s="804"/>
      <c r="J45" s="804"/>
      <c r="K45" s="804"/>
      <c r="L45" s="827"/>
      <c r="M45" s="827"/>
    </row>
    <row r="46" spans="2:14">
      <c r="B46" s="364" t="s">
        <v>504</v>
      </c>
      <c r="C46" s="153" t="s">
        <v>127</v>
      </c>
      <c r="D46" s="866">
        <v>0.96299999999999997</v>
      </c>
      <c r="E46" s="866">
        <v>0.78500000000000003</v>
      </c>
      <c r="F46" s="866">
        <v>0.80100000000000005</v>
      </c>
      <c r="G46" s="866">
        <v>0.81700000000000006</v>
      </c>
      <c r="H46" s="866">
        <v>0.82099999999999995</v>
      </c>
      <c r="I46" s="866">
        <v>0.73199999999999998</v>
      </c>
      <c r="J46" s="866">
        <v>0.67399999999999949</v>
      </c>
      <c r="K46" s="866">
        <v>0.67500000000000071</v>
      </c>
      <c r="L46" s="685">
        <f>SUM(D46:INDEX(D46:K46,0,MATCH('RFPR cover'!$C$7,$D$6:$K$6,0)))</f>
        <v>4.9190000000000005</v>
      </c>
      <c r="M46" s="685">
        <f>SUM(D46:K46)</f>
        <v>6.2680000000000007</v>
      </c>
    </row>
    <row r="47" spans="2:14">
      <c r="B47" s="364" t="s">
        <v>534</v>
      </c>
      <c r="C47" s="153" t="s">
        <v>127</v>
      </c>
      <c r="D47" s="382"/>
      <c r="E47" s="383"/>
      <c r="F47" s="383"/>
      <c r="G47" s="677"/>
      <c r="H47" s="677"/>
      <c r="I47" s="677">
        <v>0</v>
      </c>
      <c r="J47" s="677">
        <v>5.2999999999999999E-2</v>
      </c>
      <c r="K47" s="677">
        <v>7.6999999999999999E-2</v>
      </c>
      <c r="L47" s="685">
        <f>SUM(D47:INDEX(D47:K47,0,MATCH('RFPR cover'!$C$7,$D$6:$K$6,0)))</f>
        <v>0</v>
      </c>
      <c r="M47" s="685">
        <f>SUM(D47:K47)</f>
        <v>0.13</v>
      </c>
    </row>
    <row r="48" spans="2:14">
      <c r="B48" s="364" t="s">
        <v>523</v>
      </c>
      <c r="C48" s="153" t="s">
        <v>127</v>
      </c>
      <c r="D48" s="866">
        <v>0</v>
      </c>
      <c r="E48" s="866">
        <v>0</v>
      </c>
      <c r="F48" s="866">
        <v>0</v>
      </c>
      <c r="G48" s="866">
        <v>0</v>
      </c>
      <c r="H48" s="866">
        <v>0</v>
      </c>
      <c r="I48" s="866">
        <v>0</v>
      </c>
      <c r="J48" s="866">
        <v>0</v>
      </c>
      <c r="K48" s="866">
        <v>0</v>
      </c>
      <c r="L48" s="685">
        <f>SUM(D48:INDEX(D48:K48,0,MATCH('RFPR cover'!$C$7,$D$6:$K$6,0)))</f>
        <v>0</v>
      </c>
      <c r="M48" s="685">
        <f t="shared" ref="M48:M55" si="5">SUM(D48:K48)</f>
        <v>0</v>
      </c>
    </row>
    <row r="49" spans="1:14">
      <c r="B49" s="364" t="s">
        <v>524</v>
      </c>
      <c r="C49" s="153" t="s">
        <v>127</v>
      </c>
      <c r="D49" s="866">
        <v>0</v>
      </c>
      <c r="E49" s="866">
        <v>0</v>
      </c>
      <c r="F49" s="866">
        <v>0</v>
      </c>
      <c r="G49" s="866">
        <v>0</v>
      </c>
      <c r="H49" s="866">
        <v>0</v>
      </c>
      <c r="I49" s="866">
        <v>0</v>
      </c>
      <c r="J49" s="866">
        <v>0</v>
      </c>
      <c r="K49" s="866">
        <v>0</v>
      </c>
      <c r="L49" s="685">
        <f>SUM(D49:INDEX(D49:K49,0,MATCH('RFPR cover'!$C$7,$D$6:$K$6,0)))</f>
        <v>0</v>
      </c>
      <c r="M49" s="685">
        <f t="shared" si="5"/>
        <v>0</v>
      </c>
    </row>
    <row r="50" spans="1:14">
      <c r="B50" s="364" t="s">
        <v>505</v>
      </c>
      <c r="C50" s="153" t="s">
        <v>127</v>
      </c>
      <c r="D50" s="866">
        <v>0</v>
      </c>
      <c r="E50" s="866">
        <v>0</v>
      </c>
      <c r="F50" s="866">
        <v>0</v>
      </c>
      <c r="G50" s="866">
        <v>0</v>
      </c>
      <c r="H50" s="866">
        <v>0</v>
      </c>
      <c r="I50" s="866">
        <v>0</v>
      </c>
      <c r="J50" s="866">
        <v>0</v>
      </c>
      <c r="K50" s="866">
        <v>0</v>
      </c>
      <c r="L50" s="685">
        <f>SUM(D50:INDEX(D50:K50,0,MATCH('RFPR cover'!$C$7,$D$6:$K$6,0)))</f>
        <v>0</v>
      </c>
      <c r="M50" s="685">
        <f t="shared" si="5"/>
        <v>0</v>
      </c>
    </row>
    <row r="51" spans="1:14">
      <c r="B51" s="364" t="s">
        <v>505</v>
      </c>
      <c r="C51" s="153" t="s">
        <v>127</v>
      </c>
      <c r="D51" s="866">
        <v>0</v>
      </c>
      <c r="E51" s="866">
        <v>0</v>
      </c>
      <c r="F51" s="866">
        <v>0</v>
      </c>
      <c r="G51" s="866">
        <v>0</v>
      </c>
      <c r="H51" s="866">
        <v>0</v>
      </c>
      <c r="I51" s="866">
        <v>0</v>
      </c>
      <c r="J51" s="866">
        <v>0</v>
      </c>
      <c r="K51" s="866">
        <v>0</v>
      </c>
      <c r="L51" s="685">
        <f>SUM(D51:INDEX(D51:K51,0,MATCH('RFPR cover'!$C$7,$D$6:$K$6,0)))</f>
        <v>0</v>
      </c>
      <c r="M51" s="685">
        <f t="shared" si="5"/>
        <v>0</v>
      </c>
    </row>
    <row r="52" spans="1:14">
      <c r="B52" s="364" t="s">
        <v>505</v>
      </c>
      <c r="C52" s="153" t="s">
        <v>127</v>
      </c>
      <c r="D52" s="866">
        <v>0</v>
      </c>
      <c r="E52" s="866">
        <v>0</v>
      </c>
      <c r="F52" s="866">
        <v>0</v>
      </c>
      <c r="G52" s="866">
        <v>0</v>
      </c>
      <c r="H52" s="866">
        <v>0</v>
      </c>
      <c r="I52" s="866">
        <v>0</v>
      </c>
      <c r="J52" s="866">
        <v>0</v>
      </c>
      <c r="K52" s="866">
        <v>0</v>
      </c>
      <c r="L52" s="685">
        <f>SUM(D52:INDEX(D52:K52,0,MATCH('RFPR cover'!$C$7,$D$6:$K$6,0)))</f>
        <v>0</v>
      </c>
      <c r="M52" s="685">
        <f t="shared" si="5"/>
        <v>0</v>
      </c>
    </row>
    <row r="53" spans="1:14">
      <c r="B53" s="364" t="s">
        <v>505</v>
      </c>
      <c r="C53" s="153" t="s">
        <v>127</v>
      </c>
      <c r="D53" s="866">
        <v>0</v>
      </c>
      <c r="E53" s="866">
        <v>0</v>
      </c>
      <c r="F53" s="866">
        <v>0</v>
      </c>
      <c r="G53" s="866">
        <v>0</v>
      </c>
      <c r="H53" s="866">
        <v>0</v>
      </c>
      <c r="I53" s="866">
        <v>0</v>
      </c>
      <c r="J53" s="866">
        <v>0</v>
      </c>
      <c r="K53" s="866">
        <v>0</v>
      </c>
      <c r="L53" s="685">
        <f>SUM(D53:INDEX(D53:K53,0,MATCH('RFPR cover'!$C$7,$D$6:$K$6,0)))</f>
        <v>0</v>
      </c>
      <c r="M53" s="685">
        <f t="shared" si="5"/>
        <v>0</v>
      </c>
    </row>
    <row r="54" spans="1:14" s="854" customFormat="1">
      <c r="B54" s="853"/>
      <c r="C54" s="855"/>
      <c r="D54" s="856"/>
      <c r="E54" s="856"/>
      <c r="F54" s="856"/>
      <c r="G54" s="856"/>
      <c r="H54" s="856"/>
      <c r="I54" s="856"/>
      <c r="J54" s="856"/>
      <c r="K54" s="856"/>
      <c r="L54" s="857"/>
      <c r="M54" s="857"/>
    </row>
    <row r="55" spans="1:14">
      <c r="B55" s="848" t="s">
        <v>521</v>
      </c>
      <c r="C55" s="236" t="s">
        <v>127</v>
      </c>
      <c r="D55" s="146">
        <f>SUM(D46:D53)</f>
        <v>0.96299999999999997</v>
      </c>
      <c r="E55" s="146">
        <f t="shared" ref="E55:K55" si="6">SUM(E46:E53)</f>
        <v>0.78500000000000003</v>
      </c>
      <c r="F55" s="146">
        <f t="shared" si="6"/>
        <v>0.80100000000000005</v>
      </c>
      <c r="G55" s="146">
        <f t="shared" si="6"/>
        <v>0.81700000000000006</v>
      </c>
      <c r="H55" s="146">
        <f t="shared" si="6"/>
        <v>0.82099999999999995</v>
      </c>
      <c r="I55" s="146">
        <f t="shared" si="6"/>
        <v>0.73199999999999998</v>
      </c>
      <c r="J55" s="146">
        <f t="shared" si="6"/>
        <v>0.72699999999999954</v>
      </c>
      <c r="K55" s="146">
        <f t="shared" si="6"/>
        <v>0.75200000000000067</v>
      </c>
      <c r="L55" s="685">
        <f>SUM(D55:INDEX(D55:K55,0,MATCH('RFPR cover'!$C$7,$D$6:$K$6,0)))</f>
        <v>4.9190000000000005</v>
      </c>
      <c r="M55" s="686">
        <f t="shared" si="5"/>
        <v>6.3980000000000006</v>
      </c>
    </row>
    <row r="56" spans="1:14">
      <c r="B56" s="848" t="s">
        <v>521</v>
      </c>
      <c r="C56" s="157" t="str">
        <f>'RFPR cover'!$C$14</f>
        <v>£m 12/13</v>
      </c>
      <c r="D56" s="146">
        <f>D55/D41</f>
        <v>0.90821917412202768</v>
      </c>
      <c r="E56" s="146">
        <f t="shared" ref="E56:K56" si="7">E55/E41</f>
        <v>0.72481386230527711</v>
      </c>
      <c r="F56" s="146">
        <f t="shared" si="7"/>
        <v>0.71291004627002497</v>
      </c>
      <c r="G56" s="146">
        <f t="shared" si="7"/>
        <v>0.70559064692843132</v>
      </c>
      <c r="H56" s="146">
        <f t="shared" si="7"/>
        <v>0.69115329167842221</v>
      </c>
      <c r="I56" s="146">
        <f t="shared" si="7"/>
        <v>0.60884497581305863</v>
      </c>
      <c r="J56" s="146">
        <f t="shared" si="7"/>
        <v>0.58907569279675143</v>
      </c>
      <c r="K56" s="146">
        <f t="shared" si="7"/>
        <v>0.59115475735061263</v>
      </c>
      <c r="L56" s="685">
        <f>SUM(D56:INDEX(D56:K56,0,MATCH('RFPR cover'!$C$7,$D$6:$K$6,0)))</f>
        <v>4.3515319971172417</v>
      </c>
      <c r="M56" s="686">
        <f>SUM(D56:K56)</f>
        <v>5.5317624472646063</v>
      </c>
    </row>
    <row r="57" spans="1:14">
      <c r="B57" s="214"/>
      <c r="C57" s="66"/>
      <c r="D57" s="804"/>
      <c r="E57" s="804"/>
      <c r="F57" s="804"/>
      <c r="G57" s="804"/>
      <c r="H57" s="804"/>
      <c r="I57" s="804"/>
      <c r="J57" s="804"/>
      <c r="K57" s="804"/>
      <c r="L57" s="827"/>
      <c r="M57" s="827"/>
    </row>
    <row r="58" spans="1:14" s="2" customFormat="1">
      <c r="A58" s="1"/>
    </row>
    <row r="59" spans="1:14" s="2" customFormat="1">
      <c r="A59" s="1"/>
      <c r="B59" s="828" t="s">
        <v>442</v>
      </c>
      <c r="C59" s="81"/>
      <c r="D59" s="81"/>
      <c r="E59" s="81"/>
      <c r="F59" s="81"/>
      <c r="G59" s="81"/>
      <c r="H59" s="81"/>
      <c r="I59" s="81"/>
      <c r="J59" s="81"/>
      <c r="K59" s="81"/>
      <c r="L59" s="81"/>
      <c r="M59" s="81"/>
      <c r="N59" s="81"/>
    </row>
    <row r="60" spans="1:14" s="2" customFormat="1">
      <c r="A60" s="1"/>
      <c r="B60" s="363" t="s">
        <v>443</v>
      </c>
    </row>
    <row r="61" spans="1:14" s="2" customFormat="1">
      <c r="A61" s="1"/>
    </row>
    <row r="62" spans="1:14" s="31" customFormat="1">
      <c r="B62" s="214" t="s">
        <v>115</v>
      </c>
      <c r="C62" s="156" t="s">
        <v>7</v>
      </c>
      <c r="D62" s="875">
        <f>'RFPR cover'!$C$12</f>
        <v>0.65</v>
      </c>
      <c r="E62" s="876">
        <f>'RFPR cover'!$C$12</f>
        <v>0.65</v>
      </c>
      <c r="F62" s="876">
        <f>'RFPR cover'!$C$12</f>
        <v>0.65</v>
      </c>
      <c r="G62" s="876">
        <f>'RFPR cover'!$C$12</f>
        <v>0.65</v>
      </c>
      <c r="H62" s="876">
        <f>'RFPR cover'!$C$12</f>
        <v>0.65</v>
      </c>
      <c r="I62" s="876">
        <f>'RFPR cover'!$C$12</f>
        <v>0.65</v>
      </c>
      <c r="J62" s="876">
        <f>'RFPR cover'!$C$12</f>
        <v>0.65</v>
      </c>
      <c r="K62" s="877">
        <f>'RFPR cover'!$C$12</f>
        <v>0.65</v>
      </c>
      <c r="N62" s="822"/>
    </row>
    <row r="63" spans="1:14" s="31" customFormat="1">
      <c r="B63" s="214" t="s">
        <v>405</v>
      </c>
      <c r="C63" s="156" t="s">
        <v>7</v>
      </c>
      <c r="D63" s="876">
        <f>'R8 - Net Debt'!D64</f>
        <v>0.50794083324969319</v>
      </c>
      <c r="E63" s="876">
        <f>'R8 - Net Debt'!E64</f>
        <v>0.49891916750552673</v>
      </c>
      <c r="F63" s="876">
        <f>'R8 - Net Debt'!F64</f>
        <v>0.4760837137079168</v>
      </c>
      <c r="G63" s="876">
        <f>'R8 - Net Debt'!G64</f>
        <v>0.46573377054982462</v>
      </c>
      <c r="H63" s="876">
        <f>'R8 - Net Debt'!H64</f>
        <v>0.47128119606880492</v>
      </c>
      <c r="I63" s="876">
        <f>'R8 - Net Debt'!I64</f>
        <v>0.48675890031815827</v>
      </c>
      <c r="J63" s="876">
        <f>'R8 - Net Debt'!J64</f>
        <v>0.49142908371824201</v>
      </c>
      <c r="K63" s="877">
        <f>'R8 - Net Debt'!K64</f>
        <v>0.48296799276926078</v>
      </c>
      <c r="N63" s="822"/>
    </row>
    <row r="64" spans="1:14" s="31" customFormat="1">
      <c r="B64" s="214"/>
      <c r="C64" s="156"/>
      <c r="D64" s="156"/>
      <c r="E64" s="156"/>
      <c r="F64" s="156"/>
      <c r="G64" s="156"/>
      <c r="H64" s="156"/>
      <c r="I64" s="156"/>
      <c r="J64" s="156"/>
      <c r="K64" s="156"/>
      <c r="N64" s="822"/>
    </row>
    <row r="65" spans="2:15">
      <c r="B65" s="214" t="s">
        <v>432</v>
      </c>
      <c r="C65" s="153" t="s">
        <v>127</v>
      </c>
      <c r="D65" s="96">
        <f t="shared" ref="D65:K65" si="8">D39</f>
        <v>37.841958942369423</v>
      </c>
      <c r="E65" s="97">
        <f t="shared" si="8"/>
        <v>30.673708071024052</v>
      </c>
      <c r="F65" s="97">
        <f t="shared" si="8"/>
        <v>18.784488187416919</v>
      </c>
      <c r="G65" s="97">
        <f t="shared" si="8"/>
        <v>23.807649395434265</v>
      </c>
      <c r="H65" s="97">
        <f t="shared" si="8"/>
        <v>25.468226191988965</v>
      </c>
      <c r="I65" s="97">
        <f t="shared" si="8"/>
        <v>26.819847613214911</v>
      </c>
      <c r="J65" s="97">
        <f t="shared" si="8"/>
        <v>13.313903000000032</v>
      </c>
      <c r="K65" s="98">
        <f t="shared" si="8"/>
        <v>5.2993749999999444</v>
      </c>
      <c r="L65" s="31"/>
      <c r="M65" s="31"/>
    </row>
    <row r="66" spans="2:15" s="31" customFormat="1">
      <c r="B66" s="214" t="s">
        <v>450</v>
      </c>
      <c r="C66" s="153" t="s">
        <v>127</v>
      </c>
      <c r="D66" s="96">
        <f>((D62-D63)/D63)*D65</f>
        <v>10.583510526529556</v>
      </c>
      <c r="E66" s="96">
        <f t="shared" ref="E66:K66" si="9">((E62-E63)/E63)*E65</f>
        <v>9.2884973215855116</v>
      </c>
      <c r="F66" s="96">
        <f t="shared" si="9"/>
        <v>6.8620881819480957</v>
      </c>
      <c r="G66" s="96">
        <f t="shared" si="9"/>
        <v>9.4194281445156669</v>
      </c>
      <c r="H66" s="96">
        <f t="shared" si="9"/>
        <v>9.6580363512251886</v>
      </c>
      <c r="I66" s="96">
        <f t="shared" si="9"/>
        <v>8.994394175060755</v>
      </c>
      <c r="J66" s="96">
        <f t="shared" si="9"/>
        <v>4.296037552402769</v>
      </c>
      <c r="K66" s="96">
        <f t="shared" si="9"/>
        <v>1.8327617079612137</v>
      </c>
      <c r="N66" s="822"/>
    </row>
    <row r="67" spans="2:15">
      <c r="B67" s="214" t="s">
        <v>449</v>
      </c>
      <c r="C67" s="153" t="s">
        <v>127</v>
      </c>
      <c r="D67" s="103">
        <f>SUM(D65:D66)</f>
        <v>48.425469468898982</v>
      </c>
      <c r="E67" s="104">
        <f t="shared" ref="E67:K67" si="10">SUM(E65:E66)</f>
        <v>39.962205392609562</v>
      </c>
      <c r="F67" s="104">
        <f t="shared" si="10"/>
        <v>25.646576369365015</v>
      </c>
      <c r="G67" s="104">
        <f t="shared" si="10"/>
        <v>33.227077539949931</v>
      </c>
      <c r="H67" s="104">
        <f t="shared" si="10"/>
        <v>35.126262543214153</v>
      </c>
      <c r="I67" s="104">
        <f t="shared" si="10"/>
        <v>35.814241788275666</v>
      </c>
      <c r="J67" s="104">
        <f t="shared" si="10"/>
        <v>17.609940552402801</v>
      </c>
      <c r="K67" s="105">
        <f t="shared" si="10"/>
        <v>7.1321367079611582</v>
      </c>
      <c r="L67" s="31"/>
      <c r="M67" s="31"/>
    </row>
    <row r="68" spans="2:15">
      <c r="B68" s="214"/>
      <c r="C68" s="153"/>
      <c r="D68" s="153"/>
      <c r="E68" s="153"/>
      <c r="F68" s="153"/>
      <c r="G68" s="153"/>
      <c r="H68" s="153"/>
      <c r="I68" s="153"/>
      <c r="J68" s="153"/>
      <c r="K68" s="153"/>
      <c r="L68" s="153"/>
      <c r="M68" s="153"/>
      <c r="N68" s="153"/>
      <c r="O68" s="153"/>
    </row>
    <row r="69" spans="2:15">
      <c r="B69" s="832" t="s">
        <v>449</v>
      </c>
      <c r="C69" s="157" t="str">
        <f>'RFPR cover'!$C$14</f>
        <v>£m 12/13</v>
      </c>
      <c r="D69" s="146">
        <f t="shared" ref="D69:K69" si="11">D67/D41</f>
        <v>45.670757930960434</v>
      </c>
      <c r="E69" s="147">
        <f t="shared" si="11"/>
        <v>36.898293550132621</v>
      </c>
      <c r="F69" s="147">
        <f t="shared" si="11"/>
        <v>22.82609481417196</v>
      </c>
      <c r="G69" s="147">
        <f t="shared" si="11"/>
        <v>28.696101758818141</v>
      </c>
      <c r="H69" s="147">
        <f t="shared" si="11"/>
        <v>29.570806310722205</v>
      </c>
      <c r="I69" s="147">
        <f t="shared" si="11"/>
        <v>29.78869013025373</v>
      </c>
      <c r="J69" s="147">
        <f t="shared" si="11"/>
        <v>14.26903429300728</v>
      </c>
      <c r="K69" s="148">
        <f t="shared" si="11"/>
        <v>5.6066443417369314</v>
      </c>
      <c r="L69" s="685">
        <f>SUM(D69:INDEX(D69:K69,0,MATCH('RFPR cover'!$C$7,$D$6:$K$6,0)))</f>
        <v>193.45074449505913</v>
      </c>
      <c r="M69" s="686">
        <f>SUM(D69:K69)</f>
        <v>213.32642312980335</v>
      </c>
    </row>
    <row r="70" spans="2:15">
      <c r="B70" s="366" t="s">
        <v>522</v>
      </c>
      <c r="C70" s="160" t="str">
        <f>'RFPR cover'!$C$14</f>
        <v>£m 12/13</v>
      </c>
      <c r="D70" s="96">
        <f>D56*((D62-D63)/D63)+D56</f>
        <v>1.1622268274878342</v>
      </c>
      <c r="E70" s="96">
        <f t="shared" ref="E70:K70" si="12">E56*((E62-E63)/E63)+E56</f>
        <v>0.94429927968885108</v>
      </c>
      <c r="F70" s="96">
        <f t="shared" si="12"/>
        <v>0.97334043726564579</v>
      </c>
      <c r="G70" s="96">
        <f t="shared" si="12"/>
        <v>0.98475556101941564</v>
      </c>
      <c r="H70" s="96">
        <f t="shared" si="12"/>
        <v>0.95325178118370335</v>
      </c>
      <c r="I70" s="96">
        <f t="shared" si="12"/>
        <v>0.81302927182187346</v>
      </c>
      <c r="J70" s="96">
        <f t="shared" si="12"/>
        <v>0.77915453725449724</v>
      </c>
      <c r="K70" s="96">
        <f t="shared" si="12"/>
        <v>0.79560260313456199</v>
      </c>
      <c r="L70" s="681">
        <f>SUM(D70:INDEX(D70:K70,0,MATCH('RFPR cover'!$C$7,$D$6:$K$6,0)))</f>
        <v>5.8309031584673239</v>
      </c>
      <c r="M70" s="682">
        <f>SUM(D70:K70)</f>
        <v>7.4056602988563824</v>
      </c>
      <c r="N70" s="156"/>
    </row>
    <row r="72" spans="2:15">
      <c r="B72" s="824" t="s">
        <v>315</v>
      </c>
      <c r="C72" s="825"/>
      <c r="D72" s="825"/>
      <c r="E72" s="825"/>
      <c r="F72" s="825"/>
      <c r="G72" s="825"/>
      <c r="H72" s="825"/>
      <c r="I72" s="825"/>
      <c r="J72" s="825"/>
      <c r="K72" s="825"/>
      <c r="L72" s="825"/>
      <c r="M72" s="825"/>
      <c r="N72" s="825"/>
      <c r="O72" s="156"/>
    </row>
    <row r="73" spans="2:15" s="31" customFormat="1">
      <c r="B73" s="826"/>
      <c r="C73" s="66"/>
      <c r="D73" s="66"/>
      <c r="E73" s="66"/>
      <c r="F73" s="66"/>
      <c r="G73" s="66"/>
      <c r="H73" s="66"/>
      <c r="I73" s="66"/>
      <c r="J73" s="66"/>
      <c r="K73" s="66"/>
      <c r="L73" s="66"/>
      <c r="M73" s="66"/>
      <c r="N73" s="66"/>
      <c r="O73" s="66"/>
    </row>
    <row r="74" spans="2:15">
      <c r="B74" s="363" t="s">
        <v>476</v>
      </c>
      <c r="C74" s="362"/>
      <c r="D74" s="362"/>
      <c r="E74" s="362"/>
      <c r="F74" s="362"/>
      <c r="G74" s="362"/>
      <c r="H74" s="362"/>
      <c r="I74" s="362"/>
      <c r="J74" s="362"/>
      <c r="K74" s="362"/>
      <c r="L74" s="362"/>
      <c r="M74" s="362"/>
      <c r="N74" s="362"/>
      <c r="O74" s="156"/>
    </row>
    <row r="75" spans="2:15">
      <c r="B75" s="363" t="s">
        <v>344</v>
      </c>
      <c r="C75" s="362"/>
      <c r="D75" s="362"/>
      <c r="E75" s="362"/>
      <c r="F75" s="362"/>
      <c r="G75" s="362"/>
      <c r="H75" s="362"/>
      <c r="I75" s="362"/>
      <c r="J75" s="362"/>
      <c r="K75" s="362"/>
      <c r="L75" s="362"/>
      <c r="M75" s="362"/>
      <c r="N75" s="362"/>
      <c r="O75" s="156"/>
    </row>
    <row r="76" spans="2:15">
      <c r="B76" s="363" t="s">
        <v>345</v>
      </c>
      <c r="C76" s="362"/>
      <c r="D76" s="362"/>
      <c r="E76" s="362"/>
      <c r="F76" s="362"/>
      <c r="G76" s="362"/>
      <c r="H76" s="362"/>
      <c r="I76" s="362"/>
      <c r="J76" s="362"/>
      <c r="K76" s="362"/>
      <c r="L76" s="362"/>
      <c r="M76" s="362"/>
      <c r="N76" s="362"/>
      <c r="O76" s="156"/>
    </row>
    <row r="77" spans="2:15">
      <c r="B77" s="363" t="s">
        <v>528</v>
      </c>
      <c r="C77" s="362"/>
      <c r="D77" s="362"/>
      <c r="E77" s="362"/>
      <c r="F77" s="362"/>
      <c r="G77" s="362"/>
      <c r="H77" s="362"/>
      <c r="I77" s="362"/>
      <c r="J77" s="362"/>
      <c r="K77" s="362"/>
      <c r="L77" s="362"/>
      <c r="M77" s="362"/>
      <c r="N77" s="362"/>
      <c r="O77" s="156"/>
    </row>
    <row r="78" spans="2:15" s="31" customFormat="1">
      <c r="B78" s="367"/>
      <c r="C78" s="367"/>
      <c r="D78" s="367"/>
      <c r="E78" s="367"/>
      <c r="F78" s="367"/>
      <c r="G78" s="367"/>
      <c r="H78" s="367"/>
      <c r="I78" s="367"/>
      <c r="J78" s="367"/>
      <c r="K78" s="367"/>
      <c r="L78" s="367"/>
      <c r="M78" s="367"/>
      <c r="N78" s="367"/>
      <c r="O78" s="66"/>
    </row>
    <row r="79" spans="2:15">
      <c r="B79" s="366" t="s">
        <v>232</v>
      </c>
      <c r="C79" s="156" t="str">
        <f>'RFPR cover'!$C$14</f>
        <v>£m 12/13</v>
      </c>
      <c r="D79" s="593">
        <v>24.517735038700998</v>
      </c>
      <c r="E79" s="593">
        <v>23.704794041151647</v>
      </c>
      <c r="F79" s="593">
        <v>22.677763997512582</v>
      </c>
      <c r="G79" s="593">
        <v>20.936834230559796</v>
      </c>
      <c r="H79" s="593">
        <v>19.708220450545937</v>
      </c>
      <c r="I79" s="593">
        <v>18.291787129601435</v>
      </c>
      <c r="J79" s="884">
        <v>16.793350482356495</v>
      </c>
      <c r="K79" s="887"/>
      <c r="L79" s="885"/>
      <c r="M79" s="885"/>
      <c r="O79" s="66"/>
    </row>
    <row r="80" spans="2:15">
      <c r="B80" s="366" t="s">
        <v>314</v>
      </c>
      <c r="C80" s="156" t="str">
        <f>'RFPR cover'!$C$14</f>
        <v>£m 12/13</v>
      </c>
      <c r="D80" s="683">
        <f>'R9 - RAV'!D49</f>
        <v>24.517735038700994</v>
      </c>
      <c r="E80" s="684">
        <f>'R9 - RAV'!E49</f>
        <v>23.704794041151647</v>
      </c>
      <c r="F80" s="684">
        <f>'R9 - RAV'!F49</f>
        <v>22.677763997512582</v>
      </c>
      <c r="G80" s="684">
        <f>'R9 - RAV'!G49</f>
        <v>20.936834230559796</v>
      </c>
      <c r="H80" s="684">
        <f>'R9 - RAV'!H49</f>
        <v>19.708220450545937</v>
      </c>
      <c r="I80" s="684">
        <f>'R9 - RAV'!I49</f>
        <v>18.320925883428799</v>
      </c>
      <c r="J80" s="684">
        <f>'R9 - RAV'!J49</f>
        <v>16.918607852602101</v>
      </c>
      <c r="K80" s="886">
        <f>'R9 - RAV'!K49</f>
        <v>15.597631197189603</v>
      </c>
      <c r="L80" s="888">
        <f>SUM(D80:INDEX(D80:K80,0,MATCH('RFPR cover'!$C$7,$D$6:$K$6,0)))</f>
        <v>129.86627364189974</v>
      </c>
      <c r="M80" s="888">
        <f>SUM(D80:K80)</f>
        <v>162.38251269169143</v>
      </c>
      <c r="O80" s="66"/>
    </row>
    <row r="81" spans="2:15" s="31" customFormat="1">
      <c r="B81" s="829"/>
      <c r="C81" s="66"/>
      <c r="D81" s="830"/>
      <c r="E81" s="830"/>
      <c r="F81" s="830"/>
      <c r="G81" s="830"/>
      <c r="H81" s="830"/>
      <c r="I81" s="830"/>
      <c r="J81" s="830"/>
      <c r="K81" s="830"/>
      <c r="L81" s="827"/>
      <c r="M81" s="827"/>
      <c r="O81" s="66"/>
    </row>
    <row r="82" spans="2:15" s="31" customFormat="1">
      <c r="B82" s="829"/>
      <c r="C82" s="66"/>
      <c r="D82" s="830"/>
      <c r="E82" s="831"/>
      <c r="F82" s="831"/>
      <c r="G82" s="831"/>
      <c r="H82" s="831"/>
      <c r="I82" s="831"/>
      <c r="J82" s="831"/>
      <c r="K82" s="831"/>
      <c r="L82" s="827"/>
      <c r="M82" s="827"/>
      <c r="O82" s="66"/>
    </row>
    <row r="83" spans="2:15">
      <c r="B83" s="833" t="s">
        <v>433</v>
      </c>
      <c r="C83" s="825"/>
      <c r="D83" s="825"/>
      <c r="E83" s="825"/>
      <c r="F83" s="825"/>
      <c r="G83" s="825"/>
      <c r="H83" s="825"/>
      <c r="I83" s="825"/>
      <c r="J83" s="825"/>
      <c r="K83" s="825"/>
      <c r="L83" s="825"/>
      <c r="M83" s="825"/>
      <c r="N83" s="825"/>
    </row>
    <row r="84" spans="2:15">
      <c r="B84" s="366"/>
      <c r="C84" s="156"/>
      <c r="D84" s="156"/>
      <c r="E84" s="156"/>
      <c r="F84" s="156"/>
      <c r="G84" s="156"/>
      <c r="H84" s="156"/>
      <c r="I84" s="156"/>
      <c r="J84" s="156"/>
      <c r="K84" s="156"/>
      <c r="L84" s="156"/>
      <c r="M84" s="156"/>
      <c r="N84" s="156"/>
    </row>
    <row r="85" spans="2:15">
      <c r="B85" s="845" t="s">
        <v>484</v>
      </c>
      <c r="C85" s="156"/>
      <c r="D85" s="156"/>
      <c r="E85" s="156"/>
      <c r="F85" s="156"/>
      <c r="G85" s="156"/>
      <c r="H85" s="156"/>
      <c r="I85" s="156"/>
      <c r="J85" s="156"/>
      <c r="K85" s="156"/>
      <c r="L85" s="156"/>
      <c r="M85" s="156"/>
      <c r="N85" s="156"/>
    </row>
    <row r="86" spans="2:15">
      <c r="B86" s="214" t="s">
        <v>485</v>
      </c>
      <c r="C86" s="156" t="str">
        <f>'RFPR cover'!$C$14</f>
        <v>£m 12/13</v>
      </c>
      <c r="D86" s="146">
        <f>D80-D43-D56</f>
        <v>-12.079780810185767</v>
      </c>
      <c r="E86" s="146">
        <f t="shared" ref="E86:K86" si="13">E80-E43-E56</f>
        <v>-5.341967360240881</v>
      </c>
      <c r="F86" s="146">
        <f t="shared" si="13"/>
        <v>5.2461893534271589</v>
      </c>
      <c r="G86" s="146">
        <f t="shared" si="13"/>
        <v>-0.32990052746990595</v>
      </c>
      <c r="H86" s="146">
        <f t="shared" si="13"/>
        <v>-2.4231866362649837</v>
      </c>
      <c r="I86" s="146">
        <f t="shared" si="13"/>
        <v>-4.5954730150314571</v>
      </c>
      <c r="J86" s="146">
        <f t="shared" si="13"/>
        <v>5.5415037780257466</v>
      </c>
      <c r="K86" s="146">
        <f t="shared" si="13"/>
        <v>10.840584495377731</v>
      </c>
      <c r="L86" s="685">
        <f>SUM(D86:INDEX(D86:K86,0,MATCH('RFPR cover'!$C$7,$D$6:$K$6,0)))</f>
        <v>-19.524118995765832</v>
      </c>
      <c r="M86" s="686">
        <f>SUM(D86:K86)</f>
        <v>-3.1420307223623549</v>
      </c>
    </row>
    <row r="87" spans="2:15">
      <c r="B87" s="214"/>
    </row>
    <row r="88" spans="2:15">
      <c r="B88" s="214" t="s">
        <v>486</v>
      </c>
      <c r="C88" s="156" t="str">
        <f>'RFPR cover'!$C$14</f>
        <v>£m 12/13</v>
      </c>
      <c r="D88" s="146">
        <f>D80-D69-D70</f>
        <v>-22.315249719747275</v>
      </c>
      <c r="E88" s="146">
        <f t="shared" ref="E88:K88" si="14">E80-E69-E70</f>
        <v>-14.137798788669825</v>
      </c>
      <c r="F88" s="146">
        <f t="shared" si="14"/>
        <v>-1.1216712539250238</v>
      </c>
      <c r="G88" s="146">
        <f t="shared" si="14"/>
        <v>-8.7440230892777606</v>
      </c>
      <c r="H88" s="146">
        <f t="shared" si="14"/>
        <v>-10.81583764135997</v>
      </c>
      <c r="I88" s="146">
        <f t="shared" si="14"/>
        <v>-12.280793518646805</v>
      </c>
      <c r="J88" s="146">
        <f t="shared" si="14"/>
        <v>1.8704190223403232</v>
      </c>
      <c r="K88" s="146">
        <f t="shared" si="14"/>
        <v>9.1953842523181102</v>
      </c>
      <c r="L88" s="685">
        <f>SUM(D88:INDEX(D88:K88,0,MATCH('RFPR cover'!$C$7,$D$6:$K$6,0)))</f>
        <v>-69.415374011626653</v>
      </c>
      <c r="M88" s="686">
        <f>SUM(D88:K88)</f>
        <v>-58.349570736968218</v>
      </c>
    </row>
    <row r="89" spans="2:15">
      <c r="B89" s="214"/>
    </row>
    <row r="90" spans="2:15">
      <c r="B90" s="214" t="s">
        <v>487</v>
      </c>
      <c r="C90" s="156" t="str">
        <f>'RFPR cover'!$C$14</f>
        <v>£m 12/13</v>
      </c>
      <c r="D90" s="146">
        <f t="shared" ref="D90:K90" si="15">D86-D88</f>
        <v>10.235468909561508</v>
      </c>
      <c r="E90" s="146">
        <f t="shared" si="15"/>
        <v>8.7958314284289436</v>
      </c>
      <c r="F90" s="146">
        <f t="shared" si="15"/>
        <v>6.3678606073521831</v>
      </c>
      <c r="G90" s="146">
        <f t="shared" si="15"/>
        <v>8.4141225618078543</v>
      </c>
      <c r="H90" s="146">
        <f t="shared" si="15"/>
        <v>8.3926510050949865</v>
      </c>
      <c r="I90" s="146">
        <f t="shared" si="15"/>
        <v>7.6853205036153476</v>
      </c>
      <c r="J90" s="146">
        <f t="shared" si="15"/>
        <v>3.6710847556854231</v>
      </c>
      <c r="K90" s="146">
        <f t="shared" si="15"/>
        <v>1.6452002430596213</v>
      </c>
      <c r="L90" s="685">
        <f>SUM(D90:INDEX(D90:K90,0,MATCH('RFPR cover'!$C$7,$D$6:$K$6,0)))</f>
        <v>49.891255015860821</v>
      </c>
      <c r="M90" s="686">
        <f>SUM(D90:K90)</f>
        <v>55.207540014605861</v>
      </c>
    </row>
    <row r="91" spans="2:15">
      <c r="B91" s="201"/>
    </row>
  </sheetData>
  <sheetProtection password="DA3D" sheet="1" objects="1" scenarios="1"/>
  <conditionalFormatting sqref="D6:K6">
    <cfRule type="expression" dxfId="52" priority="22">
      <formula>AND(D$5="Actuals",E$5="Forecast")</formula>
    </cfRule>
  </conditionalFormatting>
  <conditionalFormatting sqref="D5:K5">
    <cfRule type="expression" dxfId="51" priority="15">
      <formula>AND(D$5="Actuals",E$5="Forecast")</formula>
    </cfRule>
  </conditionalFormatting>
  <conditionalFormatting sqref="D29:G29 I29:K29">
    <cfRule type="expression" dxfId="50" priority="13">
      <formula>D$5="Forecast"</formula>
    </cfRule>
    <cfRule type="expression" dxfId="49" priority="14">
      <formula>D$5="Actuals"</formula>
    </cfRule>
  </conditionalFormatting>
  <conditionalFormatting sqref="D47:G47">
    <cfRule type="expression" dxfId="48" priority="7">
      <formula>D$5="Forecast"</formula>
    </cfRule>
    <cfRule type="expression" dxfId="47" priority="8">
      <formula>D$5="Actuals"</formula>
    </cfRule>
  </conditionalFormatting>
  <conditionalFormatting sqref="I47:K47">
    <cfRule type="expression" dxfId="46" priority="5">
      <formula>I$5="Forecast"</formula>
    </cfRule>
    <cfRule type="expression" dxfId="45" priority="6">
      <formula>I$5="Actuals"</formula>
    </cfRule>
  </conditionalFormatting>
  <conditionalFormatting sqref="H47">
    <cfRule type="expression" dxfId="44" priority="3">
      <formula>H$5="Forecast"</formula>
    </cfRule>
    <cfRule type="expression" dxfId="43" priority="4">
      <formula>H$5="Actuals"</formula>
    </cfRule>
  </conditionalFormatting>
  <conditionalFormatting sqref="H29">
    <cfRule type="expression" dxfId="42" priority="1">
      <formula>H$5="Forecast"</formula>
    </cfRule>
    <cfRule type="expression" dxfId="41" priority="2">
      <formula>H$5="Actuals"</formula>
    </cfRule>
  </conditionalFormatting>
  <pageMargins left="0.70866141732283472" right="0.70866141732283472" top="0.74803149606299213" bottom="0.74803149606299213" header="0.31496062992125984" footer="0.31496062992125984"/>
  <pageSetup paperSize="8" scale="6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A4" sqref="A4"/>
      <selection pane="bottomLeft" activeCell="A2" sqref="A2"/>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894" t="s">
        <v>236</v>
      </c>
      <c r="B1" s="904"/>
      <c r="C1" s="257"/>
      <c r="D1" s="257"/>
      <c r="E1" s="257"/>
      <c r="F1" s="257"/>
      <c r="G1" s="257"/>
      <c r="H1" s="257"/>
      <c r="I1" s="258"/>
      <c r="J1" s="258"/>
      <c r="K1" s="259"/>
      <c r="L1" s="358"/>
    </row>
    <row r="2" spans="1:12" s="31" customFormat="1" ht="20.25">
      <c r="A2" s="897" t="str">
        <f>'RFPR cover'!C5</f>
        <v>NPgY</v>
      </c>
      <c r="B2" s="889"/>
      <c r="C2" s="29"/>
      <c r="D2" s="29"/>
      <c r="E2" s="29"/>
      <c r="F2" s="29"/>
      <c r="G2" s="29"/>
      <c r="H2" s="29"/>
      <c r="I2" s="27"/>
      <c r="J2" s="27"/>
      <c r="K2" s="27"/>
      <c r="L2" s="124"/>
    </row>
    <row r="3" spans="1:12" s="31" customFormat="1" ht="23.25">
      <c r="A3" s="900">
        <f>'RFPR cover'!C7</f>
        <v>2021</v>
      </c>
      <c r="B3" s="906"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518</v>
      </c>
      <c r="C8" s="153" t="s">
        <v>127</v>
      </c>
      <c r="D8" s="868">
        <v>17.8</v>
      </c>
      <c r="E8" s="693">
        <f>D10</f>
        <v>0</v>
      </c>
      <c r="F8" s="693">
        <f t="shared" ref="F8:K8" si="1">E10</f>
        <v>0</v>
      </c>
      <c r="G8" s="693">
        <f t="shared" si="1"/>
        <v>10.5</v>
      </c>
      <c r="H8" s="693">
        <f t="shared" si="1"/>
        <v>18</v>
      </c>
      <c r="I8" s="693">
        <f t="shared" si="1"/>
        <v>4.8039999999999994</v>
      </c>
      <c r="J8" s="693">
        <f t="shared" si="1"/>
        <v>0</v>
      </c>
      <c r="K8" s="693">
        <f t="shared" si="1"/>
        <v>0</v>
      </c>
    </row>
    <row r="9" spans="1:12" s="2" customFormat="1">
      <c r="B9" s="214"/>
    </row>
    <row r="10" spans="1:12">
      <c r="B10" s="214" t="s">
        <v>519</v>
      </c>
      <c r="C10" s="153" t="s">
        <v>127</v>
      </c>
      <c r="D10" s="687">
        <v>0</v>
      </c>
      <c r="E10" s="688">
        <v>0</v>
      </c>
      <c r="F10" s="688">
        <v>10.5</v>
      </c>
      <c r="G10" s="688">
        <v>18</v>
      </c>
      <c r="H10" s="688">
        <v>4.8039999999999994</v>
      </c>
      <c r="I10" s="688">
        <v>0</v>
      </c>
      <c r="J10" s="688">
        <v>0</v>
      </c>
      <c r="K10" s="689">
        <v>0</v>
      </c>
    </row>
    <row r="11" spans="1:12">
      <c r="B11" s="214" t="s">
        <v>370</v>
      </c>
      <c r="C11" s="153" t="s">
        <v>127</v>
      </c>
      <c r="D11" s="690">
        <v>999.34</v>
      </c>
      <c r="E11" s="691">
        <v>1050.31</v>
      </c>
      <c r="F11" s="691">
        <v>1050.96</v>
      </c>
      <c r="G11" s="691">
        <v>1061.6300000000001</v>
      </c>
      <c r="H11" s="691">
        <v>1159.4909364300001</v>
      </c>
      <c r="I11" s="691">
        <v>1155.2677741800001</v>
      </c>
      <c r="J11" s="691">
        <v>1153.59905202</v>
      </c>
      <c r="K11" s="692">
        <v>996.84886022000001</v>
      </c>
    </row>
    <row r="12" spans="1:12">
      <c r="B12" s="214" t="s">
        <v>371</v>
      </c>
      <c r="C12" s="153" t="s">
        <v>127</v>
      </c>
      <c r="D12" s="690">
        <v>0</v>
      </c>
      <c r="E12" s="691">
        <v>0</v>
      </c>
      <c r="F12" s="691">
        <v>0</v>
      </c>
      <c r="G12" s="691">
        <v>0</v>
      </c>
      <c r="H12" s="691">
        <v>0</v>
      </c>
      <c r="I12" s="691">
        <v>0</v>
      </c>
      <c r="J12" s="691">
        <v>0</v>
      </c>
      <c r="K12" s="692">
        <v>0</v>
      </c>
    </row>
    <row r="13" spans="1:12">
      <c r="B13" s="214" t="s">
        <v>372</v>
      </c>
      <c r="C13" s="153" t="s">
        <v>127</v>
      </c>
      <c r="D13" s="690">
        <v>-141.59</v>
      </c>
      <c r="E13" s="691">
        <v>-208.31</v>
      </c>
      <c r="F13" s="691">
        <v>-207.91</v>
      </c>
      <c r="G13" s="691">
        <v>-204.66</v>
      </c>
      <c r="H13" s="691">
        <v>-223.7</v>
      </c>
      <c r="I13" s="691">
        <v>-155.80000000000001</v>
      </c>
      <c r="J13" s="691">
        <v>0</v>
      </c>
      <c r="K13" s="692">
        <v>0</v>
      </c>
    </row>
    <row r="14" spans="1:12">
      <c r="B14" s="214" t="s">
        <v>373</v>
      </c>
      <c r="C14" s="153" t="s">
        <v>127</v>
      </c>
      <c r="D14" s="690">
        <v>0</v>
      </c>
      <c r="E14" s="691">
        <v>0</v>
      </c>
      <c r="F14" s="691">
        <v>0</v>
      </c>
      <c r="G14" s="691">
        <v>0</v>
      </c>
      <c r="H14" s="691">
        <v>0</v>
      </c>
      <c r="I14" s="691">
        <v>0</v>
      </c>
      <c r="J14" s="691">
        <v>0</v>
      </c>
      <c r="K14" s="692">
        <v>0</v>
      </c>
    </row>
    <row r="15" spans="1:12">
      <c r="B15" s="214" t="s">
        <v>290</v>
      </c>
      <c r="C15" s="153" t="s">
        <v>127</v>
      </c>
      <c r="D15" s="690">
        <v>0</v>
      </c>
      <c r="E15" s="691">
        <v>0</v>
      </c>
      <c r="F15" s="691">
        <v>0</v>
      </c>
      <c r="G15" s="691">
        <v>0</v>
      </c>
      <c r="H15" s="691">
        <v>0</v>
      </c>
      <c r="I15" s="691">
        <v>0</v>
      </c>
      <c r="J15" s="691">
        <v>0</v>
      </c>
      <c r="K15" s="692">
        <v>0</v>
      </c>
    </row>
    <row r="16" spans="1:12">
      <c r="B16" s="214" t="s">
        <v>291</v>
      </c>
      <c r="C16" s="153" t="s">
        <v>127</v>
      </c>
      <c r="D16" s="690">
        <v>0</v>
      </c>
      <c r="E16" s="691">
        <v>0</v>
      </c>
      <c r="F16" s="691">
        <v>0</v>
      </c>
      <c r="G16" s="691">
        <v>0</v>
      </c>
      <c r="H16" s="691">
        <v>0</v>
      </c>
      <c r="I16" s="691">
        <v>0</v>
      </c>
      <c r="J16" s="691">
        <v>0</v>
      </c>
      <c r="K16" s="692">
        <v>0</v>
      </c>
    </row>
    <row r="17" spans="2:13">
      <c r="B17" s="214" t="s">
        <v>295</v>
      </c>
      <c r="C17" s="153" t="s">
        <v>127</v>
      </c>
      <c r="D17" s="690">
        <v>0</v>
      </c>
      <c r="E17" s="691">
        <v>0</v>
      </c>
      <c r="F17" s="691">
        <v>0</v>
      </c>
      <c r="G17" s="691">
        <v>0</v>
      </c>
      <c r="H17" s="691">
        <v>0</v>
      </c>
      <c r="I17" s="691">
        <v>0</v>
      </c>
      <c r="J17" s="691">
        <v>0</v>
      </c>
      <c r="K17" s="692">
        <v>0</v>
      </c>
    </row>
    <row r="18" spans="2:13">
      <c r="B18" s="214" t="s">
        <v>296</v>
      </c>
      <c r="C18" s="153" t="s">
        <v>127</v>
      </c>
      <c r="D18" s="690">
        <v>0</v>
      </c>
      <c r="E18" s="691">
        <v>0</v>
      </c>
      <c r="F18" s="691">
        <v>0</v>
      </c>
      <c r="G18" s="691">
        <v>0</v>
      </c>
      <c r="H18" s="691">
        <v>0</v>
      </c>
      <c r="I18" s="691">
        <v>0</v>
      </c>
      <c r="J18" s="691">
        <v>0</v>
      </c>
      <c r="K18" s="692">
        <v>0</v>
      </c>
    </row>
    <row r="19" spans="2:13">
      <c r="B19" s="214" t="s">
        <v>297</v>
      </c>
      <c r="C19" s="153" t="s">
        <v>127</v>
      </c>
      <c r="D19" s="690">
        <v>0</v>
      </c>
      <c r="E19" s="691">
        <v>0</v>
      </c>
      <c r="F19" s="691">
        <v>0</v>
      </c>
      <c r="G19" s="691">
        <v>0</v>
      </c>
      <c r="H19" s="691">
        <v>0</v>
      </c>
      <c r="I19" s="691">
        <v>0</v>
      </c>
      <c r="J19" s="691">
        <v>0</v>
      </c>
      <c r="K19" s="692">
        <v>0</v>
      </c>
    </row>
    <row r="20" spans="2:13">
      <c r="B20" s="214" t="s">
        <v>298</v>
      </c>
      <c r="C20" s="153" t="s">
        <v>127</v>
      </c>
      <c r="D20" s="690">
        <v>0</v>
      </c>
      <c r="E20" s="691">
        <v>0</v>
      </c>
      <c r="F20" s="691">
        <v>0</v>
      </c>
      <c r="G20" s="691">
        <v>0</v>
      </c>
      <c r="H20" s="691">
        <v>0</v>
      </c>
      <c r="I20" s="691">
        <v>0</v>
      </c>
      <c r="J20" s="691">
        <v>0</v>
      </c>
      <c r="K20" s="692">
        <v>0</v>
      </c>
    </row>
    <row r="21" spans="2:13">
      <c r="B21" s="214" t="s">
        <v>299</v>
      </c>
      <c r="C21" s="153" t="s">
        <v>127</v>
      </c>
      <c r="D21" s="690">
        <v>0</v>
      </c>
      <c r="E21" s="691">
        <v>0</v>
      </c>
      <c r="F21" s="691">
        <v>0</v>
      </c>
      <c r="G21" s="691">
        <v>0</v>
      </c>
      <c r="H21" s="691">
        <v>0</v>
      </c>
      <c r="I21" s="691">
        <v>0</v>
      </c>
      <c r="J21" s="691">
        <v>0</v>
      </c>
      <c r="K21" s="692">
        <v>0</v>
      </c>
    </row>
    <row r="22" spans="2:13">
      <c r="B22" s="214" t="s">
        <v>300</v>
      </c>
      <c r="C22" s="153" t="s">
        <v>127</v>
      </c>
      <c r="D22" s="690">
        <v>0</v>
      </c>
      <c r="E22" s="691">
        <v>0</v>
      </c>
      <c r="F22" s="691">
        <v>0</v>
      </c>
      <c r="G22" s="691">
        <v>0</v>
      </c>
      <c r="H22" s="691">
        <v>0</v>
      </c>
      <c r="I22" s="691">
        <v>0</v>
      </c>
      <c r="J22" s="691">
        <v>0</v>
      </c>
      <c r="K22" s="692">
        <v>0</v>
      </c>
    </row>
    <row r="23" spans="2:13">
      <c r="B23" s="14" t="s">
        <v>316</v>
      </c>
      <c r="C23" s="236" t="s">
        <v>127</v>
      </c>
      <c r="D23" s="693">
        <f>SUM(D10:D22)</f>
        <v>857.75</v>
      </c>
      <c r="E23" s="693">
        <f t="shared" ref="E23:K23" si="2">SUM(E10:E22)</f>
        <v>842</v>
      </c>
      <c r="F23" s="693">
        <f t="shared" si="2"/>
        <v>853.55000000000007</v>
      </c>
      <c r="G23" s="693">
        <f t="shared" si="2"/>
        <v>874.97000000000014</v>
      </c>
      <c r="H23" s="693">
        <f t="shared" si="2"/>
        <v>940.59493643000019</v>
      </c>
      <c r="I23" s="693">
        <f t="shared" si="2"/>
        <v>999.46777418000011</v>
      </c>
      <c r="J23" s="693">
        <f t="shared" si="2"/>
        <v>1153.59905202</v>
      </c>
      <c r="K23" s="694">
        <f t="shared" si="2"/>
        <v>996.84886022000001</v>
      </c>
      <c r="L23" s="2"/>
      <c r="M23" s="322"/>
    </row>
    <row r="24" spans="2:13">
      <c r="B24" s="14"/>
      <c r="C24" s="153"/>
      <c r="D24" s="240"/>
      <c r="E24" s="240"/>
      <c r="F24" s="240"/>
      <c r="G24" s="240"/>
      <c r="H24" s="240"/>
      <c r="I24" s="240"/>
      <c r="J24" s="240"/>
      <c r="K24" s="240"/>
      <c r="L24" s="2"/>
      <c r="M24" s="2"/>
    </row>
    <row r="25" spans="2:13">
      <c r="B25" s="14" t="s">
        <v>122</v>
      </c>
      <c r="C25" s="16"/>
      <c r="D25" s="241"/>
      <c r="E25" s="241"/>
      <c r="F25" s="241"/>
      <c r="G25" s="241"/>
      <c r="H25" s="241"/>
      <c r="I25" s="241"/>
      <c r="J25" s="241"/>
      <c r="K25" s="241"/>
      <c r="L25" s="2"/>
      <c r="M25" s="2"/>
    </row>
    <row r="26" spans="2:13">
      <c r="B26" s="364" t="s">
        <v>530</v>
      </c>
      <c r="C26" s="153" t="s">
        <v>127</v>
      </c>
      <c r="D26" s="342">
        <v>8.67</v>
      </c>
      <c r="E26" s="342">
        <v>8.0399999999999991</v>
      </c>
      <c r="F26" s="342">
        <v>7.39</v>
      </c>
      <c r="G26" s="342">
        <v>6.72</v>
      </c>
      <c r="H26" s="342">
        <v>12.465</v>
      </c>
      <c r="I26" s="342">
        <v>11.814</v>
      </c>
      <c r="J26" s="342">
        <v>11.14</v>
      </c>
      <c r="K26" s="342">
        <v>10.465</v>
      </c>
      <c r="L26" s="2"/>
      <c r="M26" s="2"/>
    </row>
    <row r="27" spans="2:13">
      <c r="B27" s="364" t="s">
        <v>8</v>
      </c>
      <c r="C27" s="153" t="s">
        <v>127</v>
      </c>
      <c r="D27" s="342">
        <v>0</v>
      </c>
      <c r="E27" s="374">
        <v>0</v>
      </c>
      <c r="F27" s="374">
        <v>0</v>
      </c>
      <c r="G27" s="374">
        <v>0</v>
      </c>
      <c r="H27" s="374">
        <v>0</v>
      </c>
      <c r="I27" s="374">
        <v>0</v>
      </c>
      <c r="J27" s="374">
        <v>0</v>
      </c>
      <c r="K27" s="378">
        <v>0</v>
      </c>
      <c r="L27" s="35"/>
      <c r="M27" s="35"/>
    </row>
    <row r="28" spans="2:13">
      <c r="B28" s="364" t="s">
        <v>9</v>
      </c>
      <c r="C28" s="153" t="s">
        <v>127</v>
      </c>
      <c r="D28" s="342">
        <v>0</v>
      </c>
      <c r="E28" s="374">
        <v>0</v>
      </c>
      <c r="F28" s="374">
        <v>0</v>
      </c>
      <c r="G28" s="374">
        <v>0</v>
      </c>
      <c r="H28" s="374">
        <v>0</v>
      </c>
      <c r="I28" s="374">
        <v>0</v>
      </c>
      <c r="J28" s="374">
        <v>0</v>
      </c>
      <c r="K28" s="378">
        <v>0</v>
      </c>
      <c r="L28" s="35"/>
      <c r="M28" s="35"/>
    </row>
    <row r="29" spans="2:13">
      <c r="B29" s="364" t="s">
        <v>10</v>
      </c>
      <c r="C29" s="153" t="s">
        <v>127</v>
      </c>
      <c r="D29" s="342">
        <v>0</v>
      </c>
      <c r="E29" s="374">
        <v>0</v>
      </c>
      <c r="F29" s="374">
        <v>0</v>
      </c>
      <c r="G29" s="374">
        <v>0</v>
      </c>
      <c r="H29" s="374">
        <v>0</v>
      </c>
      <c r="I29" s="374">
        <v>0</v>
      </c>
      <c r="J29" s="374">
        <v>0</v>
      </c>
      <c r="K29" s="378">
        <v>0</v>
      </c>
      <c r="L29" s="35"/>
      <c r="M29" s="35"/>
    </row>
    <row r="30" spans="2:13">
      <c r="B30" s="364" t="s">
        <v>574</v>
      </c>
      <c r="C30" s="153" t="s">
        <v>127</v>
      </c>
      <c r="D30" s="342">
        <v>-27.01</v>
      </c>
      <c r="E30" s="374">
        <v>-27.35</v>
      </c>
      <c r="F30" s="374">
        <v>-27.35</v>
      </c>
      <c r="G30" s="374">
        <v>-27.36</v>
      </c>
      <c r="H30" s="374">
        <v>-26.766000000000002</v>
      </c>
      <c r="I30" s="374">
        <v>-26.748000000000001</v>
      </c>
      <c r="J30" s="374">
        <v>-26.757999999999999</v>
      </c>
      <c r="K30" s="378">
        <v>-22.408000000000001</v>
      </c>
    </row>
    <row r="31" spans="2:13">
      <c r="B31" s="364" t="s">
        <v>595</v>
      </c>
      <c r="C31" s="153" t="s">
        <v>127</v>
      </c>
      <c r="D31" s="342">
        <v>0</v>
      </c>
      <c r="E31" s="374">
        <v>0</v>
      </c>
      <c r="F31" s="374">
        <v>0</v>
      </c>
      <c r="G31" s="374">
        <v>0</v>
      </c>
      <c r="H31" s="374">
        <v>-7.6939364299999973</v>
      </c>
      <c r="I31" s="374">
        <v>-9.3377741799999985</v>
      </c>
      <c r="J31" s="374">
        <v>-6.9810520199999981</v>
      </c>
      <c r="K31" s="378">
        <v>-4.9058602200000001</v>
      </c>
    </row>
    <row r="32" spans="2:13" ht="12.75" customHeight="1">
      <c r="B32" s="364" t="s">
        <v>356</v>
      </c>
      <c r="C32" s="153" t="s">
        <v>127</v>
      </c>
      <c r="D32" s="342">
        <v>0</v>
      </c>
      <c r="E32" s="374">
        <v>0</v>
      </c>
      <c r="F32" s="374">
        <v>0</v>
      </c>
      <c r="G32" s="374">
        <v>0</v>
      </c>
      <c r="H32" s="374">
        <v>0</v>
      </c>
      <c r="I32" s="374">
        <v>0</v>
      </c>
      <c r="J32" s="374">
        <v>0</v>
      </c>
      <c r="K32" s="378">
        <v>0</v>
      </c>
    </row>
    <row r="33" spans="2:12">
      <c r="B33" s="364" t="s">
        <v>357</v>
      </c>
      <c r="C33" s="153" t="s">
        <v>127</v>
      </c>
      <c r="D33" s="342">
        <v>0</v>
      </c>
      <c r="E33" s="374">
        <v>0</v>
      </c>
      <c r="F33" s="374">
        <v>0</v>
      </c>
      <c r="G33" s="374">
        <v>0</v>
      </c>
      <c r="H33" s="374">
        <v>0</v>
      </c>
      <c r="I33" s="374">
        <v>0</v>
      </c>
      <c r="J33" s="374">
        <v>0</v>
      </c>
      <c r="K33" s="378">
        <v>0</v>
      </c>
    </row>
    <row r="34" spans="2:12">
      <c r="B34" s="364" t="s">
        <v>358</v>
      </c>
      <c r="C34" s="153" t="s">
        <v>127</v>
      </c>
      <c r="D34" s="342">
        <v>0</v>
      </c>
      <c r="E34" s="374">
        <v>0</v>
      </c>
      <c r="F34" s="374">
        <v>0</v>
      </c>
      <c r="G34" s="374">
        <v>0</v>
      </c>
      <c r="H34" s="374">
        <v>0</v>
      </c>
      <c r="I34" s="374">
        <v>0</v>
      </c>
      <c r="J34" s="374">
        <v>0</v>
      </c>
      <c r="K34" s="378">
        <v>0</v>
      </c>
    </row>
    <row r="35" spans="2:12">
      <c r="B35" s="364" t="s">
        <v>359</v>
      </c>
      <c r="C35" s="153" t="s">
        <v>127</v>
      </c>
      <c r="D35" s="342">
        <v>0</v>
      </c>
      <c r="E35" s="374">
        <v>0</v>
      </c>
      <c r="F35" s="374">
        <v>0</v>
      </c>
      <c r="G35" s="374">
        <v>0</v>
      </c>
      <c r="H35" s="374">
        <v>0</v>
      </c>
      <c r="I35" s="374">
        <v>0</v>
      </c>
      <c r="J35" s="374">
        <v>0</v>
      </c>
      <c r="K35" s="378">
        <v>0</v>
      </c>
    </row>
    <row r="36" spans="2:12">
      <c r="B36" s="364" t="s">
        <v>360</v>
      </c>
      <c r="C36" s="153" t="s">
        <v>127</v>
      </c>
      <c r="D36" s="342">
        <v>0</v>
      </c>
      <c r="E36" s="374">
        <v>0</v>
      </c>
      <c r="F36" s="374">
        <v>0</v>
      </c>
      <c r="G36" s="374">
        <v>0</v>
      </c>
      <c r="H36" s="374">
        <v>0</v>
      </c>
      <c r="I36" s="374">
        <v>0</v>
      </c>
      <c r="J36" s="374">
        <v>0</v>
      </c>
      <c r="K36" s="378">
        <v>0</v>
      </c>
    </row>
    <row r="37" spans="2:12">
      <c r="B37" s="364" t="s">
        <v>361</v>
      </c>
      <c r="C37" s="153" t="s">
        <v>127</v>
      </c>
      <c r="D37" s="342">
        <v>0</v>
      </c>
      <c r="E37" s="374">
        <v>0</v>
      </c>
      <c r="F37" s="374">
        <v>0</v>
      </c>
      <c r="G37" s="374">
        <v>0</v>
      </c>
      <c r="H37" s="374">
        <v>0</v>
      </c>
      <c r="I37" s="374">
        <v>0</v>
      </c>
      <c r="J37" s="374">
        <v>0</v>
      </c>
      <c r="K37" s="378">
        <v>0</v>
      </c>
    </row>
    <row r="38" spans="2:12">
      <c r="B38" s="364" t="s">
        <v>362</v>
      </c>
      <c r="C38" s="153" t="s">
        <v>127</v>
      </c>
      <c r="D38" s="342">
        <v>0</v>
      </c>
      <c r="E38" s="374">
        <v>0</v>
      </c>
      <c r="F38" s="374">
        <v>0</v>
      </c>
      <c r="G38" s="374">
        <v>0</v>
      </c>
      <c r="H38" s="374">
        <v>0</v>
      </c>
      <c r="I38" s="374">
        <v>0</v>
      </c>
      <c r="J38" s="374">
        <v>0</v>
      </c>
      <c r="K38" s="378">
        <v>0</v>
      </c>
    </row>
    <row r="39" spans="2:12">
      <c r="B39" s="364" t="s">
        <v>363</v>
      </c>
      <c r="C39" s="153" t="s">
        <v>127</v>
      </c>
      <c r="D39" s="342">
        <v>0</v>
      </c>
      <c r="E39" s="374">
        <v>0</v>
      </c>
      <c r="F39" s="374">
        <v>0</v>
      </c>
      <c r="G39" s="374">
        <v>0</v>
      </c>
      <c r="H39" s="374">
        <v>0</v>
      </c>
      <c r="I39" s="374">
        <v>0</v>
      </c>
      <c r="J39" s="374">
        <v>0</v>
      </c>
      <c r="K39" s="378">
        <v>0</v>
      </c>
    </row>
    <row r="40" spans="2:12">
      <c r="B40" s="364" t="s">
        <v>364</v>
      </c>
      <c r="C40" s="153" t="s">
        <v>127</v>
      </c>
      <c r="D40" s="342">
        <v>0</v>
      </c>
      <c r="E40" s="374">
        <v>0</v>
      </c>
      <c r="F40" s="374">
        <v>0</v>
      </c>
      <c r="G40" s="374">
        <v>0</v>
      </c>
      <c r="H40" s="374">
        <v>0</v>
      </c>
      <c r="I40" s="374">
        <v>0</v>
      </c>
      <c r="J40" s="374">
        <v>0</v>
      </c>
      <c r="K40" s="378">
        <v>0</v>
      </c>
    </row>
    <row r="41" spans="2:12">
      <c r="B41" s="364" t="s">
        <v>365</v>
      </c>
      <c r="C41" s="153" t="s">
        <v>127</v>
      </c>
      <c r="D41" s="375">
        <v>0</v>
      </c>
      <c r="E41" s="376">
        <v>0</v>
      </c>
      <c r="F41" s="376">
        <v>0</v>
      </c>
      <c r="G41" s="376">
        <v>0</v>
      </c>
      <c r="H41" s="376">
        <v>0</v>
      </c>
      <c r="I41" s="376">
        <v>0</v>
      </c>
      <c r="J41" s="376">
        <v>0</v>
      </c>
      <c r="K41" s="379">
        <v>0</v>
      </c>
    </row>
    <row r="42" spans="2:12">
      <c r="B42" s="200" t="s">
        <v>233</v>
      </c>
      <c r="C42" s="153" t="s">
        <v>127</v>
      </c>
      <c r="D42" s="701">
        <f>SUM(D23,D26:D41)</f>
        <v>839.41</v>
      </c>
      <c r="E42" s="701">
        <f t="shared" ref="E42:K42" si="3">SUM(E23,E26:E41)</f>
        <v>822.68999999999994</v>
      </c>
      <c r="F42" s="701">
        <f t="shared" si="3"/>
        <v>833.59</v>
      </c>
      <c r="G42" s="701">
        <f t="shared" si="3"/>
        <v>854.33000000000015</v>
      </c>
      <c r="H42" s="701">
        <f t="shared" si="3"/>
        <v>918.60000000000025</v>
      </c>
      <c r="I42" s="701">
        <f t="shared" si="3"/>
        <v>975.19600000000003</v>
      </c>
      <c r="J42" s="701">
        <f t="shared" si="3"/>
        <v>1131</v>
      </c>
      <c r="K42" s="701">
        <f t="shared" si="3"/>
        <v>980</v>
      </c>
    </row>
    <row r="43" spans="2:12">
      <c r="B43" s="365" t="s">
        <v>303</v>
      </c>
      <c r="C43" s="153" t="s">
        <v>127</v>
      </c>
      <c r="D43" s="702"/>
      <c r="E43" s="703"/>
      <c r="F43" s="703"/>
      <c r="G43" s="704"/>
      <c r="H43" s="704"/>
      <c r="I43" s="704"/>
      <c r="J43" s="704">
        <v>-120</v>
      </c>
      <c r="K43" s="705">
        <v>48</v>
      </c>
    </row>
    <row r="44" spans="2:12">
      <c r="B44" s="341" t="s">
        <v>437</v>
      </c>
      <c r="C44" s="153" t="s">
        <v>127</v>
      </c>
      <c r="D44" s="96">
        <f>SUM(D42:D43)</f>
        <v>839.41</v>
      </c>
      <c r="E44" s="97">
        <f t="shared" ref="E44:K44" si="4">SUM(E42:E43)</f>
        <v>822.68999999999994</v>
      </c>
      <c r="F44" s="97">
        <f t="shared" si="4"/>
        <v>833.59</v>
      </c>
      <c r="G44" s="97">
        <f t="shared" si="4"/>
        <v>854.33000000000015</v>
      </c>
      <c r="H44" s="97">
        <f t="shared" si="4"/>
        <v>918.60000000000025</v>
      </c>
      <c r="I44" s="97">
        <f t="shared" si="4"/>
        <v>975.19600000000003</v>
      </c>
      <c r="J44" s="97">
        <f t="shared" si="4"/>
        <v>1011</v>
      </c>
      <c r="K44" s="98">
        <f t="shared" si="4"/>
        <v>1028</v>
      </c>
    </row>
    <row r="45" spans="2:12">
      <c r="D45" s="227" t="s">
        <v>603</v>
      </c>
      <c r="E45" s="228" t="s">
        <v>603</v>
      </c>
      <c r="F45" s="228" t="s">
        <v>603</v>
      </c>
      <c r="G45" s="228" t="s">
        <v>603</v>
      </c>
      <c r="H45" s="228" t="s">
        <v>603</v>
      </c>
      <c r="I45" s="228" t="s">
        <v>603</v>
      </c>
      <c r="J45" s="228" t="s">
        <v>603</v>
      </c>
      <c r="K45" s="229" t="s">
        <v>603</v>
      </c>
    </row>
    <row r="47" spans="2:12">
      <c r="B47" s="820" t="s">
        <v>438</v>
      </c>
      <c r="C47" s="153" t="s">
        <v>127</v>
      </c>
      <c r="D47" s="835">
        <v>783.60194595000007</v>
      </c>
      <c r="E47" s="97">
        <f>D48</f>
        <v>839.41</v>
      </c>
      <c r="F47" s="97">
        <f t="shared" ref="F47:K47" si="5">E48</f>
        <v>822.68999999999994</v>
      </c>
      <c r="G47" s="97">
        <f t="shared" si="5"/>
        <v>833.59</v>
      </c>
      <c r="H47" s="97">
        <f t="shared" si="5"/>
        <v>854.33000000000015</v>
      </c>
      <c r="I47" s="97">
        <f t="shared" si="5"/>
        <v>918.60000000000025</v>
      </c>
      <c r="J47" s="97">
        <f t="shared" si="5"/>
        <v>975.19600000000003</v>
      </c>
      <c r="K47" s="98">
        <f t="shared" si="5"/>
        <v>1011</v>
      </c>
      <c r="L47" s="819"/>
    </row>
    <row r="48" spans="2:12">
      <c r="B48" s="820" t="s">
        <v>439</v>
      </c>
      <c r="C48" s="153" t="s">
        <v>127</v>
      </c>
      <c r="D48" s="574">
        <f>D44</f>
        <v>839.41</v>
      </c>
      <c r="E48" s="575">
        <f>E44</f>
        <v>822.68999999999994</v>
      </c>
      <c r="F48" s="575">
        <f t="shared" ref="F48:K48" si="6">F44</f>
        <v>833.59</v>
      </c>
      <c r="G48" s="575">
        <f t="shared" si="6"/>
        <v>854.33000000000015</v>
      </c>
      <c r="H48" s="575">
        <f t="shared" si="6"/>
        <v>918.60000000000025</v>
      </c>
      <c r="I48" s="575">
        <f t="shared" si="6"/>
        <v>975.19600000000003</v>
      </c>
      <c r="J48" s="575">
        <f t="shared" si="6"/>
        <v>1011</v>
      </c>
      <c r="K48" s="834">
        <f t="shared" si="6"/>
        <v>1028</v>
      </c>
      <c r="L48" s="819"/>
    </row>
    <row r="49" spans="2:13">
      <c r="D49" s="23"/>
      <c r="E49" s="23"/>
      <c r="F49" s="23"/>
      <c r="G49" s="23"/>
      <c r="H49" s="23"/>
      <c r="I49" s="23"/>
      <c r="J49" s="23"/>
      <c r="K49" s="23"/>
    </row>
    <row r="50" spans="2:13">
      <c r="B50" s="14" t="s">
        <v>123</v>
      </c>
    </row>
    <row r="51" spans="2:13">
      <c r="B51" t="s">
        <v>124</v>
      </c>
      <c r="C51" s="475" t="s">
        <v>7</v>
      </c>
      <c r="D51" s="469">
        <v>0</v>
      </c>
      <c r="E51" s="470">
        <v>0</v>
      </c>
      <c r="F51" s="470">
        <v>0</v>
      </c>
      <c r="G51" s="470">
        <v>0</v>
      </c>
      <c r="H51" s="470">
        <v>0</v>
      </c>
      <c r="I51" s="470">
        <v>0</v>
      </c>
      <c r="J51" s="470">
        <v>0</v>
      </c>
      <c r="K51" s="471">
        <v>0</v>
      </c>
    </row>
    <row r="52" spans="2:13">
      <c r="B52" t="s">
        <v>125</v>
      </c>
      <c r="C52" s="475" t="s">
        <v>7</v>
      </c>
      <c r="D52" s="481">
        <f>1-D51</f>
        <v>1</v>
      </c>
      <c r="E52" s="482">
        <f t="shared" ref="E52:K52" si="7">1-E51</f>
        <v>1</v>
      </c>
      <c r="F52" s="482">
        <f t="shared" si="7"/>
        <v>1</v>
      </c>
      <c r="G52" s="482">
        <f t="shared" si="7"/>
        <v>1</v>
      </c>
      <c r="H52" s="482">
        <f t="shared" si="7"/>
        <v>1</v>
      </c>
      <c r="I52" s="482">
        <f t="shared" si="7"/>
        <v>1</v>
      </c>
      <c r="J52" s="482">
        <f t="shared" si="7"/>
        <v>1</v>
      </c>
      <c r="K52" s="483">
        <f t="shared" si="7"/>
        <v>1</v>
      </c>
    </row>
    <row r="53" spans="2:13">
      <c r="C53" s="819"/>
      <c r="D53" s="819"/>
      <c r="E53" s="819"/>
      <c r="F53" s="819"/>
      <c r="G53" s="819"/>
      <c r="H53" s="819"/>
      <c r="I53" s="819"/>
      <c r="J53" s="819"/>
      <c r="K53" s="819"/>
      <c r="L53" s="819"/>
    </row>
    <row r="54" spans="2:13">
      <c r="B54" s="201" t="s">
        <v>458</v>
      </c>
      <c r="C54" s="267" t="s">
        <v>127</v>
      </c>
      <c r="D54" s="706">
        <f>AVERAGE(D47:D48)*D52</f>
        <v>811.50597297500008</v>
      </c>
      <c r="E54" s="707">
        <f t="shared" ref="E54:K54" si="8">AVERAGE(E47:E48)*E52</f>
        <v>831.05</v>
      </c>
      <c r="F54" s="707">
        <f t="shared" si="8"/>
        <v>828.14</v>
      </c>
      <c r="G54" s="707">
        <f t="shared" si="8"/>
        <v>843.96</v>
      </c>
      <c r="H54" s="707">
        <f t="shared" si="8"/>
        <v>886.46500000000015</v>
      </c>
      <c r="I54" s="707">
        <f t="shared" si="8"/>
        <v>946.89800000000014</v>
      </c>
      <c r="J54" s="707">
        <f t="shared" si="8"/>
        <v>993.09799999999996</v>
      </c>
      <c r="K54" s="708">
        <f t="shared" si="8"/>
        <v>1019.5</v>
      </c>
    </row>
    <row r="55" spans="2:13">
      <c r="B55" s="201" t="s">
        <v>271</v>
      </c>
      <c r="C55" s="153" t="s">
        <v>127</v>
      </c>
      <c r="D55" s="695">
        <f>D56-D54</f>
        <v>786.13280668987591</v>
      </c>
      <c r="E55" s="696">
        <f t="shared" ref="E55:K55" si="9">E56-E54</f>
        <v>834.65068685684264</v>
      </c>
      <c r="F55" s="696">
        <f t="shared" si="9"/>
        <v>911.34399442219535</v>
      </c>
      <c r="G55" s="696">
        <f t="shared" si="9"/>
        <v>968.14823300113767</v>
      </c>
      <c r="H55" s="696">
        <f t="shared" si="9"/>
        <v>994.5033208124014</v>
      </c>
      <c r="I55" s="696">
        <f t="shared" si="9"/>
        <v>998.41414402260125</v>
      </c>
      <c r="J55" s="696">
        <f t="shared" si="9"/>
        <v>1027.7388468671807</v>
      </c>
      <c r="K55" s="697">
        <f t="shared" si="9"/>
        <v>1091.4059301307962</v>
      </c>
    </row>
    <row r="56" spans="2:13">
      <c r="B56" s="201" t="s">
        <v>506</v>
      </c>
      <c r="C56" s="153" t="s">
        <v>127</v>
      </c>
      <c r="D56" s="862">
        <f>IF(D6='RFPR cover'!$C$13,AVERAGE(('R9 - RAV'!D16*'R9 - RAV'!D36),'R9 - RAV'!D38),AVERAGE('R9 - RAV'!C38:D38))</f>
        <v>1597.638779664876</v>
      </c>
      <c r="E56" s="862">
        <f>IF(E6='RFPR cover'!$C$13,AVERAGE(('R9 - RAV'!E16*'R9 - RAV'!E36),'R9 - RAV'!E38),AVERAGE('R9 - RAV'!D38:E38))</f>
        <v>1665.7006868568426</v>
      </c>
      <c r="F56" s="862">
        <f>IF(F6='RFPR cover'!$C$13,AVERAGE(('R9 - RAV'!F16*'R9 - RAV'!F36),'R9 - RAV'!F38),AVERAGE('R9 - RAV'!E38:F38))</f>
        <v>1739.4839944221953</v>
      </c>
      <c r="G56" s="862">
        <f>IF(G6='RFPR cover'!$C$13,AVERAGE(('R9 - RAV'!G16*'R9 - RAV'!G36),'R9 - RAV'!G38),AVERAGE('R9 - RAV'!F38:G38))</f>
        <v>1812.1082330011377</v>
      </c>
      <c r="H56" s="862">
        <f>IF(H6='RFPR cover'!$C$13,AVERAGE(('R9 - RAV'!H16*'R9 - RAV'!H36),'R9 - RAV'!H38),AVERAGE('R9 - RAV'!G38:H38))</f>
        <v>1880.9683208124015</v>
      </c>
      <c r="I56" s="862">
        <f>IF(I6='RFPR cover'!$C$13,AVERAGE(('R9 - RAV'!I16*'R9 - RAV'!I36),'R9 - RAV'!I38),AVERAGE('R9 - RAV'!H38:I38))</f>
        <v>1945.3121440226014</v>
      </c>
      <c r="J56" s="862">
        <f>IF(J6='RFPR cover'!$C$13,AVERAGE(('R9 - RAV'!J16*'R9 - RAV'!J36),'R9 - RAV'!J38),AVERAGE('R9 - RAV'!I38:J38))</f>
        <v>2020.8368468671806</v>
      </c>
      <c r="K56" s="862">
        <f>IF(K6='RFPR cover'!$C$13,AVERAGE(('R9 - RAV'!K16*'R9 - RAV'!K36),'R9 - RAV'!K38),AVERAGE('R9 - RAV'!J38:K38))</f>
        <v>2110.9059301307962</v>
      </c>
    </row>
    <row r="57" spans="2:13">
      <c r="B57" s="201" t="s">
        <v>234</v>
      </c>
      <c r="C57" s="153" t="s">
        <v>7</v>
      </c>
      <c r="D57" s="232">
        <f>D54/D56</f>
        <v>0.50794083324969319</v>
      </c>
      <c r="E57" s="233">
        <f t="shared" ref="E57:K57" si="10">E54/E56</f>
        <v>0.49891916750552673</v>
      </c>
      <c r="F57" s="233">
        <f t="shared" si="10"/>
        <v>0.4760837137079168</v>
      </c>
      <c r="G57" s="233">
        <f t="shared" si="10"/>
        <v>0.46573377054982462</v>
      </c>
      <c r="H57" s="233">
        <f t="shared" si="10"/>
        <v>0.47128119606880492</v>
      </c>
      <c r="I57" s="233">
        <f t="shared" si="10"/>
        <v>0.48675890031815827</v>
      </c>
      <c r="J57" s="233">
        <f t="shared" si="10"/>
        <v>0.49142908371824201</v>
      </c>
      <c r="K57" s="234">
        <f t="shared" si="10"/>
        <v>0.48296799276926078</v>
      </c>
    </row>
    <row r="58" spans="2:13">
      <c r="B58" s="201" t="s">
        <v>115</v>
      </c>
      <c r="C58" s="153" t="s">
        <v>7</v>
      </c>
      <c r="D58" s="863">
        <f>'RFPR cover'!$C$12</f>
        <v>0.65</v>
      </c>
      <c r="E58" s="864">
        <f>'RFPR cover'!$C$12</f>
        <v>0.65</v>
      </c>
      <c r="F58" s="864">
        <f>'RFPR cover'!$C$12</f>
        <v>0.65</v>
      </c>
      <c r="G58" s="864">
        <f>'RFPR cover'!$C$12</f>
        <v>0.65</v>
      </c>
      <c r="H58" s="864">
        <f>'RFPR cover'!$C$12</f>
        <v>0.65</v>
      </c>
      <c r="I58" s="864">
        <f>'RFPR cover'!$C$12</f>
        <v>0.65</v>
      </c>
      <c r="J58" s="864">
        <f>'RFPR cover'!$C$12</f>
        <v>0.65</v>
      </c>
      <c r="K58" s="865">
        <f>'RFPR cover'!$C$12</f>
        <v>0.65</v>
      </c>
    </row>
    <row r="59" spans="2:13">
      <c r="B59" s="201" t="s">
        <v>235</v>
      </c>
      <c r="C59" s="153" t="s">
        <v>7</v>
      </c>
      <c r="D59" s="237">
        <f t="shared" ref="D59:K59" si="11">IF(ISBLANK(D23),"n/a",D57-D58)</f>
        <v>-0.14205916675030683</v>
      </c>
      <c r="E59" s="238">
        <f t="shared" si="11"/>
        <v>-0.15108083249447329</v>
      </c>
      <c r="F59" s="238">
        <f t="shared" si="11"/>
        <v>-0.17391628629208322</v>
      </c>
      <c r="G59" s="238">
        <f t="shared" si="11"/>
        <v>-0.1842662294501754</v>
      </c>
      <c r="H59" s="238">
        <f t="shared" si="11"/>
        <v>-0.1787188039311951</v>
      </c>
      <c r="I59" s="238">
        <f t="shared" si="11"/>
        <v>-0.16324109968184175</v>
      </c>
      <c r="J59" s="238">
        <f t="shared" si="11"/>
        <v>-0.15857091628175801</v>
      </c>
      <c r="K59" s="239">
        <f t="shared" si="11"/>
        <v>-0.16703200723073924</v>
      </c>
    </row>
    <row r="61" spans="2:13">
      <c r="B61" s="201" t="s">
        <v>513</v>
      </c>
      <c r="C61" s="156" t="str">
        <f>'RFPR cover'!$C$14</f>
        <v>£m 12/13</v>
      </c>
      <c r="D61" s="706">
        <f t="shared" ref="D61:K61" si="12">D63*D57</f>
        <v>751.34592850395063</v>
      </c>
      <c r="E61" s="699">
        <f t="shared" si="12"/>
        <v>751.86116394795613</v>
      </c>
      <c r="F61" s="699">
        <f t="shared" si="12"/>
        <v>725.32845834917578</v>
      </c>
      <c r="G61" s="699">
        <f t="shared" si="12"/>
        <v>717.77627895290766</v>
      </c>
      <c r="H61" s="699">
        <f t="shared" si="12"/>
        <v>736.56730422846715</v>
      </c>
      <c r="I61" s="699">
        <f t="shared" si="12"/>
        <v>770.77560378809721</v>
      </c>
      <c r="J61" s="699">
        <f t="shared" si="12"/>
        <v>789.58176208855696</v>
      </c>
      <c r="K61" s="700">
        <f t="shared" si="12"/>
        <v>788.39943812264414</v>
      </c>
      <c r="M61" s="321"/>
    </row>
    <row r="62" spans="2:13">
      <c r="B62" s="201" t="s">
        <v>511</v>
      </c>
      <c r="C62" s="156" t="str">
        <f>'RFPR cover'!$C$14</f>
        <v>£m 12/13</v>
      </c>
      <c r="D62" s="662">
        <f>D63*(1-D57)</f>
        <v>727.85377217182588</v>
      </c>
      <c r="E62" s="663">
        <f t="shared" ref="E62:K62" si="13">E63*(1-E57)</f>
        <v>755.11874966626181</v>
      </c>
      <c r="F62" s="663">
        <f t="shared" si="13"/>
        <v>798.20288175916005</v>
      </c>
      <c r="G62" s="663">
        <f t="shared" si="13"/>
        <v>823.39664931796449</v>
      </c>
      <c r="H62" s="663">
        <f t="shared" si="13"/>
        <v>826.33677590998934</v>
      </c>
      <c r="I62" s="663">
        <f t="shared" si="13"/>
        <v>812.70977939503155</v>
      </c>
      <c r="J62" s="663">
        <f t="shared" si="13"/>
        <v>817.12363701895504</v>
      </c>
      <c r="K62" s="664">
        <f t="shared" si="13"/>
        <v>844.00571071980528</v>
      </c>
      <c r="M62" s="321"/>
    </row>
    <row r="63" spans="2:13">
      <c r="B63" s="201" t="s">
        <v>512</v>
      </c>
      <c r="C63" s="156" t="str">
        <f>'RFPR cover'!$C$14</f>
        <v>£m 12/13</v>
      </c>
      <c r="D63" s="861">
        <f>'R9 - RAV'!D47</f>
        <v>1479.1997006757765</v>
      </c>
      <c r="E63" s="861">
        <f>'R9 - RAV'!E47</f>
        <v>1506.9799136142178</v>
      </c>
      <c r="F63" s="861">
        <f>'R9 - RAV'!F47</f>
        <v>1523.5313401083358</v>
      </c>
      <c r="G63" s="861">
        <f>'R9 - RAV'!G47</f>
        <v>1541.172928270872</v>
      </c>
      <c r="H63" s="861">
        <f>'R9 - RAV'!H47</f>
        <v>1562.9040801384565</v>
      </c>
      <c r="I63" s="861">
        <f>'R9 - RAV'!I47</f>
        <v>1583.4853831831288</v>
      </c>
      <c r="J63" s="861">
        <f>'R9 - RAV'!J47</f>
        <v>1606.705399107512</v>
      </c>
      <c r="K63" s="861">
        <f>'R9 - RAV'!K47</f>
        <v>1632.4051488424493</v>
      </c>
    </row>
    <row r="64" spans="2:13">
      <c r="B64" s="201" t="s">
        <v>234</v>
      </c>
      <c r="C64" s="153" t="s">
        <v>7</v>
      </c>
      <c r="D64" s="232">
        <f>D61/D63</f>
        <v>0.50794083324969319</v>
      </c>
      <c r="E64" s="233">
        <f t="shared" ref="E64:K64" si="14">E61/E63</f>
        <v>0.49891916750552673</v>
      </c>
      <c r="F64" s="233">
        <f t="shared" si="14"/>
        <v>0.4760837137079168</v>
      </c>
      <c r="G64" s="233">
        <f t="shared" si="14"/>
        <v>0.46573377054982462</v>
      </c>
      <c r="H64" s="233">
        <f t="shared" si="14"/>
        <v>0.47128119606880492</v>
      </c>
      <c r="I64" s="233">
        <f t="shared" si="14"/>
        <v>0.48675890031815827</v>
      </c>
      <c r="J64" s="233">
        <f t="shared" si="14"/>
        <v>0.49142908371824201</v>
      </c>
      <c r="K64" s="234">
        <f t="shared" si="14"/>
        <v>0.48296799276926078</v>
      </c>
    </row>
    <row r="65" spans="2:11">
      <c r="B65" s="201" t="s">
        <v>115</v>
      </c>
      <c r="C65" s="153" t="s">
        <v>7</v>
      </c>
      <c r="D65" s="863">
        <f>'RFPR cover'!$C$12</f>
        <v>0.65</v>
      </c>
      <c r="E65" s="864">
        <f>'RFPR cover'!$C$12</f>
        <v>0.65</v>
      </c>
      <c r="F65" s="864">
        <f>'RFPR cover'!$C$12</f>
        <v>0.65</v>
      </c>
      <c r="G65" s="864">
        <f>'RFPR cover'!$C$12</f>
        <v>0.65</v>
      </c>
      <c r="H65" s="864">
        <f>'RFPR cover'!$C$12</f>
        <v>0.65</v>
      </c>
      <c r="I65" s="864">
        <f>'RFPR cover'!$C$12</f>
        <v>0.65</v>
      </c>
      <c r="J65" s="864">
        <f>'RFPR cover'!$C$12</f>
        <v>0.65</v>
      </c>
      <c r="K65" s="865">
        <f>'RFPR cover'!$C$12</f>
        <v>0.65</v>
      </c>
    </row>
    <row r="66" spans="2:11">
      <c r="B66" s="201" t="s">
        <v>235</v>
      </c>
      <c r="C66" s="153" t="s">
        <v>7</v>
      </c>
      <c r="D66" s="237">
        <f t="shared" ref="D66:K66" si="15">IF(ISBLANK(D23),"n/a",D64-D65)</f>
        <v>-0.14205916675030683</v>
      </c>
      <c r="E66" s="238">
        <f t="shared" si="15"/>
        <v>-0.15108083249447329</v>
      </c>
      <c r="F66" s="238">
        <f t="shared" si="15"/>
        <v>-0.17391628629208322</v>
      </c>
      <c r="G66" s="238">
        <f t="shared" si="15"/>
        <v>-0.1842662294501754</v>
      </c>
      <c r="H66" s="238">
        <f t="shared" si="15"/>
        <v>-0.1787188039311951</v>
      </c>
      <c r="I66" s="238">
        <f t="shared" si="15"/>
        <v>-0.16324109968184175</v>
      </c>
      <c r="J66" s="238">
        <f t="shared" si="15"/>
        <v>-0.15857091628175801</v>
      </c>
      <c r="K66" s="239">
        <f t="shared" si="15"/>
        <v>-0.16703200723073924</v>
      </c>
    </row>
  </sheetData>
  <sheetProtection password="DA3D" sheet="1" objects="1" scenarios="1"/>
  <conditionalFormatting sqref="D6:K6">
    <cfRule type="expression" dxfId="39" priority="18">
      <formula>AND(D$5="Actuals",E$5="Forecast")</formula>
    </cfRule>
  </conditionalFormatting>
  <conditionalFormatting sqref="D5:K5">
    <cfRule type="expression" dxfId="38" priority="7">
      <formula>AND(D$5="Actuals",E$5="Forecast")</formula>
    </cfRule>
  </conditionalFormatting>
  <pageMargins left="0.70866141732283472" right="0.70866141732283472" top="0.74803149606299213" bottom="0.74803149606299213" header="0.31496062992125984" footer="0.31496062992125984"/>
  <pageSetup paperSize="8" scale="8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80" zoomScaleNormal="80" workbookViewId="0">
      <pane ySplit="6" topLeftCell="A7" activePane="bottomLeft" state="frozen"/>
      <selection activeCell="A2" sqref="A2"/>
      <selection pane="bottomLeft"/>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894" t="s">
        <v>120</v>
      </c>
      <c r="B1" s="923"/>
      <c r="C1" s="392"/>
      <c r="D1" s="121"/>
      <c r="E1" s="121"/>
      <c r="F1" s="121"/>
      <c r="G1" s="121"/>
      <c r="H1" s="121"/>
      <c r="I1" s="127"/>
      <c r="J1" s="127"/>
      <c r="K1" s="128"/>
      <c r="L1" s="358"/>
      <c r="N1" s="213"/>
    </row>
    <row r="2" spans="1:14" s="31" customFormat="1" ht="20.25">
      <c r="A2" s="897" t="str">
        <f>'RFPR cover'!C5</f>
        <v>NPgY</v>
      </c>
      <c r="B2" s="889"/>
      <c r="C2" s="222"/>
      <c r="D2" s="29"/>
      <c r="E2" s="29"/>
      <c r="F2" s="29"/>
      <c r="G2" s="29"/>
      <c r="H2" s="29"/>
      <c r="I2" s="27"/>
      <c r="J2" s="27"/>
      <c r="K2" s="27"/>
      <c r="L2" s="124"/>
      <c r="N2" s="213"/>
    </row>
    <row r="3" spans="1:14" s="31" customFormat="1" ht="20.25">
      <c r="A3" s="900">
        <f>'RFPR cover'!C7</f>
        <v>2021</v>
      </c>
      <c r="B3" s="907"/>
      <c r="C3" s="393"/>
      <c r="D3" s="261"/>
      <c r="E3" s="261"/>
      <c r="F3" s="261"/>
      <c r="G3" s="261"/>
      <c r="H3" s="261"/>
      <c r="I3" s="256"/>
      <c r="J3" s="256"/>
      <c r="K3" s="256"/>
      <c r="L3" s="262"/>
      <c r="N3" s="213"/>
    </row>
    <row r="4" spans="1:14" s="2" customFormat="1" ht="12.75" customHeight="1">
      <c r="C4" s="1"/>
      <c r="N4" s="130"/>
    </row>
    <row r="5" spans="1:14" s="2" customFormat="1">
      <c r="B5" s="38"/>
      <c r="C5" s="223"/>
      <c r="D5" s="385" t="str">
        <f>IF(D6&lt;='RFPR cover'!$C$7-1,"Actuals","Forecast")</f>
        <v>Actuals</v>
      </c>
      <c r="E5" s="385" t="str">
        <f>IF(E6&lt;='RFPR cover'!$C$7-1,"Actuals","Forecast")</f>
        <v>Actuals</v>
      </c>
      <c r="F5" s="385" t="str">
        <f>IF(F6&lt;='RFPR cover'!$C$7-1,"Actuals","Forecast")</f>
        <v>Actuals</v>
      </c>
      <c r="G5" s="385" t="str">
        <f>IF(G6&lt;='RFPR cover'!$C$7-1,"Actuals","Forecast")</f>
        <v>Actuals</v>
      </c>
      <c r="H5" s="385" t="str">
        <f>IF(H6&lt;='RFPR cover'!$C$7-1,"Actuals","Forecast")</f>
        <v>Actuals</v>
      </c>
      <c r="I5" s="385" t="str">
        <f>IF(I6&lt;='RFPR cover'!$C$7-1,"Actuals","Forecast")</f>
        <v>Forecast</v>
      </c>
      <c r="J5" s="385" t="str">
        <f>IF(J6&lt;='RFPR cover'!$C$7-1,"Actuals","Forecast")</f>
        <v>Forecast</v>
      </c>
      <c r="K5" s="385"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19"/>
      <c r="D7" s="424"/>
      <c r="E7" s="424"/>
      <c r="F7" s="424"/>
      <c r="G7" s="424"/>
      <c r="H7" s="424"/>
      <c r="I7" s="424"/>
      <c r="J7" s="424"/>
      <c r="K7" s="424"/>
      <c r="L7" s="35"/>
      <c r="M7" s="35"/>
      <c r="N7" s="226"/>
    </row>
    <row r="8" spans="1:14" s="2" customFormat="1">
      <c r="B8" s="12" t="s">
        <v>320</v>
      </c>
      <c r="N8" s="130"/>
    </row>
    <row r="9" spans="1:14" s="2" customFormat="1">
      <c r="B9" s="363" t="s">
        <v>319</v>
      </c>
      <c r="C9" s="363"/>
      <c r="D9" s="363"/>
      <c r="E9" s="363"/>
      <c r="F9" s="363"/>
      <c r="G9" s="363"/>
      <c r="H9" s="363"/>
      <c r="I9" s="363"/>
      <c r="J9" s="363"/>
      <c r="K9" s="363"/>
      <c r="L9" s="363"/>
      <c r="N9" s="130"/>
    </row>
    <row r="10" spans="1:14" s="35" customFormat="1">
      <c r="B10" s="423"/>
      <c r="C10" s="423"/>
      <c r="D10" s="423"/>
      <c r="E10" s="423"/>
      <c r="F10" s="423"/>
      <c r="G10" s="423"/>
      <c r="H10" s="423"/>
      <c r="I10" s="423"/>
      <c r="J10" s="423"/>
      <c r="K10" s="423"/>
      <c r="L10" s="423"/>
      <c r="N10" s="226"/>
    </row>
    <row r="11" spans="1:14" s="2" customFormat="1">
      <c r="B11" s="201" t="s">
        <v>318</v>
      </c>
      <c r="C11" s="211" t="str">
        <f>'RFPR cover'!$C$14</f>
        <v>£m 12/13</v>
      </c>
      <c r="D11" s="709">
        <v>1525.2016235120498</v>
      </c>
      <c r="E11" s="710">
        <v>1543.4402925388886</v>
      </c>
      <c r="F11" s="710">
        <v>1557.5798770596</v>
      </c>
      <c r="G11" s="710">
        <v>1577.5000108825343</v>
      </c>
      <c r="H11" s="710">
        <v>1600.3467862955235</v>
      </c>
      <c r="I11" s="710">
        <v>1612.4479199833102</v>
      </c>
      <c r="J11" s="710">
        <v>1626.9005473494153</v>
      </c>
      <c r="K11" s="711">
        <v>1644.0304553295477</v>
      </c>
      <c r="N11" s="130"/>
    </row>
    <row r="12" spans="1:14" s="2" customFormat="1">
      <c r="N12" s="130"/>
    </row>
    <row r="13" spans="1:14" s="2" customFormat="1">
      <c r="B13" s="12" t="s">
        <v>321</v>
      </c>
      <c r="C13" s="1"/>
      <c r="D13" s="1"/>
      <c r="E13" s="1"/>
      <c r="F13" s="1"/>
      <c r="G13" s="1"/>
      <c r="H13" s="1"/>
      <c r="I13" s="1"/>
      <c r="J13" s="1"/>
      <c r="K13" s="1"/>
      <c r="N13" s="130"/>
    </row>
    <row r="14" spans="1:14" s="2" customFormat="1">
      <c r="B14" s="363" t="s">
        <v>343</v>
      </c>
      <c r="C14" s="320"/>
      <c r="D14" s="320"/>
      <c r="E14" s="320"/>
      <c r="F14" s="320"/>
      <c r="G14" s="320"/>
      <c r="H14" s="320"/>
      <c r="I14" s="320"/>
      <c r="J14" s="320"/>
      <c r="K14" s="320"/>
      <c r="L14" s="292"/>
      <c r="N14" s="130"/>
    </row>
    <row r="15" spans="1:14" s="35" customFormat="1">
      <c r="B15" s="423"/>
      <c r="C15" s="319"/>
      <c r="D15" s="319"/>
      <c r="E15" s="319"/>
      <c r="F15" s="319"/>
      <c r="G15" s="319"/>
      <c r="H15" s="319"/>
      <c r="I15" s="319"/>
      <c r="J15" s="319"/>
      <c r="K15" s="319"/>
      <c r="N15" s="226"/>
    </row>
    <row r="16" spans="1:14" s="2" customFormat="1">
      <c r="B16" s="387" t="s">
        <v>322</v>
      </c>
      <c r="C16" s="211" t="str">
        <f>'RFPR cover'!$C$14</f>
        <v>£m 12/13</v>
      </c>
      <c r="D16" s="578">
        <v>1488.431810081476</v>
      </c>
      <c r="E16" s="712">
        <f>D29</f>
        <v>1525.2016235120498</v>
      </c>
      <c r="F16" s="712">
        <f t="shared" ref="F16:K16" si="1">E29</f>
        <v>1543.4402925388886</v>
      </c>
      <c r="G16" s="712">
        <f t="shared" si="1"/>
        <v>1557.5798770596</v>
      </c>
      <c r="H16" s="712">
        <f t="shared" si="1"/>
        <v>1577.5000108825343</v>
      </c>
      <c r="I16" s="712">
        <f t="shared" si="1"/>
        <v>1600.3467862955235</v>
      </c>
      <c r="J16" s="712">
        <f t="shared" si="1"/>
        <v>1617.648923101638</v>
      </c>
      <c r="K16" s="581">
        <f t="shared" si="1"/>
        <v>1646.076247035711</v>
      </c>
      <c r="N16" s="130"/>
    </row>
    <row r="17" spans="2:14" s="2" customFormat="1">
      <c r="B17" s="387" t="s">
        <v>323</v>
      </c>
      <c r="C17" s="211" t="str">
        <f>'RFPR cover'!$C$14</f>
        <v>£m 12/13</v>
      </c>
      <c r="D17" s="586"/>
      <c r="E17" s="587"/>
      <c r="F17" s="587"/>
      <c r="G17" s="587"/>
      <c r="H17" s="587"/>
      <c r="I17" s="587"/>
      <c r="J17" s="587"/>
      <c r="K17" s="679"/>
      <c r="N17" s="130"/>
    </row>
    <row r="18" spans="2:14" s="2" customFormat="1">
      <c r="B18" s="12" t="s">
        <v>324</v>
      </c>
      <c r="C18" s="211" t="str">
        <f>'RFPR cover'!$C$14</f>
        <v>£m 12/13</v>
      </c>
      <c r="D18" s="713">
        <f>SUM(D16:D17)</f>
        <v>1488.431810081476</v>
      </c>
      <c r="E18" s="714">
        <f t="shared" ref="E18:K18" si="2">SUM(E16:E17)</f>
        <v>1525.2016235120498</v>
      </c>
      <c r="F18" s="714">
        <f t="shared" si="2"/>
        <v>1543.4402925388886</v>
      </c>
      <c r="G18" s="714">
        <f t="shared" si="2"/>
        <v>1557.5798770596</v>
      </c>
      <c r="H18" s="714">
        <f t="shared" si="2"/>
        <v>1577.5000108825343</v>
      </c>
      <c r="I18" s="714">
        <f t="shared" si="2"/>
        <v>1600.3467862955235</v>
      </c>
      <c r="J18" s="714">
        <f t="shared" si="2"/>
        <v>1617.648923101638</v>
      </c>
      <c r="K18" s="715">
        <f t="shared" si="2"/>
        <v>1646.076247035711</v>
      </c>
      <c r="N18" s="130"/>
    </row>
    <row r="19" spans="2:14" s="2" customFormat="1">
      <c r="B19" s="389" t="s">
        <v>325</v>
      </c>
      <c r="C19" s="211" t="str">
        <f>'RFPR cover'!$C$14</f>
        <v>£m 12/13</v>
      </c>
      <c r="D19" s="582">
        <v>171.99794153715521</v>
      </c>
      <c r="E19" s="582">
        <v>156.15150586639288</v>
      </c>
      <c r="F19" s="582">
        <v>152.63943605012247</v>
      </c>
      <c r="G19" s="582">
        <v>156.72932059688225</v>
      </c>
      <c r="H19" s="582">
        <v>158.50339127249765</v>
      </c>
      <c r="I19" s="582">
        <v>152.51680606113891</v>
      </c>
      <c r="J19" s="582">
        <v>148.98361093803393</v>
      </c>
      <c r="K19" s="582">
        <v>143.35351987182821</v>
      </c>
      <c r="N19" s="130"/>
    </row>
    <row r="20" spans="2:14" s="2" customFormat="1">
      <c r="B20" s="389" t="s">
        <v>332</v>
      </c>
      <c r="C20" s="211" t="str">
        <f>'RFPR cover'!$C$14</f>
        <v>£m 12/13</v>
      </c>
      <c r="D20" s="586">
        <f>SUM('R4 - Totex'!D22:D24)*Data!$C$48*(1-'R4 - Totex'!D16)</f>
        <v>0</v>
      </c>
      <c r="E20" s="586">
        <f>SUM('R4 - Totex'!E22:E24)*Data!$C$48*(1-'R4 - Totex'!E16)</f>
        <v>0</v>
      </c>
      <c r="F20" s="586">
        <f>SUM('R4 - Totex'!F22:F24)*Data!$C$48*(1-'R4 - Totex'!F16)</f>
        <v>0</v>
      </c>
      <c r="G20" s="586">
        <f>SUM('R4 - Totex'!G22:G24)*Data!$C$48*(1-'R4 - Totex'!G16)</f>
        <v>0</v>
      </c>
      <c r="H20" s="586">
        <f>SUM('R4 - Totex'!H22:H24)*Data!$C$48*(1-'R4 - Totex'!H16)</f>
        <v>0</v>
      </c>
      <c r="I20" s="586">
        <f>SUM('R4 - Totex'!I22:I24)*Data!$C$48*(1-'R4 - Totex'!I16)</f>
        <v>-2.9433140452514345E-2</v>
      </c>
      <c r="J20" s="586">
        <f>SUM('R4 - Totex'!J22:J24)*Data!$C$48*(1-'R4 - Totex'!J16)</f>
        <v>2.2184134849307946</v>
      </c>
      <c r="K20" s="586">
        <f>SUM('R4 - Totex'!K22:K24)*Data!$C$48*(1-'R4 - Totex'!K16)</f>
        <v>2.4418015231051955</v>
      </c>
      <c r="N20" s="130"/>
    </row>
    <row r="21" spans="2:14" s="2" customFormat="1">
      <c r="B21" s="388" t="s">
        <v>328</v>
      </c>
      <c r="C21" s="211" t="str">
        <f>'RFPR cover'!$C$14</f>
        <v>£m 12/13</v>
      </c>
      <c r="D21" s="713">
        <f t="shared" ref="D21:K21" si="3">SUM(D19:D20)</f>
        <v>171.99794153715521</v>
      </c>
      <c r="E21" s="714">
        <f t="shared" si="3"/>
        <v>156.15150586639288</v>
      </c>
      <c r="F21" s="714">
        <f t="shared" si="3"/>
        <v>152.63943605012247</v>
      </c>
      <c r="G21" s="714">
        <f t="shared" si="3"/>
        <v>156.72932059688225</v>
      </c>
      <c r="H21" s="714">
        <f t="shared" si="3"/>
        <v>158.50339127249765</v>
      </c>
      <c r="I21" s="714">
        <f t="shared" si="3"/>
        <v>152.4873729206864</v>
      </c>
      <c r="J21" s="714">
        <f t="shared" si="3"/>
        <v>151.20202442296474</v>
      </c>
      <c r="K21" s="715">
        <f t="shared" si="3"/>
        <v>145.79532139493341</v>
      </c>
      <c r="N21" s="130"/>
    </row>
    <row r="22" spans="2:14" s="2" customFormat="1">
      <c r="B22" s="389" t="s">
        <v>326</v>
      </c>
      <c r="C22" s="211" t="str">
        <f>'RFPR cover'!$C$14</f>
        <v>£m 12/13</v>
      </c>
      <c r="D22" s="582">
        <v>-135.22812810658132</v>
      </c>
      <c r="E22" s="582">
        <v>-137.91283683955407</v>
      </c>
      <c r="F22" s="582">
        <v>-138.49985152941105</v>
      </c>
      <c r="G22" s="582">
        <v>-136.80918677394789</v>
      </c>
      <c r="H22" s="582">
        <v>-135.65661585950835</v>
      </c>
      <c r="I22" s="582">
        <v>-135.18523611457181</v>
      </c>
      <c r="J22" s="582">
        <v>-122.7754600538067</v>
      </c>
      <c r="K22" s="582">
        <v>-123.62488139033954</v>
      </c>
      <c r="N22" s="130"/>
    </row>
    <row r="23" spans="2:14" s="2" customFormat="1">
      <c r="B23" s="389" t="s">
        <v>327</v>
      </c>
      <c r="C23" s="211" t="str">
        <f>'RFPR cover'!$C$14</f>
        <v>£m 12/13</v>
      </c>
      <c r="D23" s="586">
        <v>0</v>
      </c>
      <c r="E23" s="586">
        <v>0</v>
      </c>
      <c r="F23" s="586">
        <v>0</v>
      </c>
      <c r="G23" s="586">
        <v>0</v>
      </c>
      <c r="H23" s="586">
        <v>0</v>
      </c>
      <c r="I23" s="586">
        <v>0</v>
      </c>
      <c r="J23" s="586">
        <v>7.5956491490103417E-4</v>
      </c>
      <c r="K23" s="586">
        <v>-5.2217473531214864E-2</v>
      </c>
      <c r="N23" s="130"/>
    </row>
    <row r="24" spans="2:14" s="2" customFormat="1">
      <c r="B24" s="388" t="s">
        <v>329</v>
      </c>
      <c r="C24" s="211" t="str">
        <f>'RFPR cover'!$C$14</f>
        <v>£m 12/13</v>
      </c>
      <c r="D24" s="713">
        <f t="shared" ref="D24:K24" si="4">SUM(D22:D23)</f>
        <v>-135.22812810658132</v>
      </c>
      <c r="E24" s="714">
        <f t="shared" si="4"/>
        <v>-137.91283683955407</v>
      </c>
      <c r="F24" s="714">
        <f t="shared" si="4"/>
        <v>-138.49985152941105</v>
      </c>
      <c r="G24" s="714">
        <f t="shared" si="4"/>
        <v>-136.80918677394789</v>
      </c>
      <c r="H24" s="714">
        <f t="shared" si="4"/>
        <v>-135.65661585950835</v>
      </c>
      <c r="I24" s="714">
        <f t="shared" si="4"/>
        <v>-135.18523611457181</v>
      </c>
      <c r="J24" s="714">
        <f t="shared" si="4"/>
        <v>-122.7747004888918</v>
      </c>
      <c r="K24" s="715">
        <f t="shared" si="4"/>
        <v>-123.67709886387075</v>
      </c>
      <c r="N24" s="130"/>
    </row>
    <row r="25" spans="2:14" s="2" customFormat="1">
      <c r="B25" s="390" t="s">
        <v>267</v>
      </c>
      <c r="C25" s="211" t="str">
        <f>'RFPR cover'!$C$14</f>
        <v>£m 12/13</v>
      </c>
      <c r="D25" s="716"/>
      <c r="E25" s="717"/>
      <c r="F25" s="717"/>
      <c r="G25" s="717"/>
      <c r="H25" s="717"/>
      <c r="I25" s="717"/>
      <c r="J25" s="717"/>
      <c r="K25" s="718"/>
      <c r="N25" s="130"/>
    </row>
    <row r="26" spans="2:14" s="2" customFormat="1">
      <c r="B26" s="390" t="s">
        <v>267</v>
      </c>
      <c r="C26" s="211" t="str">
        <f>'RFPR cover'!$C$14</f>
        <v>£m 12/13</v>
      </c>
      <c r="D26" s="716"/>
      <c r="E26" s="717"/>
      <c r="F26" s="717"/>
      <c r="G26" s="717"/>
      <c r="H26" s="717"/>
      <c r="I26" s="717"/>
      <c r="J26" s="717"/>
      <c r="K26" s="718"/>
      <c r="N26" s="130"/>
    </row>
    <row r="27" spans="2:14" s="2" customFormat="1">
      <c r="B27" s="390" t="s">
        <v>267</v>
      </c>
      <c r="C27" s="211" t="str">
        <f>'RFPR cover'!$C$14</f>
        <v>£m 12/13</v>
      </c>
      <c r="D27" s="716"/>
      <c r="E27" s="717"/>
      <c r="F27" s="717"/>
      <c r="G27" s="717"/>
      <c r="H27" s="717"/>
      <c r="I27" s="717"/>
      <c r="J27" s="717"/>
      <c r="K27" s="718"/>
      <c r="N27" s="130"/>
    </row>
    <row r="28" spans="2:14" s="2" customFormat="1">
      <c r="B28" s="388" t="s">
        <v>330</v>
      </c>
      <c r="C28" s="211" t="str">
        <f>'RFPR cover'!$C$14</f>
        <v>£m 12/13</v>
      </c>
      <c r="D28" s="719">
        <f>SUM(D25:D27)</f>
        <v>0</v>
      </c>
      <c r="E28" s="720">
        <f t="shared" ref="E28:K28" si="5">SUM(E25:E27)</f>
        <v>0</v>
      </c>
      <c r="F28" s="720">
        <f t="shared" si="5"/>
        <v>0</v>
      </c>
      <c r="G28" s="720">
        <f t="shared" si="5"/>
        <v>0</v>
      </c>
      <c r="H28" s="720">
        <f t="shared" si="5"/>
        <v>0</v>
      </c>
      <c r="I28" s="720">
        <f t="shared" si="5"/>
        <v>0</v>
      </c>
      <c r="J28" s="720">
        <f t="shared" si="5"/>
        <v>0</v>
      </c>
      <c r="K28" s="721">
        <f t="shared" si="5"/>
        <v>0</v>
      </c>
      <c r="N28" s="130"/>
    </row>
    <row r="29" spans="2:14" s="2" customFormat="1">
      <c r="B29" s="12" t="s">
        <v>331</v>
      </c>
      <c r="C29" s="211" t="str">
        <f>'RFPR cover'!$C$14</f>
        <v>£m 12/13</v>
      </c>
      <c r="D29" s="722">
        <f>D18+D21+D24+D28</f>
        <v>1525.2016235120498</v>
      </c>
      <c r="E29" s="723">
        <f t="shared" ref="E29:K29" si="6">E18+E21+E24+E28</f>
        <v>1543.4402925388886</v>
      </c>
      <c r="F29" s="723">
        <f t="shared" si="6"/>
        <v>1557.5798770596</v>
      </c>
      <c r="G29" s="723">
        <f t="shared" si="6"/>
        <v>1577.5000108825343</v>
      </c>
      <c r="H29" s="723">
        <f t="shared" si="6"/>
        <v>1600.3467862955235</v>
      </c>
      <c r="I29" s="723">
        <f t="shared" si="6"/>
        <v>1617.648923101638</v>
      </c>
      <c r="J29" s="723">
        <f t="shared" si="6"/>
        <v>1646.076247035711</v>
      </c>
      <c r="K29" s="724">
        <f t="shared" si="6"/>
        <v>1668.1944695667737</v>
      </c>
      <c r="N29" s="130"/>
    </row>
    <row r="30" spans="2:14" s="2" customFormat="1">
      <c r="B30" s="12"/>
      <c r="C30" s="211"/>
      <c r="D30" s="211"/>
      <c r="E30" s="211"/>
      <c r="F30" s="211"/>
      <c r="G30" s="211"/>
      <c r="H30" s="211"/>
      <c r="I30" s="211"/>
      <c r="J30" s="211"/>
      <c r="K30" s="211"/>
      <c r="L30" s="211"/>
      <c r="N30" s="130"/>
    </row>
    <row r="31" spans="2:14" s="2" customFormat="1">
      <c r="B31" s="12" t="s">
        <v>509</v>
      </c>
      <c r="C31" s="211" t="str">
        <f>'RFPR cover'!$C$14</f>
        <v>£m 12/13</v>
      </c>
      <c r="D31" s="722">
        <f t="shared" ref="D31:K31" si="7">(D20+D23+D28)</f>
        <v>0</v>
      </c>
      <c r="E31" s="722">
        <f t="shared" si="7"/>
        <v>0</v>
      </c>
      <c r="F31" s="722">
        <f t="shared" si="7"/>
        <v>0</v>
      </c>
      <c r="G31" s="722">
        <f t="shared" si="7"/>
        <v>0</v>
      </c>
      <c r="H31" s="722">
        <f t="shared" si="7"/>
        <v>0</v>
      </c>
      <c r="I31" s="722">
        <f t="shared" si="7"/>
        <v>-2.9433140452514345E-2</v>
      </c>
      <c r="J31" s="722">
        <f t="shared" si="7"/>
        <v>2.2191730498456956</v>
      </c>
      <c r="K31" s="722">
        <f t="shared" si="7"/>
        <v>2.3895840495739806</v>
      </c>
      <c r="L31" s="211"/>
      <c r="N31" s="130"/>
    </row>
    <row r="32" spans="2:14" s="2" customFormat="1">
      <c r="B32" s="12" t="s">
        <v>510</v>
      </c>
      <c r="C32" s="211"/>
      <c r="D32" s="510" t="str">
        <f>IF(D5="Actuals",IF(ABS((D29-SUM($D$31:D31))-D11)&lt;'RFPR cover'!$F$14,"TRUE","FALSE"),"NA")</f>
        <v>TRUE</v>
      </c>
      <c r="E32" s="510" t="str">
        <f>IF(E5="Actuals",IF(ABS((E29-SUM($D$31:E31))-E11)&lt;'RFPR cover'!$F$14,"TRUE","FALSE"),"NA")</f>
        <v>TRUE</v>
      </c>
      <c r="F32" s="510" t="str">
        <f>IF(F5="Actuals",IF(ABS((F29-SUM($D$31:F31))-F11)&lt;'RFPR cover'!$F$14,"TRUE","FALSE"),"NA")</f>
        <v>TRUE</v>
      </c>
      <c r="G32" s="510" t="str">
        <f>IF(G5="Actuals",IF(ABS((G29-SUM($D$31:G31))-G11)&lt;'RFPR cover'!$F$14,"TRUE","FALSE"),"NA")</f>
        <v>TRUE</v>
      </c>
      <c r="H32" s="510" t="str">
        <f>IF(H5="Actuals",IF(ABS((H29-SUM($D$31:H31))-H11)&lt;'RFPR cover'!$F$14,"TRUE","FALSE"),"NA")</f>
        <v>TRUE</v>
      </c>
      <c r="I32" s="510" t="str">
        <f>IF(I5="Actuals",IF(ABS((I29-SUM($D$31:I31))-I11)&lt;'RFPR cover'!$F$14,"TRUE","FALSE"),"NA")</f>
        <v>NA</v>
      </c>
      <c r="J32" s="510" t="str">
        <f>IF(J5="Actuals",IF(ABS((J29-SUM($D$31:J31))-J11)&lt;'RFPR cover'!$F$14,"TRUE","FALSE"),"NA")</f>
        <v>NA</v>
      </c>
      <c r="K32" s="510" t="str">
        <f>IF(K5="Actuals",IF(ABS((K29-SUM($D$31:K31))-K11)&lt;'RFPR cover'!$F$14,"TRUE","FALSE"),"NA")</f>
        <v>NA</v>
      </c>
      <c r="L32" s="211"/>
      <c r="N32" s="130"/>
    </row>
    <row r="33" spans="2:14" s="35" customFormat="1">
      <c r="B33" s="51"/>
      <c r="C33" s="472"/>
      <c r="D33" s="473"/>
      <c r="E33" s="473"/>
      <c r="F33" s="473"/>
      <c r="G33" s="473"/>
      <c r="H33" s="473"/>
      <c r="I33" s="473"/>
      <c r="J33" s="473"/>
      <c r="K33" s="473"/>
      <c r="N33" s="226"/>
    </row>
    <row r="34" spans="2:14" s="35" customFormat="1">
      <c r="B34" s="51" t="s">
        <v>42</v>
      </c>
      <c r="C34" s="268" t="s">
        <v>126</v>
      </c>
      <c r="D34" s="113">
        <f>Data!C$35</f>
        <v>1.0677429242873198</v>
      </c>
      <c r="E34" s="113">
        <f>Data!D$35</f>
        <v>1.1033002963114336</v>
      </c>
      <c r="F34" s="113">
        <f>Data!E$35</f>
        <v>1.1402881373250229</v>
      </c>
      <c r="G34" s="113">
        <f>Data!F$35</f>
        <v>1.171554102380709</v>
      </c>
      <c r="H34" s="113">
        <f>Data!G$35</f>
        <v>1.1958720752017984</v>
      </c>
      <c r="I34" s="113">
        <f>Data!H$35</f>
        <v>1.2220292224379279</v>
      </c>
      <c r="J34" s="113">
        <f>Data!I$35</f>
        <v>1.2544129968325328</v>
      </c>
      <c r="K34" s="113">
        <f>Data!J$35</f>
        <v>1.2929861964851332</v>
      </c>
      <c r="N34" s="226"/>
    </row>
    <row r="35" spans="2:14" s="31" customFormat="1">
      <c r="B35" s="37" t="s">
        <v>376</v>
      </c>
      <c r="C35" s="268" t="s">
        <v>126</v>
      </c>
      <c r="D35" s="113">
        <f>Data!C$34</f>
        <v>1.0603167467048125</v>
      </c>
      <c r="E35" s="114">
        <f>Data!D$34</f>
        <v>1.0830366813119445</v>
      </c>
      <c r="F35" s="114">
        <f>Data!E$34</f>
        <v>1.1235639113109226</v>
      </c>
      <c r="G35" s="114">
        <f>Data!F$34</f>
        <v>1.1578951670583426</v>
      </c>
      <c r="H35" s="114">
        <f>Data!G$34</f>
        <v>1.1878696229692449</v>
      </c>
      <c r="I35" s="114">
        <f>Data!H$34</f>
        <v>1.2022764892203943</v>
      </c>
      <c r="J35" s="114">
        <f>Data!I$34</f>
        <v>1.2341368161847346</v>
      </c>
      <c r="K35" s="115">
        <f>Data!J$34</f>
        <v>1.2720865232824152</v>
      </c>
      <c r="L35" s="235"/>
      <c r="N35" s="213"/>
    </row>
    <row r="36" spans="2:14" s="31" customFormat="1">
      <c r="B36" s="172" t="s">
        <v>507</v>
      </c>
      <c r="C36" s="268" t="s">
        <v>126</v>
      </c>
      <c r="D36" s="858">
        <f>INDEX(Data!$F$14:$F$30,MATCH($D$6-1,Data!$C$14:$C$30,0),0)/IF('RFPR cover'!$C$6="ED1",Data!$E$17,Data!$E$14)</f>
        <v>1.0526208235414325</v>
      </c>
      <c r="E36" s="859"/>
      <c r="F36" s="859"/>
      <c r="G36" s="859"/>
      <c r="H36" s="859"/>
      <c r="I36" s="859"/>
      <c r="J36" s="859"/>
      <c r="K36" s="859"/>
      <c r="L36" s="235"/>
      <c r="N36" s="213"/>
    </row>
    <row r="37" spans="2:14" s="35" customFormat="1">
      <c r="B37" s="51"/>
      <c r="C37" s="472"/>
      <c r="D37" s="473"/>
      <c r="E37" s="473"/>
      <c r="F37" s="473"/>
      <c r="G37" s="473"/>
      <c r="H37" s="473"/>
      <c r="I37" s="473"/>
      <c r="J37" s="473"/>
      <c r="K37" s="473"/>
      <c r="N37" s="226"/>
    </row>
    <row r="38" spans="2:14" s="2" customFormat="1">
      <c r="B38" s="12" t="s">
        <v>331</v>
      </c>
      <c r="C38" s="267" t="s">
        <v>127</v>
      </c>
      <c r="D38" s="722">
        <f t="shared" ref="D38:K38" si="8">D29*D34</f>
        <v>1628.5232416165238</v>
      </c>
      <c r="E38" s="722">
        <f t="shared" si="8"/>
        <v>1702.8781320971614</v>
      </c>
      <c r="F38" s="722">
        <f t="shared" si="8"/>
        <v>1776.0898567472293</v>
      </c>
      <c r="G38" s="722">
        <f t="shared" si="8"/>
        <v>1848.1266092550461</v>
      </c>
      <c r="H38" s="722">
        <f t="shared" si="8"/>
        <v>1913.8100323697568</v>
      </c>
      <c r="I38" s="722">
        <f t="shared" si="8"/>
        <v>1976.8142556754462</v>
      </c>
      <c r="J38" s="722">
        <f t="shared" si="8"/>
        <v>2064.8594380589147</v>
      </c>
      <c r="K38" s="722">
        <f t="shared" si="8"/>
        <v>2156.9524222026771</v>
      </c>
      <c r="N38" s="130"/>
    </row>
    <row r="39" spans="2:14" s="2" customFormat="1">
      <c r="B39" s="12"/>
      <c r="C39" s="211"/>
      <c r="D39" s="211"/>
      <c r="E39" s="211"/>
      <c r="F39" s="211"/>
      <c r="G39" s="211"/>
      <c r="H39" s="211"/>
      <c r="I39" s="211"/>
      <c r="J39" s="211"/>
      <c r="K39" s="211"/>
      <c r="N39" s="130"/>
    </row>
    <row r="40" spans="2:14" s="2" customFormat="1">
      <c r="B40" s="501" t="s">
        <v>334</v>
      </c>
      <c r="C40" s="211" t="s">
        <v>337</v>
      </c>
      <c r="D40" s="403">
        <f>INDEX(Data!$K$73:$T$100,MATCH('RFPR cover'!$C$5,Data!$B$73:$B$100,0),MATCH('R9 - RAV'!D$6,Data!$K$72:$T$72,0))</f>
        <v>2.5499999999999998E-2</v>
      </c>
      <c r="E40" s="404">
        <f>INDEX(Data!$K$73:$T$100,MATCH('RFPR cover'!$C$5,Data!$B$73:$B$100,0),MATCH('R9 - RAV'!E$6,Data!$K$72:$T$72,0))</f>
        <v>2.4199999999999999E-2</v>
      </c>
      <c r="F40" s="404">
        <f>INDEX(Data!$K$73:$T$100,MATCH('RFPR cover'!$C$5,Data!$B$73:$B$100,0),MATCH('R9 - RAV'!F$6,Data!$K$72:$T$72,0))</f>
        <v>2.29E-2</v>
      </c>
      <c r="G40" s="404">
        <f>INDEX(Data!$K$73:$T$100,MATCH('RFPR cover'!$C$5,Data!$B$73:$B$100,0),MATCH('R9 - RAV'!G$6,Data!$K$72:$T$72,0))</f>
        <v>2.0899999999999998E-2</v>
      </c>
      <c r="H40" s="404">
        <f>INDEX(Data!$K$73:$T$100,MATCH('RFPR cover'!$C$5,Data!$B$73:$B$100,0),MATCH('R9 - RAV'!H$6,Data!$K$72:$T$72,0))</f>
        <v>1.9400000000000001E-2</v>
      </c>
      <c r="I40" s="404">
        <f>INDEX(Data!$K$73:$T$100,MATCH('RFPR cover'!$C$5,Data!$B$73:$B$100,0),MATCH('R9 - RAV'!I$6,Data!$K$72:$T$72,0))</f>
        <v>1.78E-2</v>
      </c>
      <c r="J40" s="404">
        <f>INDEX(Data!$K$73:$T$100,MATCH('RFPR cover'!$C$5,Data!$B$73:$B$100,0),MATCH('R9 - RAV'!J$6,Data!$K$72:$T$72,0))</f>
        <v>1.6199999999999999E-2</v>
      </c>
      <c r="K40" s="405">
        <f>INDEX(Data!$K$73:$T$100,MATCH('RFPR cover'!$C$5,Data!$B$73:$B$100,0),MATCH('R9 - RAV'!K$6,Data!$K$72:$T$72,0))</f>
        <v>1.47E-2</v>
      </c>
      <c r="N40" s="130"/>
    </row>
    <row r="41" spans="2:14" s="2" customFormat="1">
      <c r="B41" s="501" t="s">
        <v>335</v>
      </c>
      <c r="C41" s="211" t="s">
        <v>337</v>
      </c>
      <c r="D41" s="406">
        <f>'RFPR cover'!$C$10</f>
        <v>0.06</v>
      </c>
      <c r="E41" s="407">
        <f>'RFPR cover'!$C$10</f>
        <v>0.06</v>
      </c>
      <c r="F41" s="407">
        <f>'RFPR cover'!$C$10</f>
        <v>0.06</v>
      </c>
      <c r="G41" s="407">
        <f>'RFPR cover'!$C$10</f>
        <v>0.06</v>
      </c>
      <c r="H41" s="407">
        <f>'RFPR cover'!$C$10</f>
        <v>0.06</v>
      </c>
      <c r="I41" s="407">
        <f>'RFPR cover'!$C$10</f>
        <v>0.06</v>
      </c>
      <c r="J41" s="407">
        <f>'RFPR cover'!$C$10</f>
        <v>0.06</v>
      </c>
      <c r="K41" s="408">
        <f>'RFPR cover'!$C$10</f>
        <v>0.06</v>
      </c>
      <c r="N41" s="130"/>
    </row>
    <row r="42" spans="2:14" s="2" customFormat="1">
      <c r="B42" s="501" t="s">
        <v>336</v>
      </c>
      <c r="C42" s="211" t="s">
        <v>7</v>
      </c>
      <c r="D42" s="409">
        <f>'RFPR cover'!$C$12</f>
        <v>0.65</v>
      </c>
      <c r="E42" s="410">
        <f>'RFPR cover'!$C$12</f>
        <v>0.65</v>
      </c>
      <c r="F42" s="410">
        <f>'RFPR cover'!$C$12</f>
        <v>0.65</v>
      </c>
      <c r="G42" s="410">
        <f>'RFPR cover'!$C$12</f>
        <v>0.65</v>
      </c>
      <c r="H42" s="410">
        <f>'RFPR cover'!$C$12</f>
        <v>0.65</v>
      </c>
      <c r="I42" s="410">
        <f>'RFPR cover'!$C$12</f>
        <v>0.65</v>
      </c>
      <c r="J42" s="410">
        <f>'RFPR cover'!$C$12</f>
        <v>0.65</v>
      </c>
      <c r="K42" s="411">
        <f>'RFPR cover'!$C$12</f>
        <v>0.65</v>
      </c>
      <c r="N42" s="130"/>
    </row>
    <row r="43" spans="2:14">
      <c r="B43" s="201" t="s">
        <v>272</v>
      </c>
      <c r="C43" s="391" t="s">
        <v>337</v>
      </c>
      <c r="D43" s="400">
        <f t="shared" ref="D43:K43" si="9">D40*D42+D41*(1-D42)</f>
        <v>3.7574999999999997E-2</v>
      </c>
      <c r="E43" s="401">
        <f t="shared" si="9"/>
        <v>3.6729999999999999E-2</v>
      </c>
      <c r="F43" s="401">
        <f t="shared" si="9"/>
        <v>3.5885E-2</v>
      </c>
      <c r="G43" s="401">
        <f t="shared" si="9"/>
        <v>3.4584999999999998E-2</v>
      </c>
      <c r="H43" s="401">
        <f t="shared" si="9"/>
        <v>3.3610000000000001E-2</v>
      </c>
      <c r="I43" s="401">
        <f t="shared" si="9"/>
        <v>3.2570000000000002E-2</v>
      </c>
      <c r="J43" s="401">
        <f t="shared" si="9"/>
        <v>3.1529999999999996E-2</v>
      </c>
      <c r="K43" s="402">
        <f t="shared" si="9"/>
        <v>3.0554999999999999E-2</v>
      </c>
      <c r="L43" s="212"/>
    </row>
    <row r="44" spans="2:14">
      <c r="C44" s="224"/>
      <c r="D44" s="219"/>
      <c r="E44" s="219"/>
      <c r="F44" s="219"/>
      <c r="G44" s="219"/>
      <c r="H44" s="219"/>
      <c r="I44" s="219"/>
      <c r="J44" s="219"/>
      <c r="K44" s="219"/>
    </row>
    <row r="45" spans="2:14">
      <c r="B45" s="366" t="s">
        <v>338</v>
      </c>
      <c r="C45" s="391" t="str">
        <f>'RFPR cover'!$C$14</f>
        <v>£m 12/13</v>
      </c>
      <c r="D45" s="96">
        <f t="shared" ref="D45:K45" si="10">D47*D42</f>
        <v>961.47980543925473</v>
      </c>
      <c r="E45" s="97">
        <f t="shared" si="10"/>
        <v>979.53694384924165</v>
      </c>
      <c r="F45" s="97">
        <f t="shared" si="10"/>
        <v>990.29537107041835</v>
      </c>
      <c r="G45" s="97">
        <f t="shared" si="10"/>
        <v>1001.7624033760669</v>
      </c>
      <c r="H45" s="97">
        <f t="shared" si="10"/>
        <v>1015.8876520899968</v>
      </c>
      <c r="I45" s="97">
        <f t="shared" si="10"/>
        <v>1029.2654990690337</v>
      </c>
      <c r="J45" s="97">
        <f t="shared" si="10"/>
        <v>1044.3585094198829</v>
      </c>
      <c r="K45" s="98">
        <f t="shared" si="10"/>
        <v>1061.063346747592</v>
      </c>
    </row>
    <row r="46" spans="2:14">
      <c r="B46" s="366" t="s">
        <v>231</v>
      </c>
      <c r="C46" s="391" t="str">
        <f>'RFPR cover'!$C$14</f>
        <v>£m 12/13</v>
      </c>
      <c r="D46" s="516">
        <f t="shared" ref="D46:K46" si="11">D47*(1-D42)</f>
        <v>517.71989523652178</v>
      </c>
      <c r="E46" s="517">
        <f t="shared" si="11"/>
        <v>527.44296976497617</v>
      </c>
      <c r="F46" s="517">
        <f t="shared" si="11"/>
        <v>533.23596903791747</v>
      </c>
      <c r="G46" s="517">
        <f t="shared" si="11"/>
        <v>539.41052489480512</v>
      </c>
      <c r="H46" s="517">
        <f t="shared" si="11"/>
        <v>547.01642804845972</v>
      </c>
      <c r="I46" s="517">
        <f t="shared" si="11"/>
        <v>554.21988411409507</v>
      </c>
      <c r="J46" s="517">
        <f t="shared" si="11"/>
        <v>562.34688968762919</v>
      </c>
      <c r="K46" s="518">
        <f t="shared" si="11"/>
        <v>571.34180209485726</v>
      </c>
    </row>
    <row r="47" spans="2:14">
      <c r="B47" s="201" t="s">
        <v>230</v>
      </c>
      <c r="C47" s="211" t="str">
        <f>'RFPR cover'!$C$14</f>
        <v>£m 12/13</v>
      </c>
      <c r="D47" s="103">
        <f t="shared" ref="D47:K47" si="12">AVERAGE(D16,D29*(1/(1+D43)))</f>
        <v>1479.1997006757765</v>
      </c>
      <c r="E47" s="104">
        <f t="shared" si="12"/>
        <v>1506.9799136142178</v>
      </c>
      <c r="F47" s="104">
        <f t="shared" si="12"/>
        <v>1523.5313401083358</v>
      </c>
      <c r="G47" s="104">
        <f t="shared" si="12"/>
        <v>1541.172928270872</v>
      </c>
      <c r="H47" s="104">
        <f t="shared" si="12"/>
        <v>1562.9040801384565</v>
      </c>
      <c r="I47" s="104">
        <f t="shared" si="12"/>
        <v>1583.4853831831288</v>
      </c>
      <c r="J47" s="104">
        <f t="shared" si="12"/>
        <v>1606.705399107512</v>
      </c>
      <c r="K47" s="105">
        <f t="shared" si="12"/>
        <v>1632.4051488424493</v>
      </c>
      <c r="N47" s="215"/>
    </row>
    <row r="48" spans="2:14">
      <c r="B48" s="201"/>
      <c r="C48" s="211"/>
      <c r="D48" s="211"/>
      <c r="E48" s="211"/>
      <c r="F48" s="211"/>
      <c r="G48" s="211"/>
      <c r="H48" s="211"/>
      <c r="I48" s="211"/>
      <c r="J48" s="211"/>
      <c r="K48" s="211"/>
      <c r="N48" s="215"/>
    </row>
    <row r="49" spans="2:14">
      <c r="B49" s="366" t="s">
        <v>339</v>
      </c>
      <c r="C49" s="391" t="str">
        <f>'RFPR cover'!$C$14</f>
        <v>£m 12/13</v>
      </c>
      <c r="D49" s="725">
        <f>D40*D45</f>
        <v>24.517735038700994</v>
      </c>
      <c r="E49" s="726">
        <f t="shared" ref="D49:K50" si="13">E40*E45</f>
        <v>23.704794041151647</v>
      </c>
      <c r="F49" s="726">
        <f t="shared" si="13"/>
        <v>22.677763997512582</v>
      </c>
      <c r="G49" s="726">
        <f t="shared" si="13"/>
        <v>20.936834230559796</v>
      </c>
      <c r="H49" s="726">
        <f t="shared" si="13"/>
        <v>19.708220450545937</v>
      </c>
      <c r="I49" s="726">
        <f t="shared" si="13"/>
        <v>18.320925883428799</v>
      </c>
      <c r="J49" s="726">
        <f t="shared" si="13"/>
        <v>16.918607852602101</v>
      </c>
      <c r="K49" s="727">
        <f t="shared" si="13"/>
        <v>15.597631197189603</v>
      </c>
    </row>
    <row r="50" spans="2:14">
      <c r="B50" s="366" t="s">
        <v>228</v>
      </c>
      <c r="C50" s="391" t="str">
        <f>'RFPR cover'!$C$14</f>
        <v>£m 12/13</v>
      </c>
      <c r="D50" s="93">
        <f t="shared" si="13"/>
        <v>31.063193714191307</v>
      </c>
      <c r="E50" s="94">
        <f t="shared" si="13"/>
        <v>31.646578185898569</v>
      </c>
      <c r="F50" s="94">
        <f t="shared" si="13"/>
        <v>31.994158142275047</v>
      </c>
      <c r="G50" s="94">
        <f t="shared" si="13"/>
        <v>32.364631493688307</v>
      </c>
      <c r="H50" s="94">
        <f t="shared" si="13"/>
        <v>32.820985682907583</v>
      </c>
      <c r="I50" s="94">
        <f t="shared" si="13"/>
        <v>33.253193046845702</v>
      </c>
      <c r="J50" s="94">
        <f t="shared" si="13"/>
        <v>33.740813381257752</v>
      </c>
      <c r="K50" s="95">
        <f t="shared" si="13"/>
        <v>34.280508125691433</v>
      </c>
      <c r="N50" s="215"/>
    </row>
    <row r="51" spans="2:14">
      <c r="B51" s="201" t="s">
        <v>341</v>
      </c>
      <c r="C51" s="391" t="str">
        <f>'RFPR cover'!$C$14</f>
        <v>£m 12/13</v>
      </c>
      <c r="D51" s="103">
        <f>SUM(D49:D50)</f>
        <v>55.580928752892305</v>
      </c>
      <c r="E51" s="104">
        <f t="shared" ref="E51:K51" si="14">SUM(E49:E50)</f>
        <v>55.35137222705022</v>
      </c>
      <c r="F51" s="104">
        <f t="shared" si="14"/>
        <v>54.671922139787625</v>
      </c>
      <c r="G51" s="104">
        <f t="shared" si="14"/>
        <v>53.301465724248104</v>
      </c>
      <c r="H51" s="104">
        <f t="shared" si="14"/>
        <v>52.529206133453521</v>
      </c>
      <c r="I51" s="104">
        <f t="shared" si="14"/>
        <v>51.574118930274501</v>
      </c>
      <c r="J51" s="104">
        <f t="shared" si="14"/>
        <v>50.659421233859852</v>
      </c>
      <c r="K51" s="105">
        <f t="shared" si="14"/>
        <v>49.87813932288104</v>
      </c>
      <c r="N51" s="215"/>
    </row>
    <row r="53" spans="2:14" s="31" customFormat="1">
      <c r="B53" s="366" t="s">
        <v>338</v>
      </c>
      <c r="C53" s="267" t="s">
        <v>127</v>
      </c>
      <c r="D53" s="96">
        <f t="shared" ref="D53:K54" si="15">D$35*D45</f>
        <v>1019.4731393257266</v>
      </c>
      <c r="E53" s="97">
        <f t="shared" si="15"/>
        <v>1060.8744408889272</v>
      </c>
      <c r="F53" s="97">
        <f t="shared" si="15"/>
        <v>1112.6601404729806</v>
      </c>
      <c r="G53" s="97">
        <f t="shared" si="15"/>
        <v>1159.9358454098979</v>
      </c>
      <c r="H53" s="97">
        <f t="shared" si="15"/>
        <v>1206.7420822672559</v>
      </c>
      <c r="I53" s="97">
        <f t="shared" si="15"/>
        <v>1237.4617106963949</v>
      </c>
      <c r="J53" s="97">
        <f t="shared" si="15"/>
        <v>1288.8812857708895</v>
      </c>
      <c r="K53" s="98">
        <f t="shared" si="15"/>
        <v>1349.7643837465482</v>
      </c>
      <c r="L53" s="235"/>
      <c r="N53" s="213"/>
    </row>
    <row r="54" spans="2:14" s="31" customFormat="1">
      <c r="B54" s="366" t="s">
        <v>231</v>
      </c>
      <c r="C54" s="267" t="s">
        <v>127</v>
      </c>
      <c r="D54" s="516">
        <f t="shared" si="15"/>
        <v>548.94707502154506</v>
      </c>
      <c r="E54" s="517">
        <f t="shared" si="15"/>
        <v>571.24008355557612</v>
      </c>
      <c r="F54" s="517">
        <f t="shared" si="15"/>
        <v>599.12469102391253</v>
      </c>
      <c r="G54" s="517">
        <f t="shared" si="15"/>
        <v>624.58083983609868</v>
      </c>
      <c r="H54" s="517">
        <f t="shared" si="15"/>
        <v>649.78419814390691</v>
      </c>
      <c r="I54" s="517">
        <f t="shared" si="15"/>
        <v>666.32553652882802</v>
      </c>
      <c r="J54" s="517">
        <f t="shared" si="15"/>
        <v>694.01300003047879</v>
      </c>
      <c r="K54" s="518">
        <f t="shared" si="15"/>
        <v>726.79620663275671</v>
      </c>
      <c r="L54" s="235"/>
      <c r="N54" s="213"/>
    </row>
    <row r="55" spans="2:14">
      <c r="B55" s="201" t="s">
        <v>340</v>
      </c>
      <c r="C55" s="267" t="s">
        <v>127</v>
      </c>
      <c r="D55" s="728">
        <f>SUM(D53:D54)</f>
        <v>1568.4202143472717</v>
      </c>
      <c r="E55" s="729">
        <f t="shared" ref="E55:K55" si="16">SUM(E53:E54)</f>
        <v>1632.1145244445033</v>
      </c>
      <c r="F55" s="729">
        <f t="shared" si="16"/>
        <v>1711.7848314968933</v>
      </c>
      <c r="G55" s="729">
        <f t="shared" si="16"/>
        <v>1784.5166852459965</v>
      </c>
      <c r="H55" s="729">
        <f t="shared" si="16"/>
        <v>1856.5262804111628</v>
      </c>
      <c r="I55" s="729">
        <f t="shared" si="16"/>
        <v>1903.7872472252229</v>
      </c>
      <c r="J55" s="729">
        <f t="shared" si="16"/>
        <v>1982.8942858013684</v>
      </c>
      <c r="K55" s="730">
        <f t="shared" si="16"/>
        <v>2076.5605903793048</v>
      </c>
    </row>
    <row r="56" spans="2:14" s="31" customFormat="1">
      <c r="B56" s="201"/>
      <c r="C56" s="211"/>
      <c r="D56" s="211"/>
      <c r="E56" s="211"/>
      <c r="F56" s="211"/>
      <c r="G56" s="211"/>
      <c r="H56" s="211"/>
      <c r="I56" s="211"/>
      <c r="J56" s="211"/>
      <c r="K56" s="211"/>
      <c r="L56" s="235"/>
      <c r="N56" s="213"/>
    </row>
    <row r="57" spans="2:14" s="31" customFormat="1">
      <c r="B57" s="366" t="s">
        <v>339</v>
      </c>
      <c r="C57" s="267" t="s">
        <v>127</v>
      </c>
      <c r="D57" s="96">
        <f t="shared" ref="D57:K58" si="17">D$35*D49</f>
        <v>25.996565052806027</v>
      </c>
      <c r="E57" s="97">
        <f t="shared" si="17"/>
        <v>25.673161469512038</v>
      </c>
      <c r="F57" s="97">
        <f t="shared" si="17"/>
        <v>25.479917216831261</v>
      </c>
      <c r="G57" s="97">
        <f t="shared" si="17"/>
        <v>24.242659169066862</v>
      </c>
      <c r="H57" s="97">
        <f t="shared" si="17"/>
        <v>23.410796395984764</v>
      </c>
      <c r="I57" s="97">
        <f t="shared" si="17"/>
        <v>22.02681845039583</v>
      </c>
      <c r="J57" s="97">
        <f t="shared" si="17"/>
        <v>20.879876829488406</v>
      </c>
      <c r="K57" s="98">
        <f t="shared" si="17"/>
        <v>19.841536441074258</v>
      </c>
      <c r="L57" s="235"/>
      <c r="N57" s="213"/>
    </row>
    <row r="58" spans="2:14">
      <c r="B58" s="366" t="s">
        <v>237</v>
      </c>
      <c r="C58" s="267" t="s">
        <v>127</v>
      </c>
      <c r="D58" s="731">
        <f t="shared" si="17"/>
        <v>32.936824501292705</v>
      </c>
      <c r="E58" s="732">
        <f t="shared" si="17"/>
        <v>34.274405013334565</v>
      </c>
      <c r="F58" s="732">
        <f t="shared" si="17"/>
        <v>35.947481461434755</v>
      </c>
      <c r="G58" s="732">
        <f t="shared" si="17"/>
        <v>37.474850390165919</v>
      </c>
      <c r="H58" s="732">
        <f t="shared" si="17"/>
        <v>38.987051888634419</v>
      </c>
      <c r="I58" s="732">
        <f t="shared" si="17"/>
        <v>39.979532191729675</v>
      </c>
      <c r="J58" s="732">
        <f t="shared" si="17"/>
        <v>41.64078000182873</v>
      </c>
      <c r="K58" s="733">
        <f t="shared" si="17"/>
        <v>43.607772397965398</v>
      </c>
    </row>
    <row r="59" spans="2:14">
      <c r="B59" s="201" t="s">
        <v>341</v>
      </c>
      <c r="C59" s="267" t="s">
        <v>127</v>
      </c>
      <c r="D59" s="103">
        <f t="shared" ref="D59:K59" si="18">SUM(D57:D58)</f>
        <v>58.933389554098731</v>
      </c>
      <c r="E59" s="104">
        <f t="shared" si="18"/>
        <v>59.947566482846604</v>
      </c>
      <c r="F59" s="104">
        <f t="shared" si="18"/>
        <v>61.427398678266016</v>
      </c>
      <c r="G59" s="104">
        <f t="shared" si="18"/>
        <v>61.717509559232781</v>
      </c>
      <c r="H59" s="104">
        <f t="shared" si="18"/>
        <v>62.397848284619187</v>
      </c>
      <c r="I59" s="104">
        <f t="shared" si="18"/>
        <v>62.006350642125504</v>
      </c>
      <c r="J59" s="104">
        <f t="shared" si="18"/>
        <v>62.52065683131714</v>
      </c>
      <c r="K59" s="105">
        <f t="shared" si="18"/>
        <v>63.449308839039659</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sheetProtection password="DA3D" sheet="1" objects="1" scenarios="1"/>
  <conditionalFormatting sqref="D6:K6">
    <cfRule type="expression" dxfId="35" priority="13">
      <formula>AND(D$5="Actuals",E$5="Forecast")</formula>
    </cfRule>
  </conditionalFormatting>
  <conditionalFormatting sqref="D5:K5">
    <cfRule type="expression" dxfId="34"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102"/>
  <sheetViews>
    <sheetView showGridLines="0" zoomScale="80" zoomScaleNormal="80" workbookViewId="0">
      <pane ySplit="6" topLeftCell="A55" activePane="bottomLeft" state="frozen"/>
      <selection activeCell="A2" sqref="A2"/>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08" t="s">
        <v>260</v>
      </c>
      <c r="B1" s="904"/>
      <c r="C1" s="257"/>
      <c r="D1" s="257"/>
      <c r="E1" s="257"/>
      <c r="F1" s="257"/>
      <c r="G1" s="257"/>
      <c r="H1" s="257"/>
      <c r="I1" s="258"/>
      <c r="J1" s="258"/>
      <c r="K1" s="259"/>
      <c r="L1" s="260"/>
    </row>
    <row r="2" spans="1:13" s="31" customFormat="1" ht="20.25">
      <c r="A2" s="897" t="str">
        <f>'RFPR cover'!C5</f>
        <v>NPgY</v>
      </c>
      <c r="B2" s="889"/>
      <c r="C2" s="29"/>
      <c r="D2" s="29"/>
      <c r="E2" s="29"/>
      <c r="F2" s="29"/>
      <c r="G2" s="29"/>
      <c r="H2" s="29"/>
      <c r="I2" s="27"/>
      <c r="J2" s="27"/>
      <c r="K2" s="27"/>
      <c r="L2" s="124"/>
    </row>
    <row r="3" spans="1:13" s="31" customFormat="1" ht="20.25">
      <c r="A3" s="900">
        <f>'RFPR cover'!C7</f>
        <v>2021</v>
      </c>
      <c r="B3" s="907"/>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84" t="str">
        <f>IF(D6&lt;=('RFPR cover'!$C$7-1),"Actuals","Forecast")</f>
        <v>Actuals</v>
      </c>
      <c r="E5" s="384" t="str">
        <f>IF(E6&lt;=('RFPR cover'!$C$7-1),"Actuals","Forecast")</f>
        <v>Actuals</v>
      </c>
      <c r="F5" s="384" t="str">
        <f>IF(F6&lt;=('RFPR cover'!$C$7-1),"Actuals","Forecast")</f>
        <v>Actuals</v>
      </c>
      <c r="G5" s="384" t="str">
        <f>IF(G6&lt;=('RFPR cover'!$C$7-1),"Actuals","Forecast")</f>
        <v>Actuals</v>
      </c>
      <c r="H5" s="384" t="str">
        <f>IF(H6&lt;=('RFPR cover'!$C$7-1),"Actuals","Forecast")</f>
        <v>Actuals</v>
      </c>
      <c r="I5" s="384" t="str">
        <f>IF(I6&lt;=('RFPR cover'!$C$7-1),"Actuals","Forecast")</f>
        <v>Forecast</v>
      </c>
      <c r="J5" s="384" t="str">
        <f>IF(J6&lt;=('RFPR cover'!$C$7-1),"Actuals","Forecast")</f>
        <v>Forecast</v>
      </c>
      <c r="K5" s="384"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24"/>
      <c r="E7" s="424"/>
      <c r="F7" s="424"/>
      <c r="G7" s="424"/>
      <c r="H7" s="424"/>
      <c r="I7" s="424"/>
      <c r="J7" s="424"/>
      <c r="K7" s="424"/>
    </row>
    <row r="8" spans="1:13" s="2" customFormat="1">
      <c r="B8" s="363" t="s">
        <v>366</v>
      </c>
      <c r="C8" s="292"/>
      <c r="D8" s="292"/>
      <c r="E8" s="292"/>
      <c r="F8" s="292"/>
      <c r="G8" s="292"/>
      <c r="H8" s="292"/>
      <c r="I8" s="292"/>
      <c r="J8" s="292"/>
      <c r="K8" s="292"/>
      <c r="L8" s="292"/>
    </row>
    <row r="9" spans="1:13" s="2" customFormat="1">
      <c r="B9" s="363" t="s">
        <v>468</v>
      </c>
      <c r="C9" s="292"/>
      <c r="D9" s="292"/>
      <c r="E9" s="292"/>
      <c r="F9" s="292"/>
      <c r="G9" s="292"/>
      <c r="H9" s="292"/>
      <c r="I9" s="292"/>
      <c r="J9" s="292"/>
      <c r="K9" s="292"/>
      <c r="L9" s="292"/>
    </row>
    <row r="10" spans="1:13" s="2" customFormat="1">
      <c r="B10" s="363" t="s">
        <v>367</v>
      </c>
      <c r="C10" s="292"/>
      <c r="D10" s="292"/>
      <c r="E10" s="292"/>
      <c r="F10" s="292"/>
      <c r="G10" s="292"/>
      <c r="H10" s="292"/>
      <c r="I10" s="292"/>
      <c r="J10" s="292"/>
      <c r="K10" s="292"/>
      <c r="L10" s="292"/>
    </row>
    <row r="11" spans="1:13" s="35" customFormat="1">
      <c r="B11" s="423"/>
    </row>
    <row r="12" spans="1:13">
      <c r="B12" s="200" t="s">
        <v>531</v>
      </c>
      <c r="C12" s="267" t="s">
        <v>127</v>
      </c>
      <c r="D12" s="634">
        <v>31.819017375000005</v>
      </c>
      <c r="E12" s="635">
        <v>29.986695830000006</v>
      </c>
      <c r="F12" s="635">
        <v>26.519530289999999</v>
      </c>
      <c r="G12" s="635">
        <v>27.211557480000003</v>
      </c>
      <c r="H12" s="635">
        <v>28.66343466</v>
      </c>
      <c r="I12" s="635"/>
      <c r="J12" s="635"/>
      <c r="K12" s="636"/>
    </row>
    <row r="13" spans="1:13">
      <c r="B13" s="14"/>
      <c r="C13" s="14"/>
      <c r="D13" s="734"/>
      <c r="E13" s="734"/>
      <c r="F13" s="734"/>
      <c r="G13" s="734"/>
      <c r="H13" s="734"/>
      <c r="I13" s="734"/>
      <c r="J13" s="734"/>
      <c r="K13" s="734"/>
    </row>
    <row r="14" spans="1:13">
      <c r="B14" s="14" t="s">
        <v>467</v>
      </c>
      <c r="C14" s="267"/>
      <c r="D14" s="734"/>
      <c r="E14" s="734"/>
      <c r="F14" s="734"/>
      <c r="G14" s="734"/>
      <c r="H14" s="734"/>
      <c r="I14" s="734"/>
      <c r="J14" s="734"/>
      <c r="K14" s="734"/>
    </row>
    <row r="15" spans="1:13">
      <c r="B15" s="364" t="s">
        <v>489</v>
      </c>
      <c r="C15" s="267" t="s">
        <v>127</v>
      </c>
      <c r="D15" s="590">
        <v>0.14532627807209497</v>
      </c>
      <c r="E15" s="591">
        <v>0.15326479410465785</v>
      </c>
      <c r="F15" s="591">
        <v>-5.1736557402666486E-2</v>
      </c>
      <c r="G15" s="591">
        <v>0.15283205545897532</v>
      </c>
      <c r="H15" s="591">
        <v>0.49831737961242417</v>
      </c>
      <c r="I15" s="591"/>
      <c r="J15" s="591"/>
      <c r="K15" s="601"/>
    </row>
    <row r="16" spans="1:13">
      <c r="B16" s="425" t="s">
        <v>22</v>
      </c>
      <c r="C16" s="267" t="s">
        <v>127</v>
      </c>
      <c r="D16" s="590"/>
      <c r="E16" s="591"/>
      <c r="F16" s="591"/>
      <c r="G16" s="591"/>
      <c r="H16" s="591"/>
      <c r="I16" s="591"/>
      <c r="J16" s="591"/>
      <c r="K16" s="601"/>
    </row>
    <row r="17" spans="2:12">
      <c r="B17" s="425" t="s">
        <v>22</v>
      </c>
      <c r="C17" s="267" t="s">
        <v>127</v>
      </c>
      <c r="D17" s="590"/>
      <c r="E17" s="591"/>
      <c r="F17" s="591"/>
      <c r="G17" s="591"/>
      <c r="H17" s="591"/>
      <c r="I17" s="591"/>
      <c r="J17" s="591"/>
      <c r="K17" s="601"/>
    </row>
    <row r="18" spans="2:12">
      <c r="B18" s="425" t="s">
        <v>22</v>
      </c>
      <c r="C18" s="267" t="s">
        <v>127</v>
      </c>
      <c r="D18" s="590"/>
      <c r="E18" s="591"/>
      <c r="F18" s="591"/>
      <c r="G18" s="591"/>
      <c r="H18" s="591"/>
      <c r="I18" s="591"/>
      <c r="J18" s="591"/>
      <c r="K18" s="601"/>
    </row>
    <row r="19" spans="2:12">
      <c r="B19" s="269" t="s">
        <v>368</v>
      </c>
      <c r="C19" s="267" t="s">
        <v>127</v>
      </c>
      <c r="D19" s="735">
        <f>SUM(D15:D18)</f>
        <v>0.14532627807209497</v>
      </c>
      <c r="E19" s="736">
        <f t="shared" ref="E19:K19" si="1">SUM(E15:E18)</f>
        <v>0.15326479410465785</v>
      </c>
      <c r="F19" s="736">
        <f t="shared" si="1"/>
        <v>-5.1736557402666486E-2</v>
      </c>
      <c r="G19" s="736">
        <f t="shared" si="1"/>
        <v>0.15283205545897532</v>
      </c>
      <c r="H19" s="736">
        <f t="shared" si="1"/>
        <v>0.49831737961242417</v>
      </c>
      <c r="I19" s="736">
        <f t="shared" si="1"/>
        <v>0</v>
      </c>
      <c r="J19" s="736">
        <f t="shared" si="1"/>
        <v>0</v>
      </c>
      <c r="K19" s="737">
        <f t="shared" si="1"/>
        <v>0</v>
      </c>
    </row>
    <row r="20" spans="2:12" s="31" customFormat="1">
      <c r="B20" s="364"/>
      <c r="C20" s="364"/>
      <c r="D20" s="738"/>
      <c r="E20" s="738"/>
      <c r="F20" s="738"/>
      <c r="G20" s="738"/>
      <c r="H20" s="738"/>
      <c r="I20" s="738"/>
      <c r="J20" s="738"/>
      <c r="K20" s="738"/>
      <c r="L20" s="364"/>
    </row>
    <row r="21" spans="2:12">
      <c r="B21" s="14" t="s">
        <v>330</v>
      </c>
      <c r="C21" s="267"/>
      <c r="D21" s="739"/>
      <c r="E21" s="739"/>
      <c r="F21" s="739"/>
      <c r="G21" s="739"/>
      <c r="H21" s="739"/>
      <c r="I21" s="739"/>
      <c r="J21" s="739"/>
      <c r="K21" s="739"/>
      <c r="L21" s="267"/>
    </row>
    <row r="22" spans="2:12">
      <c r="B22" s="364" t="s">
        <v>490</v>
      </c>
      <c r="C22" s="267" t="s">
        <v>127</v>
      </c>
      <c r="D22" s="846">
        <f>('R5 - Output Incentives'!D102)*INDEX(Data!$G$14:$G$30,MATCH('R10 - Tax'!D$6,Data!$C$14:$C$30,0),1)</f>
        <v>1.6014347229172388</v>
      </c>
      <c r="E22" s="847">
        <f>('R5 - Output Incentives'!E102)*INDEX(Data!$G$14:$G$30,MATCH('R10 - Tax'!E$6,Data!$C$14:$C$30,0),1)</f>
        <v>2.5824790098593442</v>
      </c>
      <c r="F22" s="847">
        <f>('R5 - Output Incentives'!F102)*INDEX(Data!$G$14:$G$30,MATCH('R10 - Tax'!F$6,Data!$C$14:$C$30,0),1)</f>
        <v>3.4770138134920061</v>
      </c>
      <c r="G22" s="847">
        <f>('R5 - Output Incentives'!G102)*INDEX(Data!$G$14:$G$30,MATCH('R10 - Tax'!G$6,Data!$C$14:$C$30,0),1)</f>
        <v>3.8182710544203018</v>
      </c>
      <c r="H22" s="849">
        <f>('R5 - Output Incentives'!H102)*INDEX(Data!$G$14:$G$30,MATCH('R10 - Tax'!H$6,Data!$C$14:$C$30,0),1)</f>
        <v>3.8398670257334451</v>
      </c>
      <c r="I22" s="849">
        <f>('R5 - Output Incentives'!I102)*INDEX(Data!$G$14:$G$30,MATCH('R10 - Tax'!I$6,Data!$C$14:$C$30,0),1)</f>
        <v>4.0070758766776473</v>
      </c>
      <c r="J22" s="849">
        <f>('R5 - Output Incentives'!J102)*INDEX(Data!$G$14:$G$30,MATCH('R10 - Tax'!J$6,Data!$C$14:$C$30,0),1)</f>
        <v>3.6775756232947647</v>
      </c>
      <c r="K22" s="850">
        <f>('R5 - Output Incentives'!K102)*INDEX(Data!$G$14:$G$30,MATCH('R10 - Tax'!K$6,Data!$C$14:$C$30,0),1)</f>
        <v>3.6480266148927876</v>
      </c>
    </row>
    <row r="23" spans="2:12">
      <c r="B23" s="364" t="s">
        <v>491</v>
      </c>
      <c r="C23" s="267" t="s">
        <v>127</v>
      </c>
      <c r="D23" s="594">
        <f>('R4 - Totex'!D77-'R4 - Totex'!D79)*D52</f>
        <v>0</v>
      </c>
      <c r="E23" s="596">
        <f>('R4 - Totex'!E77-'R4 - Totex'!E79)*E52</f>
        <v>0</v>
      </c>
      <c r="F23" s="596">
        <f>('R4 - Totex'!F77-'R4 - Totex'!F79)*F52</f>
        <v>0</v>
      </c>
      <c r="G23" s="596">
        <f>('R4 - Totex'!G77-'R4 - Totex'!G79)*G52</f>
        <v>0</v>
      </c>
      <c r="H23" s="851">
        <f>('R4 - Totex'!H77-'R4 - Totex'!H79)*H52</f>
        <v>0</v>
      </c>
      <c r="I23" s="851">
        <f>('R4 - Totex'!I77-'R4 - Totex'!I79)*I52</f>
        <v>0</v>
      </c>
      <c r="J23" s="851">
        <f>('R4 - Totex'!J77-'R4 - Totex'!J79)*J52</f>
        <v>0</v>
      </c>
      <c r="K23" s="852">
        <f>('R4 - Totex'!K77-'R4 - Totex'!K79)*K52</f>
        <v>0</v>
      </c>
    </row>
    <row r="24" spans="2:12">
      <c r="B24" s="364" t="s">
        <v>492</v>
      </c>
      <c r="C24" s="267" t="s">
        <v>127</v>
      </c>
      <c r="D24" s="592">
        <v>2.7175248000000001</v>
      </c>
      <c r="E24" s="593">
        <v>2.5330196405595777</v>
      </c>
      <c r="F24" s="593">
        <v>0.12873212725609975</v>
      </c>
      <c r="G24" s="593">
        <v>-0.59158086047112191</v>
      </c>
      <c r="H24" s="593">
        <v>0.33641833362238738</v>
      </c>
      <c r="I24" s="593"/>
      <c r="J24" s="593"/>
      <c r="K24" s="602"/>
    </row>
    <row r="25" spans="2:12">
      <c r="B25" s="364" t="s">
        <v>493</v>
      </c>
      <c r="C25" s="267" t="s">
        <v>127</v>
      </c>
      <c r="D25" s="592">
        <v>-0.16439424227478183</v>
      </c>
      <c r="E25" s="593">
        <v>0.43642909404837915</v>
      </c>
      <c r="F25" s="593">
        <v>0.18111074635695518</v>
      </c>
      <c r="G25" s="593">
        <v>-7.558167655109671E-2</v>
      </c>
      <c r="H25" s="593">
        <v>-8.7557977610851434E-2</v>
      </c>
      <c r="I25" s="593"/>
      <c r="J25" s="593"/>
      <c r="K25" s="602"/>
    </row>
    <row r="26" spans="2:12">
      <c r="B26" s="364" t="s">
        <v>494</v>
      </c>
      <c r="C26" s="267" t="s">
        <v>127</v>
      </c>
      <c r="D26" s="592">
        <v>0</v>
      </c>
      <c r="E26" s="593">
        <v>0</v>
      </c>
      <c r="F26" s="593">
        <v>0</v>
      </c>
      <c r="G26" s="593">
        <v>-0.17279598197393156</v>
      </c>
      <c r="H26" s="593">
        <v>-0.1595223171534893</v>
      </c>
      <c r="I26" s="593"/>
      <c r="J26" s="593"/>
      <c r="K26" s="602"/>
    </row>
    <row r="27" spans="2:12">
      <c r="B27" s="364" t="s">
        <v>495</v>
      </c>
      <c r="C27" s="267" t="s">
        <v>127</v>
      </c>
      <c r="D27" s="592"/>
      <c r="E27" s="593"/>
      <c r="F27" s="593"/>
      <c r="G27" s="593"/>
      <c r="H27" s="593"/>
      <c r="I27" s="593"/>
      <c r="J27" s="593"/>
      <c r="K27" s="602"/>
    </row>
    <row r="28" spans="2:12">
      <c r="B28" s="364" t="s">
        <v>545</v>
      </c>
      <c r="C28" s="267" t="s">
        <v>127</v>
      </c>
      <c r="D28" s="592"/>
      <c r="E28" s="593"/>
      <c r="F28" s="593"/>
      <c r="G28" s="593"/>
      <c r="H28" s="593"/>
      <c r="I28" s="593"/>
      <c r="J28" s="593"/>
      <c r="K28" s="602"/>
    </row>
    <row r="29" spans="2:12">
      <c r="B29" s="926" t="s">
        <v>576</v>
      </c>
      <c r="C29" s="267" t="s">
        <v>127</v>
      </c>
      <c r="D29" s="592"/>
      <c r="E29" s="593"/>
      <c r="F29" s="593"/>
      <c r="G29" s="593"/>
      <c r="H29" s="593"/>
      <c r="I29" s="593"/>
      <c r="J29" s="593"/>
      <c r="K29" s="602"/>
    </row>
    <row r="30" spans="2:12" ht="33" customHeight="1">
      <c r="B30" s="927" t="s">
        <v>577</v>
      </c>
      <c r="C30" s="267" t="s">
        <v>127</v>
      </c>
      <c r="D30" s="592">
        <v>15.472032298624999</v>
      </c>
      <c r="E30" s="593">
        <v>12.393227968000003</v>
      </c>
      <c r="F30" s="593">
        <v>12.521110218000004</v>
      </c>
      <c r="G30" s="593">
        <v>11.5046726093</v>
      </c>
      <c r="H30" s="593">
        <v>11.571499684800003</v>
      </c>
      <c r="I30" s="593"/>
      <c r="J30" s="593"/>
      <c r="K30" s="602"/>
    </row>
    <row r="31" spans="2:12" ht="33" customHeight="1">
      <c r="B31" s="927" t="s">
        <v>578</v>
      </c>
      <c r="C31" s="267" t="s">
        <v>127</v>
      </c>
      <c r="D31" s="592">
        <v>-12.393227968000003</v>
      </c>
      <c r="E31" s="593">
        <v>-12.521110218000004</v>
      </c>
      <c r="F31" s="593">
        <v>-11.5046726093</v>
      </c>
      <c r="G31" s="593">
        <v>-11.571499684800003</v>
      </c>
      <c r="H31" s="593">
        <v>-12.032398975400001</v>
      </c>
      <c r="I31" s="593"/>
      <c r="J31" s="593"/>
      <c r="K31" s="602"/>
    </row>
    <row r="32" spans="2:12">
      <c r="B32" s="926" t="s">
        <v>330</v>
      </c>
      <c r="C32" s="267" t="s">
        <v>127</v>
      </c>
      <c r="D32" s="592"/>
      <c r="E32" s="593"/>
      <c r="F32" s="593"/>
      <c r="G32" s="593"/>
      <c r="H32" s="593"/>
      <c r="I32" s="593"/>
      <c r="J32" s="593"/>
      <c r="K32" s="602"/>
    </row>
    <row r="33" spans="2:11">
      <c r="B33" s="425" t="s">
        <v>579</v>
      </c>
      <c r="C33" s="267" t="s">
        <v>127</v>
      </c>
      <c r="D33" s="603">
        <v>-2.1983327754019637</v>
      </c>
      <c r="E33" s="604">
        <v>-2.3596954309100036</v>
      </c>
      <c r="F33" s="604">
        <v>-1.4281609286119421</v>
      </c>
      <c r="G33" s="604">
        <v>0</v>
      </c>
      <c r="H33" s="604">
        <v>0</v>
      </c>
      <c r="I33" s="604"/>
      <c r="J33" s="604"/>
      <c r="K33" s="605"/>
    </row>
    <row r="34" spans="2:11">
      <c r="B34" s="425" t="s">
        <v>580</v>
      </c>
      <c r="C34" s="267" t="s">
        <v>127</v>
      </c>
      <c r="D34" s="603">
        <v>0.25808700287714087</v>
      </c>
      <c r="E34" s="604">
        <v>3.5031749981199456E-2</v>
      </c>
      <c r="F34" s="604">
        <v>0.27901600134166887</v>
      </c>
      <c r="G34" s="604">
        <v>0.29748614771409471</v>
      </c>
      <c r="H34" s="604">
        <v>0.31544451875741258</v>
      </c>
      <c r="I34" s="604"/>
      <c r="J34" s="604"/>
      <c r="K34" s="605"/>
    </row>
    <row r="35" spans="2:11">
      <c r="B35" s="425" t="s">
        <v>581</v>
      </c>
      <c r="C35" s="267" t="s">
        <v>127</v>
      </c>
      <c r="D35" s="603">
        <v>-0.10873515650993056</v>
      </c>
      <c r="E35" s="604">
        <v>-3.3873952259468688E-2</v>
      </c>
      <c r="F35" s="604">
        <v>-4.0188261673190936E-2</v>
      </c>
      <c r="G35" s="604">
        <v>-3.6807851836013192E-2</v>
      </c>
      <c r="H35" s="604">
        <v>-9.6563151515259626E-2</v>
      </c>
      <c r="I35" s="604"/>
      <c r="J35" s="604"/>
      <c r="K35" s="605"/>
    </row>
    <row r="36" spans="2:11">
      <c r="B36" s="425" t="s">
        <v>582</v>
      </c>
      <c r="C36" s="267" t="s">
        <v>127</v>
      </c>
      <c r="D36" s="603">
        <v>-0.14740631600000004</v>
      </c>
      <c r="E36" s="604">
        <v>-0.17408146400000002</v>
      </c>
      <c r="F36" s="604">
        <v>-5.2345355300000007E-2</v>
      </c>
      <c r="G36" s="604">
        <v>-0.26992289959999999</v>
      </c>
      <c r="H36" s="604">
        <v>-0.1518623298</v>
      </c>
      <c r="I36" s="604"/>
      <c r="J36" s="604"/>
      <c r="K36" s="605"/>
    </row>
    <row r="37" spans="2:11">
      <c r="B37" s="425" t="s">
        <v>583</v>
      </c>
      <c r="C37" s="267" t="s">
        <v>127</v>
      </c>
      <c r="D37" s="603">
        <v>-1.6404976495490598E-2</v>
      </c>
      <c r="E37" s="604">
        <v>-1.565060917782779E-2</v>
      </c>
      <c r="F37" s="604">
        <v>-4.4289451820987272E-2</v>
      </c>
      <c r="G37" s="604">
        <v>-4.582652351634374E-2</v>
      </c>
      <c r="H37" s="604">
        <v>-4.4377217701028981E-2</v>
      </c>
      <c r="I37" s="604"/>
      <c r="J37" s="604"/>
      <c r="K37" s="605"/>
    </row>
    <row r="38" spans="2:11">
      <c r="B38" s="425" t="s">
        <v>584</v>
      </c>
      <c r="C38" s="267" t="s">
        <v>127</v>
      </c>
      <c r="D38" s="603">
        <v>-4.1713590469566464E-4</v>
      </c>
      <c r="E38" s="604">
        <v>1.6771314000000002E-2</v>
      </c>
      <c r="F38" s="604">
        <v>3.2035957000000059E-3</v>
      </c>
      <c r="G38" s="604">
        <v>-1.1135252099999993E-2</v>
      </c>
      <c r="H38" s="604">
        <v>0</v>
      </c>
      <c r="I38" s="604"/>
      <c r="J38" s="604"/>
      <c r="K38" s="605"/>
    </row>
    <row r="39" spans="2:11">
      <c r="B39" s="425" t="s">
        <v>585</v>
      </c>
      <c r="C39" s="267" t="s">
        <v>127</v>
      </c>
      <c r="D39" s="603">
        <v>-0.57943958392385819</v>
      </c>
      <c r="E39" s="604">
        <v>-0.51559498186171893</v>
      </c>
      <c r="F39" s="604">
        <v>-0.40912664245025504</v>
      </c>
      <c r="G39" s="604">
        <v>-0.44164106944545672</v>
      </c>
      <c r="H39" s="604">
        <v>-0.34311700803144485</v>
      </c>
      <c r="I39" s="604"/>
      <c r="J39" s="604"/>
      <c r="K39" s="605"/>
    </row>
    <row r="40" spans="2:11">
      <c r="B40" s="926" t="s">
        <v>586</v>
      </c>
      <c r="C40" s="267" t="s">
        <v>127</v>
      </c>
      <c r="D40" s="603"/>
      <c r="E40" s="604"/>
      <c r="F40" s="604"/>
      <c r="G40" s="604"/>
      <c r="H40" s="604"/>
      <c r="I40" s="604"/>
      <c r="J40" s="604"/>
      <c r="K40" s="605"/>
    </row>
    <row r="41" spans="2:11">
      <c r="B41" s="425" t="s">
        <v>587</v>
      </c>
      <c r="C41" s="267" t="s">
        <v>127</v>
      </c>
      <c r="D41" s="603">
        <v>-0.13045582397468253</v>
      </c>
      <c r="E41" s="604">
        <v>0.60036877589062676</v>
      </c>
      <c r="F41" s="604">
        <v>-0.32329694272193249</v>
      </c>
      <c r="G41" s="604">
        <v>-1.4966347730927811</v>
      </c>
      <c r="H41" s="604">
        <v>-1.0053462170427172</v>
      </c>
      <c r="I41" s="604"/>
      <c r="J41" s="604"/>
      <c r="K41" s="605"/>
    </row>
    <row r="42" spans="2:11">
      <c r="B42" s="425" t="s">
        <v>594</v>
      </c>
      <c r="C42" s="267" t="s">
        <v>127</v>
      </c>
      <c r="D42" s="592">
        <v>-6.3878826337342043E-2</v>
      </c>
      <c r="E42" s="593">
        <v>1.0110216210361214</v>
      </c>
      <c r="F42" s="593">
        <v>0.5280434316300846</v>
      </c>
      <c r="G42" s="593">
        <v>-0.30170095912134959</v>
      </c>
      <c r="H42" s="604">
        <v>-1.9530101573644825</v>
      </c>
      <c r="I42" s="604"/>
      <c r="J42" s="604"/>
      <c r="K42" s="605"/>
    </row>
    <row r="43" spans="2:11">
      <c r="B43" s="425" t="s">
        <v>588</v>
      </c>
      <c r="C43" s="267" t="s">
        <v>127</v>
      </c>
      <c r="D43" s="603">
        <v>1.4033401532645411</v>
      </c>
      <c r="E43" s="604">
        <v>0.25618891999591209</v>
      </c>
      <c r="F43" s="604">
        <v>-0.13871194753329982</v>
      </c>
      <c r="G43" s="604">
        <v>5.688984048763767E-2</v>
      </c>
      <c r="H43" s="604">
        <v>0.49822344263361001</v>
      </c>
      <c r="I43" s="604"/>
      <c r="J43" s="604"/>
      <c r="K43" s="605"/>
    </row>
    <row r="44" spans="2:11">
      <c r="B44" s="425" t="s">
        <v>589</v>
      </c>
      <c r="C44" s="267" t="s">
        <v>127</v>
      </c>
      <c r="D44" s="603">
        <v>0</v>
      </c>
      <c r="E44" s="604">
        <v>0</v>
      </c>
      <c r="F44" s="604">
        <v>-1.5161484065984141</v>
      </c>
      <c r="G44" s="604">
        <v>-0.27923844175787088</v>
      </c>
      <c r="H44" s="604">
        <v>0.18195195216702881</v>
      </c>
      <c r="I44" s="604"/>
      <c r="J44" s="604"/>
      <c r="K44" s="605"/>
    </row>
    <row r="45" spans="2:11">
      <c r="B45" s="425" t="s">
        <v>566</v>
      </c>
      <c r="C45" s="267" t="s">
        <v>127</v>
      </c>
      <c r="D45" s="603">
        <v>-9.196147392841568E-2</v>
      </c>
      <c r="E45" s="604">
        <v>-0.40372520738110751</v>
      </c>
      <c r="F45" s="604">
        <v>1.22766276617934</v>
      </c>
      <c r="G45" s="604">
        <v>1.7543367451268839</v>
      </c>
      <c r="H45" s="604">
        <v>-0.11592452843329049</v>
      </c>
      <c r="I45" s="604"/>
      <c r="J45" s="604"/>
      <c r="K45" s="605"/>
    </row>
    <row r="46" spans="2:11">
      <c r="B46" s="425" t="s">
        <v>20</v>
      </c>
      <c r="C46" s="267" t="s">
        <v>127</v>
      </c>
      <c r="D46" s="603"/>
      <c r="E46" s="604"/>
      <c r="F46" s="604"/>
      <c r="G46" s="604"/>
      <c r="H46" s="604"/>
      <c r="I46" s="604"/>
      <c r="J46" s="604"/>
      <c r="K46" s="605"/>
    </row>
    <row r="47" spans="2:11">
      <c r="B47" s="14" t="s">
        <v>176</v>
      </c>
      <c r="C47" s="267" t="s">
        <v>127</v>
      </c>
      <c r="D47" s="740">
        <f t="shared" ref="D47:K47" si="2">SUM(D22:D46)</f>
        <v>5.5577646989327523</v>
      </c>
      <c r="E47" s="741">
        <f t="shared" si="2"/>
        <v>3.8408062297810339</v>
      </c>
      <c r="F47" s="741">
        <f t="shared" si="2"/>
        <v>2.8889521539461374</v>
      </c>
      <c r="G47" s="741">
        <f t="shared" si="2"/>
        <v>2.1372904227829506</v>
      </c>
      <c r="H47" s="741">
        <f t="shared" si="2"/>
        <v>0.75372507766132124</v>
      </c>
      <c r="I47" s="741">
        <f t="shared" si="2"/>
        <v>4.0070758766776473</v>
      </c>
      <c r="J47" s="741">
        <f t="shared" si="2"/>
        <v>3.6775756232947647</v>
      </c>
      <c r="K47" s="742">
        <f t="shared" si="2"/>
        <v>3.6480266148927876</v>
      </c>
    </row>
    <row r="49" spans="2:13" ht="12.75" customHeight="1">
      <c r="B49" s="820" t="s">
        <v>502</v>
      </c>
      <c r="C49" s="267" t="s">
        <v>127</v>
      </c>
      <c r="D49" s="634"/>
      <c r="E49" s="634"/>
      <c r="F49" s="635"/>
      <c r="G49" s="635"/>
      <c r="H49" s="635"/>
      <c r="I49" s="934">
        <v>32.982179257151387</v>
      </c>
      <c r="J49" s="932">
        <v>33.761879095754246</v>
      </c>
      <c r="K49" s="933">
        <v>33.802851843446327</v>
      </c>
    </row>
    <row r="50" spans="2:13" ht="12.75" customHeight="1">
      <c r="B50" s="820" t="s">
        <v>471</v>
      </c>
      <c r="C50" s="267" t="s">
        <v>127</v>
      </c>
      <c r="D50" s="740">
        <f t="shared" ref="D50:K50" si="3">D12+D49-D19-D47</f>
        <v>26.11592639799516</v>
      </c>
      <c r="E50" s="741">
        <f>E12+E49-E19-E47</f>
        <v>25.992624806114314</v>
      </c>
      <c r="F50" s="741">
        <f>F12+F49-F19-F47</f>
        <v>23.682314693456526</v>
      </c>
      <c r="G50" s="741">
        <f>G12+G49-G19-G47</f>
        <v>24.921435001758077</v>
      </c>
      <c r="H50" s="741">
        <f t="shared" si="3"/>
        <v>27.411392202726255</v>
      </c>
      <c r="I50" s="741">
        <f t="shared" si="3"/>
        <v>28.97510338047374</v>
      </c>
      <c r="J50" s="741">
        <f t="shared" si="3"/>
        <v>30.084303472459482</v>
      </c>
      <c r="K50" s="742">
        <f t="shared" si="3"/>
        <v>30.154825228553538</v>
      </c>
    </row>
    <row r="51" spans="2:13" ht="12.75" customHeight="1">
      <c r="B51" s="476"/>
      <c r="C51" s="267"/>
      <c r="D51" s="267"/>
      <c r="E51" s="267"/>
      <c r="F51" s="267"/>
      <c r="G51" s="267"/>
      <c r="H51" s="267"/>
      <c r="I51" s="267"/>
      <c r="J51" s="267"/>
      <c r="K51" s="267"/>
    </row>
    <row r="52" spans="2:13">
      <c r="B52" s="37" t="s">
        <v>479</v>
      </c>
      <c r="C52" s="268" t="s">
        <v>126</v>
      </c>
      <c r="D52" s="113">
        <f>Data!C$34</f>
        <v>1.0603167467048125</v>
      </c>
      <c r="E52" s="113">
        <f>Data!D$34</f>
        <v>1.0830366813119445</v>
      </c>
      <c r="F52" s="113">
        <f>Data!E$34</f>
        <v>1.1235639113109226</v>
      </c>
      <c r="G52" s="113">
        <f>Data!F$34</f>
        <v>1.1578951670583426</v>
      </c>
      <c r="H52" s="113">
        <f>Data!G$34</f>
        <v>1.1878696229692449</v>
      </c>
      <c r="I52" s="113">
        <f>Data!H$34</f>
        <v>1.2022764892203943</v>
      </c>
      <c r="J52" s="113">
        <f>Data!I$34</f>
        <v>1.2341368161847346</v>
      </c>
      <c r="K52" s="113">
        <f>Data!J$34</f>
        <v>1.2720865232824152</v>
      </c>
      <c r="L52" s="267"/>
    </row>
    <row r="53" spans="2:13">
      <c r="B53" s="200"/>
      <c r="C53" s="267"/>
      <c r="D53" s="267"/>
      <c r="E53" s="267"/>
      <c r="F53" s="267"/>
      <c r="G53" s="267"/>
      <c r="H53" s="267"/>
      <c r="I53" s="267"/>
      <c r="J53" s="267"/>
      <c r="K53" s="267"/>
    </row>
    <row r="54" spans="2:13">
      <c r="B54" s="539" t="s">
        <v>472</v>
      </c>
      <c r="C54" s="391" t="str">
        <f>'RFPR cover'!$C$14</f>
        <v>£m 12/13</v>
      </c>
      <c r="D54" s="785">
        <f t="shared" ref="D54:K54" si="4">D50/D52</f>
        <v>24.630306443010202</v>
      </c>
      <c r="E54" s="786">
        <f t="shared" si="4"/>
        <v>23.999764047352446</v>
      </c>
      <c r="F54" s="786">
        <f t="shared" si="4"/>
        <v>21.077852763911839</v>
      </c>
      <c r="G54" s="786">
        <f t="shared" si="4"/>
        <v>21.523049504620971</v>
      </c>
      <c r="H54" s="786">
        <f t="shared" si="4"/>
        <v>23.076094945679035</v>
      </c>
      <c r="I54" s="786">
        <f t="shared" si="4"/>
        <v>24.100199613204108</v>
      </c>
      <c r="J54" s="786">
        <f t="shared" si="4"/>
        <v>24.376797675855286</v>
      </c>
      <c r="K54" s="787">
        <f t="shared" si="4"/>
        <v>23.705011158159156</v>
      </c>
    </row>
    <row r="55" spans="2:13">
      <c r="B55" s="820"/>
      <c r="C55" s="820"/>
      <c r="D55" s="820"/>
      <c r="E55" s="820"/>
      <c r="F55" s="820"/>
      <c r="G55" s="820"/>
      <c r="H55" s="820"/>
      <c r="I55" s="820"/>
      <c r="J55" s="820"/>
      <c r="K55" s="820"/>
    </row>
    <row r="56" spans="2:13">
      <c r="B56" s="828" t="s">
        <v>452</v>
      </c>
      <c r="C56" s="211"/>
      <c r="D56" s="211"/>
      <c r="E56" s="211"/>
      <c r="F56" s="211"/>
      <c r="G56" s="211"/>
      <c r="H56" s="211"/>
      <c r="I56" s="211"/>
      <c r="J56" s="211"/>
      <c r="K56" s="211"/>
    </row>
    <row r="57" spans="2:13">
      <c r="B57" s="363" t="s">
        <v>443</v>
      </c>
      <c r="C57" s="426"/>
      <c r="D57" s="426"/>
      <c r="E57" s="426"/>
      <c r="F57" s="426"/>
      <c r="G57" s="426"/>
      <c r="H57" s="426"/>
      <c r="I57" s="426"/>
      <c r="J57" s="426"/>
      <c r="K57" s="426"/>
      <c r="L57" s="426"/>
      <c r="M57" s="426"/>
    </row>
    <row r="59" spans="2:13" ht="12.75" customHeight="1">
      <c r="B59" s="214" t="s">
        <v>115</v>
      </c>
      <c r="C59" s="156" t="s">
        <v>7</v>
      </c>
      <c r="D59" s="878">
        <f>'RFPR cover'!$C$12</f>
        <v>0.65</v>
      </c>
      <c r="E59" s="879">
        <f>'RFPR cover'!$C$12</f>
        <v>0.65</v>
      </c>
      <c r="F59" s="879">
        <f>'RFPR cover'!$C$12</f>
        <v>0.65</v>
      </c>
      <c r="G59" s="879">
        <f>'RFPR cover'!$C$12</f>
        <v>0.65</v>
      </c>
      <c r="H59" s="879">
        <f>'RFPR cover'!$C$12</f>
        <v>0.65</v>
      </c>
      <c r="I59" s="879">
        <f>'RFPR cover'!$C$12</f>
        <v>0.65</v>
      </c>
      <c r="J59" s="879">
        <f>'RFPR cover'!$C$12</f>
        <v>0.65</v>
      </c>
      <c r="K59" s="880">
        <f>'RFPR cover'!$C$12</f>
        <v>0.65</v>
      </c>
    </row>
    <row r="60" spans="2:13" ht="12.75" customHeight="1">
      <c r="B60" s="214" t="s">
        <v>405</v>
      </c>
      <c r="C60" s="156" t="s">
        <v>7</v>
      </c>
      <c r="D60" s="878">
        <f>'R8 - Net Debt'!D57</f>
        <v>0.50794083324969319</v>
      </c>
      <c r="E60" s="879">
        <f>'R8 - Net Debt'!E57</f>
        <v>0.49891916750552673</v>
      </c>
      <c r="F60" s="879">
        <f>'R8 - Net Debt'!F57</f>
        <v>0.4760837137079168</v>
      </c>
      <c r="G60" s="879">
        <f>'R8 - Net Debt'!G57</f>
        <v>0.46573377054982462</v>
      </c>
      <c r="H60" s="879">
        <f>'R8 - Net Debt'!H57</f>
        <v>0.47128119606880492</v>
      </c>
      <c r="I60" s="879">
        <f>'R8 - Net Debt'!I57</f>
        <v>0.48675890031815827</v>
      </c>
      <c r="J60" s="879">
        <f>'R8 - Net Debt'!J57</f>
        <v>0.49142908371824201</v>
      </c>
      <c r="K60" s="880">
        <f>'R8 - Net Debt'!K57</f>
        <v>0.48296799276926078</v>
      </c>
    </row>
    <row r="61" spans="2:13" ht="12.75" customHeight="1">
      <c r="B61" s="214"/>
      <c r="C61" s="156"/>
      <c r="D61" s="156"/>
      <c r="E61" s="156"/>
      <c r="F61" s="156"/>
      <c r="G61" s="156"/>
      <c r="H61" s="156"/>
      <c r="I61" s="156"/>
      <c r="J61" s="156"/>
      <c r="K61" s="156"/>
      <c r="L61" s="156"/>
    </row>
    <row r="62" spans="2:13" ht="12.75" customHeight="1">
      <c r="B62" s="820" t="s">
        <v>472</v>
      </c>
      <c r="C62" s="267" t="s">
        <v>127</v>
      </c>
      <c r="D62" s="785">
        <f>D50</f>
        <v>26.11592639799516</v>
      </c>
      <c r="E62" s="785">
        <f t="shared" ref="E62:K62" si="5">E50</f>
        <v>25.992624806114314</v>
      </c>
      <c r="F62" s="785">
        <f t="shared" si="5"/>
        <v>23.682314693456526</v>
      </c>
      <c r="G62" s="785">
        <f t="shared" si="5"/>
        <v>24.921435001758077</v>
      </c>
      <c r="H62" s="785">
        <f t="shared" si="5"/>
        <v>27.411392202726255</v>
      </c>
      <c r="I62" s="785">
        <f t="shared" si="5"/>
        <v>28.97510338047374</v>
      </c>
      <c r="J62" s="785">
        <f t="shared" si="5"/>
        <v>30.084303472459482</v>
      </c>
      <c r="K62" s="785">
        <f t="shared" si="5"/>
        <v>30.154825228553538</v>
      </c>
    </row>
    <row r="63" spans="2:13">
      <c r="B63" s="214" t="s">
        <v>453</v>
      </c>
      <c r="C63" s="267" t="s">
        <v>127</v>
      </c>
      <c r="D63" s="785">
        <f>D98-D100</f>
        <v>-2.6537999095372338</v>
      </c>
      <c r="E63" s="785">
        <f t="shared" ref="E63:K63" si="6">E98-E100</f>
        <v>-2.9827823248476935</v>
      </c>
      <c r="F63" s="785">
        <f t="shared" si="6"/>
        <v>-3.4963946587867705</v>
      </c>
      <c r="G63" s="785">
        <f t="shared" si="6"/>
        <v>-3.7571313408935518</v>
      </c>
      <c r="H63" s="785">
        <f t="shared" si="6"/>
        <v>-3.5263502118859904</v>
      </c>
      <c r="I63" s="785">
        <f t="shared" si="6"/>
        <v>-2.4849010135672689</v>
      </c>
      <c r="J63" s="785">
        <f t="shared" si="6"/>
        <v>-2.4736892511487754</v>
      </c>
      <c r="K63" s="785">
        <f t="shared" si="6"/>
        <v>-2.4576394237994186</v>
      </c>
      <c r="L63" s="267"/>
    </row>
    <row r="64" spans="2:13" s="31" customFormat="1">
      <c r="B64" s="829" t="s">
        <v>413</v>
      </c>
      <c r="C64" s="267" t="s">
        <v>127</v>
      </c>
      <c r="D64" s="740">
        <f>SUM(D62:D63)</f>
        <v>23.462126488457926</v>
      </c>
      <c r="E64" s="741">
        <f t="shared" ref="E64:K64" si="7">SUM(E62:E63)</f>
        <v>23.00984248126662</v>
      </c>
      <c r="F64" s="741">
        <f t="shared" si="7"/>
        <v>20.185920034669756</v>
      </c>
      <c r="G64" s="741">
        <f t="shared" si="7"/>
        <v>21.164303660864526</v>
      </c>
      <c r="H64" s="741">
        <f t="shared" si="7"/>
        <v>23.885041990840264</v>
      </c>
      <c r="I64" s="741">
        <f t="shared" si="7"/>
        <v>26.490202366906473</v>
      </c>
      <c r="J64" s="741">
        <f t="shared" si="7"/>
        <v>27.610614221310705</v>
      </c>
      <c r="K64" s="742">
        <f t="shared" si="7"/>
        <v>27.69718580475412</v>
      </c>
      <c r="L64" s="805"/>
    </row>
    <row r="66" spans="2:14">
      <c r="B66" s="829" t="s">
        <v>413</v>
      </c>
      <c r="C66" s="391" t="str">
        <f>'RFPR cover'!$C$14</f>
        <v>£m 12/13</v>
      </c>
      <c r="D66" s="740">
        <f>D64/D52</f>
        <v>22.127469514531473</v>
      </c>
      <c r="E66" s="741">
        <f t="shared" ref="E66:K66" si="8">E64/E52</f>
        <v>21.245672356538726</v>
      </c>
      <c r="F66" s="741">
        <f t="shared" si="8"/>
        <v>17.965974014880697</v>
      </c>
      <c r="G66" s="741">
        <f t="shared" si="8"/>
        <v>18.278255461271932</v>
      </c>
      <c r="H66" s="741">
        <f t="shared" si="8"/>
        <v>20.107460893844806</v>
      </c>
      <c r="I66" s="741">
        <f t="shared" si="8"/>
        <v>22.033369698582241</v>
      </c>
      <c r="J66" s="741">
        <f t="shared" si="8"/>
        <v>22.372409492383014</v>
      </c>
      <c r="K66" s="742">
        <f t="shared" si="8"/>
        <v>21.773036108649258</v>
      </c>
    </row>
    <row r="67" spans="2:14">
      <c r="B67" s="829"/>
      <c r="C67" s="391"/>
      <c r="D67" s="391"/>
      <c r="E67" s="391"/>
      <c r="F67" s="391"/>
      <c r="G67" s="391"/>
      <c r="H67" s="391"/>
      <c r="I67" s="391"/>
      <c r="J67" s="391"/>
      <c r="K67" s="391"/>
    </row>
    <row r="69" spans="2:14">
      <c r="B69" s="788" t="s">
        <v>379</v>
      </c>
      <c r="C69" s="789"/>
      <c r="D69" s="789"/>
      <c r="E69" s="789"/>
      <c r="F69" s="789"/>
      <c r="G69" s="789"/>
      <c r="H69" s="789"/>
      <c r="I69" s="789"/>
      <c r="J69" s="789"/>
      <c r="K69" s="789"/>
      <c r="L69" s="789"/>
      <c r="M69" s="484"/>
    </row>
    <row r="70" spans="2:14" s="31" customFormat="1">
      <c r="B70" s="485"/>
      <c r="C70" s="484"/>
      <c r="D70" s="484"/>
      <c r="E70" s="484"/>
      <c r="F70" s="484"/>
      <c r="G70" s="484"/>
      <c r="H70" s="484"/>
      <c r="I70" s="484"/>
      <c r="J70" s="484"/>
      <c r="K70" s="484"/>
      <c r="L70" s="484"/>
      <c r="M70" s="484"/>
    </row>
    <row r="71" spans="2:14">
      <c r="B71" s="362" t="s">
        <v>473</v>
      </c>
      <c r="C71" s="292"/>
      <c r="D71" s="292"/>
      <c r="E71" s="292"/>
      <c r="F71" s="292"/>
      <c r="G71" s="292"/>
      <c r="H71" s="292"/>
      <c r="I71" s="292"/>
      <c r="J71" s="292"/>
      <c r="K71" s="292"/>
      <c r="L71" s="292"/>
      <c r="M71" s="201"/>
      <c r="N71" s="201"/>
    </row>
    <row r="72" spans="2:14" s="31" customFormat="1">
      <c r="B72" s="367"/>
      <c r="C72" s="35"/>
      <c r="D72" s="35"/>
      <c r="E72" s="35"/>
      <c r="F72" s="35"/>
      <c r="G72" s="35"/>
      <c r="H72" s="35"/>
      <c r="I72" s="35"/>
      <c r="J72" s="35"/>
      <c r="K72" s="35"/>
      <c r="L72" s="35"/>
      <c r="M72" s="37"/>
      <c r="N72" s="37"/>
    </row>
    <row r="73" spans="2:14">
      <c r="B73" s="201" t="s">
        <v>378</v>
      </c>
      <c r="C73" s="211" t="str">
        <f>'RFPR cover'!$C$14</f>
        <v>£m 12/13</v>
      </c>
      <c r="D73" s="578">
        <v>24.080960725314274</v>
      </c>
      <c r="E73" s="579">
        <v>23.223447422379547</v>
      </c>
      <c r="F73" s="579">
        <v>21.383343553169247</v>
      </c>
      <c r="G73" s="579">
        <v>21.684778127549993</v>
      </c>
      <c r="H73" s="579">
        <v>22.319363864006807</v>
      </c>
      <c r="I73" s="579">
        <v>21.294694803040422</v>
      </c>
      <c r="J73" s="579">
        <v>21.467704245764935</v>
      </c>
      <c r="K73" s="680">
        <v>21.231494787591537</v>
      </c>
    </row>
    <row r="74" spans="2:14">
      <c r="B74" s="201" t="s">
        <v>381</v>
      </c>
      <c r="C74" s="211" t="str">
        <f>'RFPR cover'!$C$14</f>
        <v>£m 12/13</v>
      </c>
      <c r="D74" s="586"/>
      <c r="E74" s="587"/>
      <c r="F74" s="587"/>
      <c r="G74" s="587"/>
      <c r="H74" s="587"/>
      <c r="I74" s="587"/>
      <c r="J74" s="587"/>
      <c r="K74" s="679"/>
    </row>
    <row r="75" spans="2:14">
      <c r="B75" s="201" t="s">
        <v>382</v>
      </c>
      <c r="C75" s="211" t="str">
        <f>'RFPR cover'!$C$14</f>
        <v>£m 12/13</v>
      </c>
      <c r="D75" s="642">
        <f t="shared" ref="D75:K75" si="9">SUM(D73:D74)</f>
        <v>24.080960725314274</v>
      </c>
      <c r="E75" s="643">
        <f t="shared" si="9"/>
        <v>23.223447422379547</v>
      </c>
      <c r="F75" s="643">
        <f t="shared" si="9"/>
        <v>21.383343553169247</v>
      </c>
      <c r="G75" s="643">
        <f t="shared" si="9"/>
        <v>21.684778127549993</v>
      </c>
      <c r="H75" s="643">
        <f t="shared" si="9"/>
        <v>22.319363864006807</v>
      </c>
      <c r="I75" s="643">
        <f t="shared" si="9"/>
        <v>21.294694803040422</v>
      </c>
      <c r="J75" s="643">
        <f t="shared" si="9"/>
        <v>21.467704245764935</v>
      </c>
      <c r="K75" s="644">
        <f t="shared" si="9"/>
        <v>21.231494787591537</v>
      </c>
    </row>
    <row r="76" spans="2:14">
      <c r="B76" s="201"/>
      <c r="C76" s="211"/>
      <c r="D76" s="211"/>
      <c r="E76" s="211"/>
      <c r="F76" s="211"/>
      <c r="G76" s="211"/>
      <c r="H76" s="211"/>
      <c r="I76" s="211"/>
      <c r="J76" s="211"/>
      <c r="K76" s="211"/>
      <c r="L76" s="211"/>
    </row>
    <row r="77" spans="2:14">
      <c r="B77" s="507" t="s">
        <v>474</v>
      </c>
      <c r="C77" s="292"/>
      <c r="D77" s="292"/>
      <c r="E77" s="292"/>
      <c r="F77" s="292"/>
      <c r="G77" s="292"/>
      <c r="H77" s="292"/>
      <c r="I77" s="292"/>
      <c r="J77" s="292"/>
      <c r="K77" s="292"/>
      <c r="L77" s="292"/>
    </row>
    <row r="78" spans="2:14" s="31" customFormat="1">
      <c r="B78" s="508"/>
      <c r="C78" s="35"/>
      <c r="D78" s="35"/>
      <c r="E78" s="35"/>
      <c r="F78" s="35"/>
      <c r="G78" s="35"/>
      <c r="H78" s="35"/>
      <c r="I78" s="35"/>
      <c r="J78" s="35"/>
      <c r="K78" s="35"/>
      <c r="L78" s="35"/>
    </row>
    <row r="79" spans="2:14">
      <c r="B79" s="201" t="s">
        <v>369</v>
      </c>
      <c r="C79" s="211" t="str">
        <f>'RFPR cover'!$C$14</f>
        <v>£m 12/13</v>
      </c>
      <c r="D79" s="578">
        <v>24.080960725314274</v>
      </c>
      <c r="E79" s="578">
        <v>23.223447422379547</v>
      </c>
      <c r="F79" s="578">
        <v>21.383343553169247</v>
      </c>
      <c r="G79" s="578">
        <v>21.684778127549993</v>
      </c>
      <c r="H79" s="578">
        <v>22.319363864006807</v>
      </c>
      <c r="I79" s="578">
        <v>21.983123998562959</v>
      </c>
      <c r="J79" s="578">
        <v>21.821604474804325</v>
      </c>
      <c r="K79" s="578">
        <v>20.68825981085271</v>
      </c>
    </row>
    <row r="80" spans="2:14">
      <c r="B80" s="201" t="s">
        <v>384</v>
      </c>
      <c r="C80" s="211" t="str">
        <f>'RFPR cover'!$C$14</f>
        <v>£m 12/13</v>
      </c>
      <c r="D80" s="586"/>
      <c r="E80" s="587"/>
      <c r="F80" s="587"/>
      <c r="G80" s="587"/>
      <c r="H80" s="587"/>
      <c r="I80" s="587"/>
      <c r="J80" s="587"/>
      <c r="K80" s="679"/>
    </row>
    <row r="81" spans="2:13">
      <c r="B81" s="14" t="s">
        <v>385</v>
      </c>
      <c r="C81" s="211" t="str">
        <f>'RFPR cover'!$C$14</f>
        <v>£m 12/13</v>
      </c>
      <c r="D81" s="606">
        <f t="shared" ref="D81:K81" si="10">SUM(D79:D80)</f>
        <v>24.080960725314274</v>
      </c>
      <c r="E81" s="607">
        <f t="shared" si="10"/>
        <v>23.223447422379547</v>
      </c>
      <c r="F81" s="607">
        <f t="shared" si="10"/>
        <v>21.383343553169247</v>
      </c>
      <c r="G81" s="607">
        <f t="shared" si="10"/>
        <v>21.684778127549993</v>
      </c>
      <c r="H81" s="607">
        <f t="shared" si="10"/>
        <v>22.319363864006807</v>
      </c>
      <c r="I81" s="607">
        <f t="shared" si="10"/>
        <v>21.983123998562959</v>
      </c>
      <c r="J81" s="607">
        <f t="shared" si="10"/>
        <v>21.821604474804325</v>
      </c>
      <c r="K81" s="608">
        <f t="shared" si="10"/>
        <v>20.68825981085271</v>
      </c>
    </row>
    <row r="82" spans="2:13" s="31" customFormat="1">
      <c r="B82" s="508"/>
      <c r="C82" s="35"/>
      <c r="D82" s="743"/>
      <c r="E82" s="743"/>
      <c r="F82" s="743"/>
      <c r="G82" s="743"/>
      <c r="H82" s="743"/>
      <c r="I82" s="743"/>
      <c r="J82" s="743"/>
      <c r="K82" s="743"/>
      <c r="L82" s="35"/>
    </row>
    <row r="83" spans="2:13" s="31" customFormat="1">
      <c r="B83" s="509" t="s">
        <v>383</v>
      </c>
      <c r="C83" s="35"/>
      <c r="D83" s="698">
        <f t="shared" ref="D83:K83" si="11">D81-D75</f>
        <v>0</v>
      </c>
      <c r="E83" s="699">
        <f t="shared" si="11"/>
        <v>0</v>
      </c>
      <c r="F83" s="699">
        <f t="shared" si="11"/>
        <v>0</v>
      </c>
      <c r="G83" s="699">
        <f t="shared" si="11"/>
        <v>0</v>
      </c>
      <c r="H83" s="699">
        <f t="shared" si="11"/>
        <v>0</v>
      </c>
      <c r="I83" s="699">
        <f t="shared" si="11"/>
        <v>0.6884291955225379</v>
      </c>
      <c r="J83" s="699">
        <f t="shared" si="11"/>
        <v>0.35390022903938956</v>
      </c>
      <c r="K83" s="700">
        <f t="shared" si="11"/>
        <v>-0.5432349767388267</v>
      </c>
      <c r="L83" s="35"/>
    </row>
    <row r="84" spans="2:13">
      <c r="B84" s="201" t="s">
        <v>380</v>
      </c>
      <c r="C84" s="211" t="str">
        <f>'RFPR cover'!$C$14</f>
        <v>£m 12/13</v>
      </c>
      <c r="D84" s="582"/>
      <c r="E84" s="583"/>
      <c r="F84" s="583"/>
      <c r="G84" s="583"/>
      <c r="H84" s="583"/>
      <c r="I84" s="583"/>
      <c r="J84" s="583"/>
      <c r="K84" s="678">
        <v>-0.48048590061502239</v>
      </c>
      <c r="L84" s="35"/>
    </row>
    <row r="85" spans="2:13">
      <c r="B85" s="201" t="s">
        <v>431</v>
      </c>
      <c r="C85" s="211" t="str">
        <f>'RFPR cover'!$C$14</f>
        <v>£m 12/13</v>
      </c>
      <c r="D85" s="582"/>
      <c r="E85" s="583"/>
      <c r="F85" s="583"/>
      <c r="G85" s="583"/>
      <c r="H85" s="583"/>
      <c r="I85" s="583"/>
      <c r="J85" s="583"/>
      <c r="K85" s="678">
        <v>0.48048590061502239</v>
      </c>
      <c r="L85" s="35"/>
    </row>
    <row r="86" spans="2:13">
      <c r="B86" s="201" t="s">
        <v>330</v>
      </c>
      <c r="C86" s="211" t="str">
        <f>'RFPR cover'!$C$14</f>
        <v>£m 12/13</v>
      </c>
      <c r="D86" s="744"/>
      <c r="E86" s="745"/>
      <c r="F86" s="745"/>
      <c r="G86" s="745"/>
      <c r="H86" s="745">
        <f>H79-H73-SUM(H84:H85)</f>
        <v>0</v>
      </c>
      <c r="I86" s="745">
        <f t="shared" ref="I86:K86" si="12">I79-I73-SUM(I84:I85)</f>
        <v>0.6884291955225379</v>
      </c>
      <c r="J86" s="745">
        <f t="shared" si="12"/>
        <v>0.35390022903938956</v>
      </c>
      <c r="K86" s="746">
        <f t="shared" si="12"/>
        <v>-0.5432349767388267</v>
      </c>
      <c r="L86" s="35"/>
    </row>
    <row r="87" spans="2:13">
      <c r="B87" s="201" t="s">
        <v>121</v>
      </c>
      <c r="C87" s="211" t="str">
        <f>'RFPR cover'!$C$14</f>
        <v>£m 12/13</v>
      </c>
      <c r="D87" s="510" t="str">
        <f>IF(ABS(D83-SUM(D84:D86))&lt;'RFPR cover'!$F$14,"OK","ERROR")</f>
        <v>OK</v>
      </c>
      <c r="E87" s="511" t="str">
        <f>IF(ABS(E83-SUM(E84:E86))&lt;'RFPR cover'!$F$14,"OK","ERROR")</f>
        <v>OK</v>
      </c>
      <c r="F87" s="511" t="str">
        <f>IF(ABS(F83-SUM(F84:F86))&lt;'RFPR cover'!$F$14,"OK","ERROR")</f>
        <v>OK</v>
      </c>
      <c r="G87" s="511" t="str">
        <f>IF(ABS(G83-SUM(G84:G86))&lt;'RFPR cover'!$F$14,"OK","ERROR")</f>
        <v>OK</v>
      </c>
      <c r="H87" s="511" t="str">
        <f>IF(ABS(H83-SUM(H84:H86))&lt;'RFPR cover'!$F$14,"OK","ERROR")</f>
        <v>OK</v>
      </c>
      <c r="I87" s="511" t="str">
        <f>IF(ABS(I83-SUM(I84:I86))&lt;'RFPR cover'!$F$14,"OK","ERROR")</f>
        <v>OK</v>
      </c>
      <c r="J87" s="511" t="str">
        <f>IF(ABS(J83-SUM(J84:J86))&lt;'RFPR cover'!$F$14,"OK","ERROR")</f>
        <v>OK</v>
      </c>
      <c r="K87" s="512" t="str">
        <f>IF(ABS(K83-SUM(K84:K86))&lt;'RFPR cover'!$F$14,"OK","ERROR")</f>
        <v>OK</v>
      </c>
    </row>
    <row r="88" spans="2:13">
      <c r="B88" s="201"/>
      <c r="C88" s="201"/>
      <c r="D88" s="201"/>
      <c r="E88" s="201"/>
      <c r="F88" s="201"/>
      <c r="G88" s="201"/>
      <c r="H88" s="201"/>
      <c r="I88" s="201"/>
      <c r="J88" s="201"/>
      <c r="K88" s="201"/>
      <c r="L88" s="201"/>
      <c r="M88" s="201"/>
    </row>
    <row r="90" spans="2:13">
      <c r="B90" s="833" t="s">
        <v>433</v>
      </c>
      <c r="C90" s="833"/>
      <c r="D90" s="833"/>
      <c r="E90" s="833"/>
      <c r="F90" s="833"/>
      <c r="G90" s="833"/>
      <c r="H90" s="833"/>
      <c r="I90" s="833"/>
      <c r="J90" s="833"/>
      <c r="K90" s="833"/>
      <c r="L90" s="833"/>
    </row>
    <row r="92" spans="2:13">
      <c r="B92" s="14" t="s">
        <v>434</v>
      </c>
      <c r="C92" s="212" t="str">
        <f>'RFPR cover'!$C$14</f>
        <v>£m 12/13</v>
      </c>
      <c r="D92" s="606">
        <f t="shared" ref="D92:K92" si="13">D$81-D54</f>
        <v>-0.54934571769592822</v>
      </c>
      <c r="E92" s="607">
        <f t="shared" si="13"/>
        <v>-0.77631662497289966</v>
      </c>
      <c r="F92" s="607">
        <f t="shared" si="13"/>
        <v>0.30549078925740858</v>
      </c>
      <c r="G92" s="607">
        <f t="shared" si="13"/>
        <v>0.16172862292902224</v>
      </c>
      <c r="H92" s="607">
        <f t="shared" si="13"/>
        <v>-0.75673108167222836</v>
      </c>
      <c r="I92" s="607">
        <f t="shared" si="13"/>
        <v>-2.1170756146411485</v>
      </c>
      <c r="J92" s="607">
        <f t="shared" si="13"/>
        <v>-2.5551932010509617</v>
      </c>
      <c r="K92" s="608">
        <f t="shared" si="13"/>
        <v>-3.016751347306446</v>
      </c>
    </row>
    <row r="93" spans="2:13">
      <c r="B93" s="14"/>
      <c r="C93" s="14"/>
      <c r="D93" s="14"/>
      <c r="E93" s="14"/>
      <c r="F93" s="14"/>
      <c r="G93" s="14"/>
      <c r="H93" s="14"/>
      <c r="I93" s="14"/>
      <c r="J93" s="14"/>
      <c r="K93" s="14"/>
    </row>
    <row r="94" spans="2:13">
      <c r="B94" s="14" t="s">
        <v>445</v>
      </c>
      <c r="C94" s="212" t="str">
        <f>'RFPR cover'!$C$14</f>
        <v>£m 12/13</v>
      </c>
      <c r="D94" s="606">
        <f t="shared" ref="D94:K94" si="14">D$81-D66</f>
        <v>1.9534912107828006</v>
      </c>
      <c r="E94" s="607">
        <f t="shared" si="14"/>
        <v>1.9777750658408202</v>
      </c>
      <c r="F94" s="607">
        <f t="shared" si="14"/>
        <v>3.4173695382885505</v>
      </c>
      <c r="G94" s="607">
        <f t="shared" si="14"/>
        <v>3.406522666278061</v>
      </c>
      <c r="H94" s="607">
        <f t="shared" si="14"/>
        <v>2.2119029701620008</v>
      </c>
      <c r="I94" s="607">
        <f t="shared" si="14"/>
        <v>-5.0245700019281969E-2</v>
      </c>
      <c r="J94" s="607">
        <f t="shared" si="14"/>
        <v>-0.55080501757868916</v>
      </c>
      <c r="K94" s="608">
        <f t="shared" si="14"/>
        <v>-1.0847762977965481</v>
      </c>
    </row>
    <row r="96" spans="2:13">
      <c r="B96" s="14" t="s">
        <v>444</v>
      </c>
      <c r="C96" s="212" t="str">
        <f>'RFPR cover'!$C$14</f>
        <v>£m 12/13</v>
      </c>
      <c r="D96" s="606">
        <f>D92-D94</f>
        <v>-2.5028369284787289</v>
      </c>
      <c r="E96" s="607">
        <f t="shared" ref="E96:K96" si="15">E92-E94</f>
        <v>-2.7540916908137199</v>
      </c>
      <c r="F96" s="607">
        <f t="shared" si="15"/>
        <v>-3.1118787490311419</v>
      </c>
      <c r="G96" s="607">
        <f t="shared" si="15"/>
        <v>-3.2447940433490388</v>
      </c>
      <c r="H96" s="607">
        <f t="shared" si="15"/>
        <v>-2.9686340518342291</v>
      </c>
      <c r="I96" s="607">
        <f t="shared" si="15"/>
        <v>-2.0668299146218665</v>
      </c>
      <c r="J96" s="607">
        <f t="shared" si="15"/>
        <v>-2.0043881834722725</v>
      </c>
      <c r="K96" s="608">
        <f t="shared" si="15"/>
        <v>-1.931975049509898</v>
      </c>
    </row>
    <row r="98" spans="2:11">
      <c r="B98" t="s">
        <v>525</v>
      </c>
      <c r="C98" s="267" t="s">
        <v>127</v>
      </c>
      <c r="D98" s="582">
        <v>2.0385722025533357</v>
      </c>
      <c r="E98" s="582">
        <v>6.2889403546044775E-2</v>
      </c>
      <c r="F98" s="582">
        <v>-3.361042591301203</v>
      </c>
      <c r="G98" s="582">
        <v>-1.9854997585491578</v>
      </c>
      <c r="H98" s="582">
        <v>-1.1996198779600564</v>
      </c>
      <c r="I98" s="582">
        <v>0.32389263606960911</v>
      </c>
      <c r="J98" s="582">
        <v>-2.8938040512956822</v>
      </c>
      <c r="K98" s="582">
        <v>-4.6656245125002807</v>
      </c>
    </row>
    <row r="99" spans="2:11">
      <c r="B99" t="s">
        <v>525</v>
      </c>
      <c r="C99" s="391" t="str">
        <f>'RFPR cover'!$C$14</f>
        <v>£m 12/13</v>
      </c>
      <c r="D99" s="785">
        <f>D98/D$52</f>
        <v>1.9226068143209902</v>
      </c>
      <c r="E99" s="785">
        <f t="shared" ref="E99:K99" si="16">E98/E$52</f>
        <v>5.8067657939215159E-2</v>
      </c>
      <c r="F99" s="785">
        <f t="shared" si="16"/>
        <v>-2.9914120215731148</v>
      </c>
      <c r="G99" s="785">
        <f t="shared" si="16"/>
        <v>-1.7147491543585611</v>
      </c>
      <c r="H99" s="785">
        <f t="shared" si="16"/>
        <v>-1.0098918726126189</v>
      </c>
      <c r="I99" s="785">
        <f t="shared" si="16"/>
        <v>0.26939945925386471</v>
      </c>
      <c r="J99" s="785">
        <f t="shared" si="16"/>
        <v>-2.3448000362242793</v>
      </c>
      <c r="K99" s="785">
        <f t="shared" si="16"/>
        <v>-3.6676943172555472</v>
      </c>
    </row>
    <row r="100" spans="2:11">
      <c r="B100" t="s">
        <v>526</v>
      </c>
      <c r="C100" s="267" t="s">
        <v>127</v>
      </c>
      <c r="D100" s="582">
        <v>4.6923721120905695</v>
      </c>
      <c r="E100" s="582">
        <v>3.0456717283937382</v>
      </c>
      <c r="F100" s="582">
        <v>0.13535206748556747</v>
      </c>
      <c r="G100" s="582">
        <v>1.7716315823443938</v>
      </c>
      <c r="H100" s="582">
        <v>2.326730333925934</v>
      </c>
      <c r="I100" s="582">
        <v>2.8087936496368782</v>
      </c>
      <c r="J100" s="582">
        <v>-0.42011480014690677</v>
      </c>
      <c r="K100" s="582">
        <v>-2.2079850887008621</v>
      </c>
    </row>
    <row r="101" spans="2:11">
      <c r="B101" t="s">
        <v>526</v>
      </c>
      <c r="C101" s="391" t="str">
        <f>'RFPR cover'!$C$14</f>
        <v>£m 12/13</v>
      </c>
      <c r="D101" s="785">
        <f t="shared" ref="D101:K101" si="17">D100/D$52</f>
        <v>4.4254437427997217</v>
      </c>
      <c r="E101" s="785">
        <f t="shared" si="17"/>
        <v>2.8121593487529353</v>
      </c>
      <c r="F101" s="785">
        <f t="shared" si="17"/>
        <v>0.12046672745802676</v>
      </c>
      <c r="G101" s="785">
        <f t="shared" si="17"/>
        <v>1.5300448889904787</v>
      </c>
      <c r="H101" s="785">
        <f t="shared" si="17"/>
        <v>1.9587421792216124</v>
      </c>
      <c r="I101" s="785">
        <f t="shared" si="17"/>
        <v>2.3362293738757347</v>
      </c>
      <c r="J101" s="785">
        <f t="shared" si="17"/>
        <v>-0.34041185275200553</v>
      </c>
      <c r="K101" s="785">
        <f t="shared" si="17"/>
        <v>-1.7357192677456488</v>
      </c>
    </row>
    <row r="102" spans="2:11">
      <c r="B102" t="s">
        <v>529</v>
      </c>
      <c r="C102" s="391" t="str">
        <f>'RFPR cover'!$C$14</f>
        <v>£m 12/13</v>
      </c>
      <c r="D102" s="785">
        <f>D99-D101</f>
        <v>-2.5028369284787315</v>
      </c>
      <c r="E102" s="785">
        <f t="shared" ref="E102:K102" si="18">E99-E101</f>
        <v>-2.7540916908137203</v>
      </c>
      <c r="F102" s="785">
        <f t="shared" si="18"/>
        <v>-3.1118787490311415</v>
      </c>
      <c r="G102" s="785">
        <f t="shared" si="18"/>
        <v>-3.2447940433490396</v>
      </c>
      <c r="H102" s="785">
        <f t="shared" si="18"/>
        <v>-2.9686340518342313</v>
      </c>
      <c r="I102" s="785">
        <f t="shared" si="18"/>
        <v>-2.06682991462187</v>
      </c>
      <c r="J102" s="785">
        <f t="shared" si="18"/>
        <v>-2.0043881834722739</v>
      </c>
      <c r="K102" s="785">
        <f t="shared" si="18"/>
        <v>-1.9319750495098984</v>
      </c>
    </row>
  </sheetData>
  <sheetProtection password="DA3D" sheet="1" objects="1" scenarios="1"/>
  <conditionalFormatting sqref="D6:K7">
    <cfRule type="expression" dxfId="33" priority="74">
      <formula>AND(D$6="Actuals",E$6="Forecast")</formula>
    </cfRule>
  </conditionalFormatting>
  <conditionalFormatting sqref="D5:K5">
    <cfRule type="expression" dxfId="32" priority="49">
      <formula>AND(D$5="Actuals",E$5="Forecast")</formula>
    </cfRule>
  </conditionalFormatting>
  <conditionalFormatting sqref="D49:F49">
    <cfRule type="expression" dxfId="31" priority="17">
      <formula>AND(D$5="Actuals",E$5="Actuals")</formula>
    </cfRule>
  </conditionalFormatting>
  <conditionalFormatting sqref="D12:K12 D15:K19 D24:F46 H24:K46">
    <cfRule type="expression" dxfId="30" priority="16">
      <formula>NOT(AND(D$5="Actuals"))</formula>
    </cfRule>
  </conditionalFormatting>
  <conditionalFormatting sqref="G49">
    <cfRule type="expression" dxfId="29" priority="182">
      <formula>AND(E$5="Actuals",F$5="Actuals")</formula>
    </cfRule>
  </conditionalFormatting>
  <conditionalFormatting sqref="I49:K49">
    <cfRule type="expression" dxfId="28" priority="5">
      <formula>AND(I$5="Actuals",J$5="Actuals")</formula>
    </cfRule>
  </conditionalFormatting>
  <conditionalFormatting sqref="G46 G24:G43">
    <cfRule type="expression" dxfId="27" priority="4">
      <formula>NOT(AND(G$5="Actuals"))</formula>
    </cfRule>
  </conditionalFormatting>
  <conditionalFormatting sqref="G44">
    <cfRule type="expression" dxfId="26" priority="3">
      <formula>NOT(AND(G$5="Actuals"))</formula>
    </cfRule>
  </conditionalFormatting>
  <conditionalFormatting sqref="G45">
    <cfRule type="expression" dxfId="25" priority="2">
      <formula>NOT(AND(G$5="Actuals"))</formula>
    </cfRule>
  </conditionalFormatting>
  <conditionalFormatting sqref="H49">
    <cfRule type="expression" dxfId="24" priority="1">
      <formula>AND(F$5="Actuals",G$5="Actuals")</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12" t="s">
        <v>259</v>
      </c>
      <c r="B1" s="923"/>
      <c r="C1" s="121"/>
      <c r="D1" s="121"/>
      <c r="E1" s="121"/>
      <c r="F1" s="121"/>
      <c r="G1" s="121"/>
      <c r="H1" s="121"/>
      <c r="I1" s="127"/>
      <c r="J1" s="127"/>
      <c r="K1" s="128"/>
      <c r="L1" s="129"/>
    </row>
    <row r="2" spans="1:18" s="31" customFormat="1" ht="20.25">
      <c r="A2" s="897" t="str">
        <f>'RFPR cover'!C5</f>
        <v>NPgY</v>
      </c>
      <c r="B2" s="889"/>
      <c r="C2" s="29"/>
      <c r="D2" s="29"/>
      <c r="E2" s="29"/>
      <c r="F2" s="29"/>
      <c r="G2" s="29"/>
      <c r="H2" s="29"/>
      <c r="I2" s="27"/>
      <c r="J2" s="27"/>
      <c r="K2" s="27"/>
      <c r="L2" s="124"/>
    </row>
    <row r="3" spans="1:18" s="31" customFormat="1" ht="23.25">
      <c r="A3" s="914">
        <f>'RFPR cover'!C7</f>
        <v>2021</v>
      </c>
      <c r="B3" s="906" t="str">
        <f>'R1 - RoRE'!B3</f>
        <v/>
      </c>
      <c r="C3" s="125"/>
      <c r="D3" s="125"/>
      <c r="E3" s="125"/>
      <c r="F3" s="125"/>
      <c r="G3" s="125"/>
      <c r="H3" s="125"/>
      <c r="I3" s="28"/>
      <c r="J3" s="28"/>
      <c r="K3" s="28"/>
      <c r="L3" s="126"/>
    </row>
    <row r="4" spans="1:18" s="2" customFormat="1" ht="12.75" customHeight="1"/>
    <row r="5" spans="1:18" s="2" customFormat="1">
      <c r="B5" s="3"/>
      <c r="C5" s="3"/>
      <c r="D5" s="384" t="str">
        <f>IF(D6&lt;='RFPR cover'!$C$7,"Actuals","N/A")</f>
        <v>Actuals</v>
      </c>
      <c r="E5" s="385" t="str">
        <f>IF(E6&lt;='RFPR cover'!$C$7,"Actuals","N/A")</f>
        <v>Actuals</v>
      </c>
      <c r="F5" s="385" t="str">
        <f>IF(F6&lt;='RFPR cover'!$C$7,"Actuals","N/A")</f>
        <v>Actuals</v>
      </c>
      <c r="G5" s="385" t="str">
        <f>IF(G6&lt;='RFPR cover'!$C$7,"Actuals","N/A")</f>
        <v>Actuals</v>
      </c>
      <c r="H5" s="385" t="str">
        <f>IF(H6&lt;='RFPR cover'!$C$7,"Actuals","N/A")</f>
        <v>Actuals</v>
      </c>
      <c r="I5" s="385" t="str">
        <f>IF(I6&lt;='RFPR cover'!$C$7,"Actuals","N/A")</f>
        <v>Actuals</v>
      </c>
      <c r="J5" s="385" t="str">
        <f>IF(J6&lt;='RFPR cover'!$C$7,"Actuals","N/A")</f>
        <v>N/A</v>
      </c>
      <c r="K5" s="386"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127</v>
      </c>
      <c r="D8" s="634">
        <v>27.6</v>
      </c>
      <c r="E8" s="635">
        <v>28.7</v>
      </c>
      <c r="F8" s="635">
        <v>29.8</v>
      </c>
      <c r="G8" s="635">
        <v>31.2</v>
      </c>
      <c r="H8" s="635">
        <v>32.5</v>
      </c>
      <c r="I8" s="635">
        <v>33.6</v>
      </c>
      <c r="J8" s="635"/>
      <c r="K8" s="636"/>
    </row>
    <row r="9" spans="1:18">
      <c r="B9" s="15" t="s">
        <v>105</v>
      </c>
      <c r="C9" s="14"/>
      <c r="D9" s="747"/>
      <c r="E9" s="747"/>
      <c r="F9" s="747"/>
      <c r="G9" s="747"/>
      <c r="H9" s="747"/>
      <c r="I9" s="747"/>
      <c r="J9" s="747"/>
      <c r="K9" s="747"/>
    </row>
    <row r="10" spans="1:18">
      <c r="B10" s="425" t="s">
        <v>22</v>
      </c>
      <c r="C10" s="153" t="s">
        <v>127</v>
      </c>
      <c r="D10" s="590"/>
      <c r="E10" s="591"/>
      <c r="F10" s="591"/>
      <c r="G10" s="591"/>
      <c r="H10" s="591"/>
      <c r="I10" s="591"/>
      <c r="J10" s="591"/>
      <c r="K10" s="601"/>
    </row>
    <row r="11" spans="1:18">
      <c r="B11" s="425" t="s">
        <v>22</v>
      </c>
      <c r="C11" s="153" t="s">
        <v>127</v>
      </c>
      <c r="D11" s="592"/>
      <c r="E11" s="593"/>
      <c r="F11" s="593"/>
      <c r="G11" s="593"/>
      <c r="H11" s="593"/>
      <c r="I11" s="593"/>
      <c r="J11" s="593"/>
      <c r="K11" s="602"/>
    </row>
    <row r="12" spans="1:18">
      <c r="B12" s="425" t="s">
        <v>20</v>
      </c>
      <c r="C12" s="153" t="s">
        <v>127</v>
      </c>
      <c r="D12" s="603"/>
      <c r="E12" s="604"/>
      <c r="F12" s="604"/>
      <c r="G12" s="604"/>
      <c r="H12" s="604"/>
      <c r="I12" s="604"/>
      <c r="J12" s="604"/>
      <c r="K12" s="605"/>
      <c r="Q12" s="217"/>
    </row>
    <row r="13" spans="1:18">
      <c r="B13" s="14" t="s">
        <v>106</v>
      </c>
      <c r="C13" s="153" t="s">
        <v>127</v>
      </c>
      <c r="D13" s="735">
        <f>D8-SUM(D10:D12)</f>
        <v>27.6</v>
      </c>
      <c r="E13" s="736">
        <f t="shared" ref="E13:K13" si="1">E8-SUM(E10:E12)</f>
        <v>28.7</v>
      </c>
      <c r="F13" s="736">
        <f t="shared" si="1"/>
        <v>29.8</v>
      </c>
      <c r="G13" s="736">
        <f t="shared" si="1"/>
        <v>31.2</v>
      </c>
      <c r="H13" s="736">
        <f t="shared" si="1"/>
        <v>32.5</v>
      </c>
      <c r="I13" s="736">
        <f t="shared" si="1"/>
        <v>33.6</v>
      </c>
      <c r="J13" s="736">
        <f t="shared" si="1"/>
        <v>0</v>
      </c>
      <c r="K13" s="737">
        <f t="shared" si="1"/>
        <v>0</v>
      </c>
      <c r="R13" s="216"/>
    </row>
    <row r="14" spans="1:18">
      <c r="C14" s="14"/>
      <c r="Q14" s="217"/>
    </row>
    <row r="15" spans="1:18">
      <c r="B15" s="14" t="s">
        <v>501</v>
      </c>
      <c r="C15" s="153" t="s">
        <v>127</v>
      </c>
      <c r="D15" s="590"/>
      <c r="E15" s="591"/>
      <c r="F15" s="591"/>
      <c r="G15" s="591"/>
      <c r="H15" s="591"/>
      <c r="I15" s="591"/>
      <c r="J15" s="591"/>
      <c r="K15" s="601"/>
    </row>
  </sheetData>
  <sheetProtection password="DA3D" sheet="1" objects="1" scenarios="1"/>
  <conditionalFormatting sqref="D6:K6">
    <cfRule type="expression" dxfId="23" priority="11">
      <formula>AND(D$5="Actuals",E$5="N/A")</formula>
    </cfRule>
  </conditionalFormatting>
  <conditionalFormatting sqref="D5:K5">
    <cfRule type="expression" dxfId="22" priority="4">
      <formula>AND(D$5="Actuals",E$5="N/A")</formula>
    </cfRule>
  </conditionalFormatting>
  <conditionalFormatting sqref="I8:K8 D5:K6 D10:K13">
    <cfRule type="expression" dxfId="21" priority="3">
      <formula>D$5="N/A"</formula>
    </cfRule>
  </conditionalFormatting>
  <conditionalFormatting sqref="D15:K15">
    <cfRule type="expression" dxfId="20" priority="2">
      <formula>D$5="N/A"</formula>
    </cfRule>
  </conditionalFormatting>
  <conditionalFormatting sqref="D8:H8">
    <cfRule type="expression" dxfId="19"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08" t="s">
        <v>258</v>
      </c>
      <c r="B1" s="904"/>
      <c r="C1" s="257"/>
      <c r="D1" s="257"/>
      <c r="E1" s="257"/>
      <c r="F1" s="257"/>
      <c r="G1" s="257"/>
      <c r="H1" s="257"/>
      <c r="I1" s="258"/>
      <c r="J1" s="258"/>
      <c r="K1" s="259"/>
      <c r="L1" s="260"/>
    </row>
    <row r="2" spans="1:12" s="31" customFormat="1" ht="20.25">
      <c r="A2" s="897" t="str">
        <f>'RFPR cover'!C5</f>
        <v>NPgY</v>
      </c>
      <c r="B2" s="889"/>
      <c r="C2" s="29"/>
      <c r="D2" s="29"/>
      <c r="E2" s="29"/>
      <c r="F2" s="29"/>
      <c r="G2" s="29"/>
      <c r="H2" s="29"/>
      <c r="I2" s="27"/>
      <c r="J2" s="27"/>
      <c r="K2" s="27"/>
      <c r="L2" s="124"/>
    </row>
    <row r="3" spans="1:12" s="31" customFormat="1" ht="20.25">
      <c r="A3" s="900">
        <f>'RFPR cover'!C7</f>
        <v>2021</v>
      </c>
      <c r="B3" s="907"/>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393</v>
      </c>
      <c r="C8" s="153" t="s">
        <v>127</v>
      </c>
      <c r="D8" s="748">
        <v>8.5922039999999988</v>
      </c>
      <c r="E8" s="749">
        <v>5.5773494399999999</v>
      </c>
      <c r="F8" s="749">
        <v>8.4557356000000006</v>
      </c>
      <c r="G8" s="749">
        <v>9.2317239999999998</v>
      </c>
      <c r="H8" s="749">
        <v>9.4439735032690493</v>
      </c>
      <c r="I8" s="749">
        <v>9.6755686569312687</v>
      </c>
      <c r="J8" s="749"/>
      <c r="K8" s="750"/>
    </row>
    <row r="9" spans="1:12">
      <c r="B9" s="16" t="s">
        <v>24</v>
      </c>
      <c r="D9" s="747"/>
      <c r="E9" s="747"/>
      <c r="F9" s="747"/>
      <c r="G9" s="747"/>
      <c r="H9" s="747"/>
      <c r="I9" s="747"/>
      <c r="J9" s="747"/>
      <c r="K9" s="747"/>
    </row>
    <row r="10" spans="1:12">
      <c r="B10" t="s">
        <v>23</v>
      </c>
      <c r="C10" s="153" t="s">
        <v>127</v>
      </c>
      <c r="D10" s="673">
        <v>7.6174119333094925</v>
      </c>
      <c r="E10" s="674">
        <v>4.9502246471076443</v>
      </c>
      <c r="F10" s="674">
        <v>6.4811527123046231</v>
      </c>
      <c r="G10" s="674">
        <v>6.6829076380540382</v>
      </c>
      <c r="H10" s="674">
        <v>6.9094468800219717</v>
      </c>
      <c r="I10" s="674">
        <v>7.0474374365844454</v>
      </c>
      <c r="J10" s="674"/>
      <c r="K10" s="675"/>
    </row>
    <row r="11" spans="1:12">
      <c r="B11" t="s">
        <v>25</v>
      </c>
      <c r="C11" s="153" t="s">
        <v>127</v>
      </c>
      <c r="D11" s="751">
        <v>0.4450623402247782</v>
      </c>
      <c r="E11" s="752">
        <v>0.29013602905348534</v>
      </c>
      <c r="F11" s="752">
        <v>1.5850192902254789</v>
      </c>
      <c r="G11" s="752">
        <v>1.6393638252410587</v>
      </c>
      <c r="H11" s="752">
        <v>1.694935480333976</v>
      </c>
      <c r="I11" s="752">
        <v>1.7364856945581337</v>
      </c>
      <c r="J11" s="752"/>
      <c r="K11" s="753"/>
    </row>
    <row r="12" spans="1:12">
      <c r="D12" s="747"/>
      <c r="E12" s="747"/>
      <c r="F12" s="747"/>
      <c r="G12" s="747"/>
      <c r="H12" s="747"/>
      <c r="I12" s="747"/>
      <c r="J12" s="747"/>
      <c r="K12" s="747"/>
    </row>
    <row r="13" spans="1:12">
      <c r="D13" s="747"/>
      <c r="E13" s="747"/>
      <c r="F13" s="747"/>
      <c r="G13" s="747"/>
      <c r="H13" s="747"/>
      <c r="I13" s="747"/>
      <c r="J13" s="747"/>
      <c r="K13" s="747"/>
    </row>
    <row r="14" spans="1:12">
      <c r="B14" t="s">
        <v>23</v>
      </c>
      <c r="C14" s="211" t="str">
        <f>'RFPR cover'!$C$14</f>
        <v>£m 12/13</v>
      </c>
      <c r="D14" s="17">
        <f>D10/Data!C$34</f>
        <v>7.1840909397898498</v>
      </c>
      <c r="E14" s="17">
        <f>E10/Data!D$34</f>
        <v>4.5706897398074764</v>
      </c>
      <c r="F14" s="17">
        <f>F10/Data!E$34</f>
        <v>5.7683881148716436</v>
      </c>
      <c r="G14" s="17">
        <f>G10/Data!F$34</f>
        <v>5.7715999066064914</v>
      </c>
      <c r="H14" s="17">
        <f>H10/Data!G$34</f>
        <v>5.8166710777154575</v>
      </c>
      <c r="I14" s="17">
        <f>I10/Data!H$34</f>
        <v>5.8617443656028696</v>
      </c>
      <c r="J14" s="17">
        <f>J10/Data!I$34</f>
        <v>0</v>
      </c>
      <c r="K14" s="17">
        <f>K10/Data!J$34</f>
        <v>0</v>
      </c>
    </row>
    <row r="15" spans="1:12">
      <c r="D15" s="747"/>
      <c r="E15" s="747"/>
      <c r="F15" s="747"/>
      <c r="G15" s="747"/>
      <c r="H15" s="747"/>
      <c r="I15" s="747"/>
      <c r="J15" s="747"/>
      <c r="K15" s="747"/>
    </row>
    <row r="16" spans="1:12">
      <c r="D16" s="747"/>
      <c r="E16" s="747"/>
      <c r="F16" s="747"/>
      <c r="G16" s="747"/>
      <c r="H16" s="747"/>
      <c r="I16" s="747"/>
      <c r="J16" s="747"/>
      <c r="K16" s="747"/>
    </row>
    <row r="17" spans="2:11" s="2" customFormat="1">
      <c r="B17" s="14" t="s">
        <v>310</v>
      </c>
      <c r="C17" s="211" t="str">
        <f>'RFPR cover'!$C$14</f>
        <v>£m 12/13</v>
      </c>
      <c r="D17" s="868">
        <v>6.878365211101003</v>
      </c>
      <c r="E17" s="868">
        <v>6.878365211101003</v>
      </c>
      <c r="F17" s="868">
        <v>6.878365211101003</v>
      </c>
      <c r="G17" s="868">
        <v>5.3414466442766493</v>
      </c>
      <c r="H17" s="868">
        <v>5.3414466442766511</v>
      </c>
      <c r="I17" s="868">
        <v>5.3414466442766493</v>
      </c>
      <c r="J17" s="868">
        <v>5.1833368861500206</v>
      </c>
      <c r="K17" s="868">
        <v>2.1456327736527792</v>
      </c>
    </row>
    <row r="18" spans="2:11" s="2" customFormat="1">
      <c r="B18" s="201" t="s">
        <v>311</v>
      </c>
      <c r="C18" s="211" t="str">
        <f>'RFPR cover'!$C$14</f>
        <v>£m 12/13</v>
      </c>
      <c r="D18" s="868">
        <v>2.3455993263814753E-2</v>
      </c>
      <c r="E18" s="868">
        <v>2.3455993263814753E-2</v>
      </c>
      <c r="F18" s="868">
        <v>2.3455993263814753E-2</v>
      </c>
      <c r="G18" s="868">
        <v>-0.44451490954897988</v>
      </c>
      <c r="H18" s="868">
        <v>-0.44451490954897854</v>
      </c>
      <c r="I18" s="868">
        <v>-0.44451490954898043</v>
      </c>
      <c r="J18" s="868">
        <v>-0.60262466767560874</v>
      </c>
      <c r="K18" s="868">
        <v>-0.60262466767560874</v>
      </c>
    </row>
    <row r="19" spans="2:11" s="2" customFormat="1">
      <c r="B19" s="14" t="s">
        <v>312</v>
      </c>
      <c r="C19" s="211" t="str">
        <f>'RFPR cover'!$C$14</f>
        <v>£m 12/13</v>
      </c>
      <c r="D19" s="17">
        <f>D17-D18</f>
        <v>6.8549092178371884</v>
      </c>
      <c r="E19" s="17">
        <f t="shared" ref="E19:K19" si="1">E17-E18</f>
        <v>6.8549092178371884</v>
      </c>
      <c r="F19" s="17">
        <f t="shared" si="1"/>
        <v>6.8549092178371884</v>
      </c>
      <c r="G19" s="17">
        <f t="shared" si="1"/>
        <v>5.7859615538256293</v>
      </c>
      <c r="H19" s="17">
        <f t="shared" si="1"/>
        <v>5.7859615538256293</v>
      </c>
      <c r="I19" s="17">
        <f t="shared" si="1"/>
        <v>5.7859615538256293</v>
      </c>
      <c r="J19" s="17">
        <f t="shared" si="1"/>
        <v>5.7859615538256293</v>
      </c>
      <c r="K19" s="17">
        <f t="shared" si="1"/>
        <v>2.7482574413283878</v>
      </c>
    </row>
    <row r="20" spans="2:11" s="2" customFormat="1">
      <c r="B20" s="14"/>
      <c r="C20" s="14"/>
      <c r="D20" s="14"/>
      <c r="E20" s="14"/>
      <c r="F20" s="14"/>
      <c r="G20" s="14"/>
      <c r="H20" s="14"/>
      <c r="I20" s="14"/>
      <c r="J20" s="14"/>
      <c r="K20" s="14"/>
    </row>
    <row r="21" spans="2:11" s="2" customFormat="1">
      <c r="B21" s="14"/>
      <c r="C21" s="14"/>
      <c r="D21" s="987" t="s">
        <v>118</v>
      </c>
      <c r="E21" s="14"/>
      <c r="F21" s="14"/>
      <c r="G21" s="14"/>
      <c r="H21" s="14"/>
      <c r="I21" s="14"/>
      <c r="J21" s="14"/>
      <c r="K21" s="14"/>
    </row>
    <row r="22" spans="2:11" s="2" customFormat="1" ht="12.75" customHeight="1">
      <c r="B22" s="14"/>
      <c r="C22" s="14"/>
      <c r="D22" s="988"/>
      <c r="E22" s="14"/>
      <c r="F22" s="14"/>
      <c r="G22" s="14"/>
      <c r="H22" s="14"/>
      <c r="I22" s="14"/>
      <c r="J22" s="14"/>
      <c r="K22" s="14"/>
    </row>
    <row r="23" spans="2:11">
      <c r="C23" s="14"/>
      <c r="D23" s="989"/>
      <c r="E23" s="14"/>
    </row>
    <row r="24" spans="2:11">
      <c r="B24" s="14" t="s">
        <v>117</v>
      </c>
      <c r="C24" s="14"/>
      <c r="D24" s="519">
        <v>43555</v>
      </c>
    </row>
    <row r="25" spans="2:11">
      <c r="B25" s="14"/>
      <c r="C25" s="14"/>
      <c r="D25" s="40"/>
      <c r="E25" s="41"/>
      <c r="F25" s="41"/>
    </row>
    <row r="26" spans="2:11">
      <c r="B26" s="201" t="s">
        <v>309</v>
      </c>
      <c r="C26" s="14"/>
      <c r="D26" s="928">
        <v>43555</v>
      </c>
      <c r="E26" s="41"/>
      <c r="F26" s="41"/>
    </row>
    <row r="27" spans="2:11">
      <c r="B27" s="201"/>
      <c r="C27" s="14"/>
      <c r="D27" s="40"/>
      <c r="E27" s="41"/>
      <c r="F27" s="41"/>
    </row>
    <row r="28" spans="2:11">
      <c r="B28" s="14"/>
      <c r="D28" s="357" t="s">
        <v>280</v>
      </c>
      <c r="E28" s="41"/>
      <c r="F28" s="41"/>
    </row>
    <row r="29" spans="2:11">
      <c r="B29" t="s">
        <v>26</v>
      </c>
      <c r="D29" s="754">
        <v>199.6523</v>
      </c>
    </row>
    <row r="30" spans="2:11">
      <c r="B30" t="s">
        <v>27</v>
      </c>
      <c r="D30" s="754">
        <v>1539.0476999999998</v>
      </c>
    </row>
    <row r="31" spans="2:11">
      <c r="D31" s="747"/>
    </row>
    <row r="32" spans="2:11">
      <c r="B32" t="s">
        <v>28</v>
      </c>
      <c r="D32" s="754">
        <v>185.96023569110412</v>
      </c>
    </row>
    <row r="33" spans="2:4">
      <c r="B33" t="s">
        <v>29</v>
      </c>
      <c r="D33" s="754">
        <v>1436.4397643088957</v>
      </c>
    </row>
    <row r="34" spans="2:4">
      <c r="D34" s="747"/>
    </row>
    <row r="35" spans="2:4">
      <c r="B35" s="43" t="s">
        <v>31</v>
      </c>
      <c r="D35" s="17">
        <f>D29-D32</f>
        <v>13.69206430889588</v>
      </c>
    </row>
    <row r="36" spans="2:4">
      <c r="B36" s="43" t="s">
        <v>30</v>
      </c>
      <c r="D36" s="17">
        <f>D30-D33</f>
        <v>102.6079356911041</v>
      </c>
    </row>
    <row r="37" spans="2:4">
      <c r="D37" s="747"/>
    </row>
    <row r="38" spans="2:4">
      <c r="B38" t="s">
        <v>32</v>
      </c>
      <c r="D38" s="754">
        <v>27.320565795825701</v>
      </c>
    </row>
    <row r="39" spans="2:4">
      <c r="B39" t="s">
        <v>33</v>
      </c>
      <c r="D39" s="754">
        <v>7.0940921922657738</v>
      </c>
    </row>
  </sheetData>
  <sheetProtection password="DA3D" sheet="1" objects="1" scenarios="1"/>
  <mergeCells count="1">
    <mergeCell ref="D21:D23"/>
  </mergeCells>
  <conditionalFormatting sqref="D6:J6">
    <cfRule type="expression" dxfId="18" priority="22">
      <formula>AND(D$4="Actuals",E$4="Forecast")</formula>
    </cfRule>
  </conditionalFormatting>
  <conditionalFormatting sqref="I11:K11">
    <cfRule type="expression" dxfId="17" priority="16">
      <formula>I$5="Forecast"</formula>
    </cfRule>
    <cfRule type="expression" dxfId="16" priority="17">
      <formula>I$5="Actuals"</formula>
    </cfRule>
  </conditionalFormatting>
  <conditionalFormatting sqref="I8:K8">
    <cfRule type="expression" dxfId="15" priority="20">
      <formula>I$5="Forecast"</formula>
    </cfRule>
    <cfRule type="expression" dxfId="14" priority="21">
      <formula>I$5="Actuals"</formula>
    </cfRule>
  </conditionalFormatting>
  <conditionalFormatting sqref="I10:K10">
    <cfRule type="expression" dxfId="13" priority="18">
      <formula>I$5="Forecast"</formula>
    </cfRule>
    <cfRule type="expression" dxfId="12" priority="19">
      <formula>I$5="Actuals"</formula>
    </cfRule>
  </conditionalFormatting>
  <conditionalFormatting sqref="D5:K6">
    <cfRule type="expression" dxfId="11" priority="15">
      <formula>AND(D$5="Actuals",E$5="Forecast")</formula>
    </cfRule>
  </conditionalFormatting>
  <conditionalFormatting sqref="D21">
    <cfRule type="expression" dxfId="10" priority="12">
      <formula>AND(E$4="Actuals",F$4="Forecast")</formula>
    </cfRule>
  </conditionalFormatting>
  <conditionalFormatting sqref="K6">
    <cfRule type="expression" dxfId="9" priority="118">
      <formula>AND(K$4="Actuals",#REF!="Forecast")</formula>
    </cfRule>
  </conditionalFormatting>
  <conditionalFormatting sqref="K5">
    <cfRule type="expression" dxfId="8" priority="120">
      <formula>AND(K$5="Actuals",#REF!="Forecast")</formula>
    </cfRule>
  </conditionalFormatting>
  <conditionalFormatting sqref="D11:H11">
    <cfRule type="expression" dxfId="7" priority="1">
      <formula>D$5="Forecast"</formula>
    </cfRule>
    <cfRule type="expression" dxfId="6" priority="2">
      <formula>D$5="Actuals"</formula>
    </cfRule>
  </conditionalFormatting>
  <conditionalFormatting sqref="D8:H8">
    <cfRule type="expression" dxfId="5" priority="5">
      <formula>D$5="Forecast"</formula>
    </cfRule>
    <cfRule type="expression" dxfId="4" priority="6">
      <formula>D$5="Actuals"</formula>
    </cfRule>
  </conditionalFormatting>
  <conditionalFormatting sqref="D10:H10">
    <cfRule type="expression" dxfId="3" priority="3">
      <formula>D$5="Forecast"</formula>
    </cfRule>
    <cfRule type="expression" dxfId="2" priority="4">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A4" sqref="A4"/>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94" t="s">
        <v>257</v>
      </c>
      <c r="B1" s="904"/>
      <c r="C1" s="257"/>
      <c r="D1" s="257"/>
      <c r="E1" s="257"/>
      <c r="F1" s="257"/>
      <c r="G1" s="257"/>
      <c r="H1" s="257"/>
      <c r="I1" s="258"/>
      <c r="J1" s="258"/>
      <c r="K1" s="259"/>
      <c r="L1" s="358"/>
      <c r="M1" s="33"/>
      <c r="N1" s="33"/>
      <c r="O1" s="32" t="s">
        <v>84</v>
      </c>
      <c r="P1" s="33"/>
      <c r="Q1" s="33"/>
      <c r="R1" s="33"/>
      <c r="S1" s="33"/>
    </row>
    <row r="2" spans="1:19" s="31" customFormat="1" ht="20.25">
      <c r="A2" s="897" t="str">
        <f>'RFPR cover'!C5</f>
        <v>NPgY</v>
      </c>
      <c r="B2" s="889"/>
      <c r="C2" s="29"/>
      <c r="D2" s="29"/>
      <c r="E2" s="29"/>
      <c r="F2" s="29"/>
      <c r="G2" s="29"/>
      <c r="H2" s="29"/>
      <c r="I2" s="27"/>
      <c r="J2" s="27"/>
      <c r="K2" s="27"/>
      <c r="L2" s="124"/>
      <c r="M2" s="33"/>
      <c r="N2" s="33"/>
      <c r="O2" s="32" t="s">
        <v>84</v>
      </c>
      <c r="P2" s="33"/>
      <c r="Q2" s="33"/>
      <c r="R2" s="33"/>
      <c r="S2" s="33"/>
    </row>
    <row r="3" spans="1:19" s="31" customFormat="1" ht="20.25">
      <c r="A3" s="900">
        <f>'RFPR cover'!C7</f>
        <v>2021</v>
      </c>
      <c r="B3" s="907"/>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4" t="str">
        <f>IF(D6&lt;='RFPR cover'!$C$7,"Actuals","Forecast")</f>
        <v>Actuals</v>
      </c>
      <c r="E5" s="385" t="str">
        <f>IF(E6&lt;='RFPR cover'!$C$7,"Actuals","Forecast")</f>
        <v>Actuals</v>
      </c>
      <c r="F5" s="385" t="str">
        <f>IF(F6&lt;='RFPR cover'!$C$7,"Actuals","Forecast")</f>
        <v>Actuals</v>
      </c>
      <c r="G5" s="385" t="str">
        <f>IF(G6&lt;='RFPR cover'!$C$7,"Actuals","Forecast")</f>
        <v>Actuals</v>
      </c>
      <c r="H5" s="385" t="str">
        <f>IF(H6&lt;='RFPR cover'!$C$7,"Actuals","Forecast")</f>
        <v>Actuals</v>
      </c>
      <c r="I5" s="385" t="str">
        <f>IF(I6&lt;='RFPR cover'!$C$7,"Actuals","Forecast")</f>
        <v>Actuals</v>
      </c>
      <c r="J5" s="385" t="str">
        <f>IF(J6&lt;='RFPR cover'!$C$7,"Actuals","Forecast")</f>
        <v>Forecast</v>
      </c>
      <c r="K5" s="386"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58"/>
      <c r="E7" s="758"/>
      <c r="F7" s="758"/>
      <c r="G7" s="758"/>
      <c r="H7" s="758"/>
      <c r="I7" s="758"/>
      <c r="J7" s="758"/>
      <c r="K7" s="758"/>
    </row>
    <row r="8" spans="1:19">
      <c r="B8" s="51" t="s">
        <v>464</v>
      </c>
      <c r="C8" s="211" t="str">
        <f>'RFPR cover'!$C$14</f>
        <v>£m 12/13</v>
      </c>
      <c r="D8" s="755">
        <f>(D16+D21)/Data!C34</f>
        <v>0.1479022193013225</v>
      </c>
      <c r="E8" s="755">
        <f>(E16+E21)/Data!D34</f>
        <v>0.11985928292174858</v>
      </c>
      <c r="F8" s="755">
        <f>(F16+F21)/Data!E34</f>
        <v>0.12489543192631718</v>
      </c>
      <c r="G8" s="755">
        <f>(G16+G21)/Data!F34</f>
        <v>0.174197246640582</v>
      </c>
      <c r="H8" s="755">
        <f>(H16+H21)/Data!G34</f>
        <v>0.19169793182420292</v>
      </c>
      <c r="I8" s="755">
        <f>(I16+I21)/Data!H34</f>
        <v>0.14646714094374966</v>
      </c>
      <c r="J8" s="755">
        <f>(J16+J21)/Data!I34</f>
        <v>0.14268596292620522</v>
      </c>
      <c r="K8" s="755">
        <f>(K16+K21)/Data!J34</f>
        <v>0.13842926308630146</v>
      </c>
    </row>
    <row r="9" spans="1:19">
      <c r="D9" s="758"/>
      <c r="E9" s="758"/>
      <c r="F9" s="758"/>
      <c r="G9" s="758"/>
      <c r="H9" s="758"/>
      <c r="I9" s="758"/>
      <c r="J9" s="758"/>
      <c r="K9" s="758"/>
    </row>
    <row r="10" spans="1:19">
      <c r="B10" s="14" t="s">
        <v>451</v>
      </c>
      <c r="D10" s="758"/>
      <c r="E10" s="758"/>
      <c r="F10" s="758"/>
      <c r="G10" s="758"/>
      <c r="H10" s="758"/>
      <c r="I10" s="758"/>
      <c r="J10" s="758"/>
      <c r="K10" s="758"/>
    </row>
    <row r="11" spans="1:19">
      <c r="B11" s="44" t="s">
        <v>36</v>
      </c>
      <c r="C11" s="153" t="s">
        <v>127</v>
      </c>
      <c r="D11" s="634"/>
      <c r="E11" s="635"/>
      <c r="F11" s="635"/>
      <c r="G11" s="635"/>
      <c r="H11" s="635"/>
      <c r="I11" s="635"/>
      <c r="J11" s="635"/>
      <c r="K11" s="636"/>
    </row>
    <row r="12" spans="1:19">
      <c r="B12" s="44" t="s">
        <v>36</v>
      </c>
      <c r="C12" s="153" t="s">
        <v>127</v>
      </c>
      <c r="D12" s="634"/>
      <c r="E12" s="635"/>
      <c r="F12" s="635"/>
      <c r="G12" s="635"/>
      <c r="H12" s="635"/>
      <c r="I12" s="635"/>
      <c r="J12" s="635"/>
      <c r="K12" s="636"/>
    </row>
    <row r="13" spans="1:19">
      <c r="B13" s="44" t="s">
        <v>20</v>
      </c>
      <c r="C13" s="153" t="s">
        <v>127</v>
      </c>
      <c r="D13" s="634"/>
      <c r="E13" s="635"/>
      <c r="F13" s="635"/>
      <c r="G13" s="635"/>
      <c r="H13" s="635"/>
      <c r="I13" s="635"/>
      <c r="J13" s="635"/>
      <c r="K13" s="636"/>
    </row>
    <row r="14" spans="1:19">
      <c r="B14" s="14" t="s">
        <v>461</v>
      </c>
      <c r="C14" s="153" t="s">
        <v>127</v>
      </c>
      <c r="D14" s="755">
        <f>SUM(D11:D13)</f>
        <v>0</v>
      </c>
      <c r="E14" s="756">
        <f t="shared" ref="E14:K14" si="1">SUM(E11:E13)</f>
        <v>0</v>
      </c>
      <c r="F14" s="756">
        <f t="shared" si="1"/>
        <v>0</v>
      </c>
      <c r="G14" s="756">
        <f t="shared" si="1"/>
        <v>0</v>
      </c>
      <c r="H14" s="756">
        <f t="shared" si="1"/>
        <v>0</v>
      </c>
      <c r="I14" s="756">
        <f t="shared" si="1"/>
        <v>0</v>
      </c>
      <c r="J14" s="756">
        <f t="shared" si="1"/>
        <v>0</v>
      </c>
      <c r="K14" s="757">
        <f t="shared" si="1"/>
        <v>0</v>
      </c>
    </row>
    <row r="15" spans="1:19">
      <c r="B15" s="35" t="s">
        <v>455</v>
      </c>
      <c r="C15" s="153" t="s">
        <v>127</v>
      </c>
      <c r="D15" s="634"/>
      <c r="E15" s="635"/>
      <c r="F15" s="635"/>
      <c r="G15" s="635"/>
      <c r="H15" s="635"/>
      <c r="I15" s="635"/>
      <c r="J15" s="635"/>
      <c r="K15" s="636"/>
    </row>
    <row r="16" spans="1:19">
      <c r="B16" s="51" t="s">
        <v>462</v>
      </c>
      <c r="C16" s="153" t="s">
        <v>127</v>
      </c>
      <c r="D16" s="755">
        <f>D14-D15</f>
        <v>0</v>
      </c>
      <c r="E16" s="755">
        <f t="shared" ref="E16:K16" si="2">E14-E15</f>
        <v>0</v>
      </c>
      <c r="F16" s="755">
        <f t="shared" si="2"/>
        <v>0</v>
      </c>
      <c r="G16" s="755">
        <f t="shared" si="2"/>
        <v>0</v>
      </c>
      <c r="H16" s="755">
        <f t="shared" si="2"/>
        <v>0</v>
      </c>
      <c r="I16" s="755">
        <f t="shared" si="2"/>
        <v>0</v>
      </c>
      <c r="J16" s="755">
        <f t="shared" si="2"/>
        <v>0</v>
      </c>
      <c r="K16" s="755">
        <f t="shared" si="2"/>
        <v>0</v>
      </c>
    </row>
    <row r="18" spans="2:11">
      <c r="B18" s="14" t="s">
        <v>459</v>
      </c>
      <c r="D18" s="758"/>
      <c r="E18" s="758"/>
      <c r="F18" s="758"/>
      <c r="G18" s="758"/>
      <c r="H18" s="758"/>
      <c r="I18" s="758"/>
      <c r="J18" s="758"/>
      <c r="K18" s="758"/>
    </row>
    <row r="19" spans="2:11">
      <c r="B19" s="839" t="s">
        <v>460</v>
      </c>
      <c r="C19" s="153" t="s">
        <v>127</v>
      </c>
      <c r="D19" s="634">
        <v>0.19602900000000001</v>
      </c>
      <c r="E19" s="635">
        <v>0.16226500000000002</v>
      </c>
      <c r="F19" s="635">
        <v>0.17541000000000001</v>
      </c>
      <c r="G19" s="635">
        <v>0.24901500000000004</v>
      </c>
      <c r="H19" s="635">
        <v>0.27502499999999996</v>
      </c>
      <c r="I19" s="635">
        <v>0.21740000000000001</v>
      </c>
      <c r="J19" s="635">
        <v>0.21740000000000001</v>
      </c>
      <c r="K19" s="636">
        <v>0.21740000000000001</v>
      </c>
    </row>
    <row r="20" spans="2:11">
      <c r="B20" s="35" t="s">
        <v>455</v>
      </c>
      <c r="C20" s="153" t="s">
        <v>127</v>
      </c>
      <c r="D20" s="634">
        <v>3.9205800000000006E-2</v>
      </c>
      <c r="E20" s="635">
        <v>3.2453000000000003E-2</v>
      </c>
      <c r="F20" s="635">
        <v>3.5082000000000002E-2</v>
      </c>
      <c r="G20" s="635">
        <v>4.731285000000001E-2</v>
      </c>
      <c r="H20" s="635">
        <v>4.731285000000001E-2</v>
      </c>
      <c r="I20" s="635">
        <v>4.1306000000000002E-2</v>
      </c>
      <c r="J20" s="635">
        <v>4.1306000000000002E-2</v>
      </c>
      <c r="K20" s="636">
        <v>4.1306000000000002E-2</v>
      </c>
    </row>
    <row r="21" spans="2:11">
      <c r="B21" s="51" t="s">
        <v>463</v>
      </c>
      <c r="C21" s="153" t="s">
        <v>127</v>
      </c>
      <c r="D21" s="755">
        <f>D19-D20</f>
        <v>0.1568232</v>
      </c>
      <c r="E21" s="755">
        <f t="shared" ref="E21:K21" si="3">E19-E20</f>
        <v>0.12981200000000001</v>
      </c>
      <c r="F21" s="755">
        <f t="shared" si="3"/>
        <v>0.14032800000000001</v>
      </c>
      <c r="G21" s="755">
        <f t="shared" si="3"/>
        <v>0.20170215000000002</v>
      </c>
      <c r="H21" s="755">
        <f t="shared" si="3"/>
        <v>0.22771214999999995</v>
      </c>
      <c r="I21" s="755">
        <f t="shared" si="3"/>
        <v>0.176094</v>
      </c>
      <c r="J21" s="755">
        <f t="shared" si="3"/>
        <v>0.176094</v>
      </c>
      <c r="K21" s="930">
        <f t="shared" si="3"/>
        <v>0.176094</v>
      </c>
    </row>
  </sheetData>
  <sheetProtection password="DA3D"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RFPR cover</vt:lpstr>
      <vt:lpstr>Data</vt:lpstr>
      <vt:lpstr>Content &amp; Version Control</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'Content &amp; Version Control'!Print_Area</vt:lpstr>
      <vt:lpstr>'R11 - Dividends'!Print_Area</vt:lpstr>
      <vt:lpstr>'R12 - Pensions'!Print_Area</vt:lpstr>
      <vt:lpstr>'R2 - Revenue'!Print_Area</vt:lpstr>
      <vt:lpstr>'R3 - Rec to totex'!Print_Area</vt:lpstr>
      <vt:lpstr>'R4 - Totex'!Print_Area</vt:lpstr>
      <vt:lpstr>'R5 - Output Incentives'!Print_Area</vt:lpstr>
      <vt:lpstr>'R6 - Innovation'!Print_Area</vt:lpstr>
      <vt:lpstr>'RFPR 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2021-07-29T18:26:16Z</dcterms:created>
  <dcterms:modified xsi:type="dcterms:W3CDTF">2021-07-30T10:57:49Z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AD03\Kathryn.Atack</vt:lpwstr>
  </property>
  <property fmtid="{D5CDD505-2E9C-101B-9397-08002B2CF9AE}" pid="4" name="DLPManualFileClassificationLastModificationDate">
    <vt:lpwstr>1627584287</vt:lpwstr>
  </property>
  <property fmtid="{D5CDD505-2E9C-101B-9397-08002B2CF9AE}" pid="5" name="DLPManualFileClassificationVersion">
    <vt:lpwstr>11.0.400.15</vt:lpwstr>
  </property>
</Properties>
</file>