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60" windowWidth="15645" windowHeight="10365" tabRatio="847"/>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log'!$A$1:$D$60</definedName>
    <definedName name="_xlnm.Print_Area" localSheetId="2">'Content &amp; Version Control'!$A$1:$H$19</definedName>
    <definedName name="_xlnm.Print_Area" localSheetId="14">'R11 - Dividends'!$A$1:$L$15</definedName>
    <definedName name="_xlnm.Print_Area" localSheetId="5">'R2 - Revenue'!$A$1:$L$71</definedName>
    <definedName name="_xlnm.Print_Area" localSheetId="6">'R3 - Rec to totex'!$A$1:$K$83</definedName>
    <definedName name="_xlnm.Print_Area" localSheetId="7">'R4 - Totex'!$A$1:$N$80</definedName>
    <definedName name="_xlnm.Print_Area" localSheetId="8">'R5 - Output Incentives'!$A:$M</definedName>
    <definedName name="_xlnm.Print_Area" localSheetId="9">'R6 - Innovation'!$A$1:$L$28</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3" l="1"/>
  <c r="E17" i="3"/>
  <c r="D17" i="3"/>
  <c r="F12" i="3" l="1"/>
  <c r="E12" i="3"/>
  <c r="D12" i="3"/>
  <c r="B3" i="1" l="1"/>
  <c r="B3" i="11" l="1"/>
  <c r="B3" i="3"/>
  <c r="B3" i="17"/>
  <c r="B3" i="27"/>
  <c r="K23" i="15" l="1"/>
  <c r="J23" i="15"/>
  <c r="I23" i="15"/>
  <c r="H23" i="15"/>
  <c r="K18" i="15"/>
  <c r="J18" i="15"/>
  <c r="I18" i="15"/>
  <c r="H18" i="15"/>
  <c r="G18" i="15"/>
  <c r="G23" i="15" s="1"/>
  <c r="F18" i="15"/>
  <c r="F23" i="15" s="1"/>
  <c r="E18" i="15"/>
  <c r="E23" i="15" s="1"/>
  <c r="D18" i="15"/>
  <c r="D23" i="15" s="1"/>
  <c r="D31" i="10" l="1"/>
  <c r="K17" i="3" l="1"/>
  <c r="J17" i="3"/>
  <c r="I17" i="3"/>
  <c r="H17" i="3"/>
  <c r="G17" i="3"/>
  <c r="H102" i="5" l="1"/>
  <c r="K31" i="10" l="1"/>
  <c r="J31" i="10"/>
  <c r="I31" i="10"/>
  <c r="H31" i="10"/>
  <c r="G31" i="10"/>
  <c r="F31" i="10"/>
  <c r="E31" i="10"/>
  <c r="E54" i="17" l="1"/>
  <c r="I54" i="17" l="1"/>
  <c r="F54" i="17"/>
  <c r="K54" i="17"/>
  <c r="M52" i="17"/>
  <c r="M51" i="17"/>
  <c r="M50" i="17"/>
  <c r="M49" i="17"/>
  <c r="M48" i="17"/>
  <c r="D54" i="17"/>
  <c r="J54" i="17"/>
  <c r="G54" i="17"/>
  <c r="H54" i="17"/>
  <c r="M47" i="17"/>
  <c r="M54" i="17" l="1"/>
  <c r="H68" i="4"/>
  <c r="I68" i="4"/>
  <c r="J68" i="4"/>
  <c r="K68" i="4"/>
  <c r="K12" i="3" l="1"/>
  <c r="J12" i="3"/>
  <c r="I12" i="3"/>
  <c r="H12" i="3"/>
  <c r="G12" i="3"/>
  <c r="A111" i="5" l="1"/>
  <c r="A110" i="5"/>
  <c r="E102" i="5"/>
  <c r="F102" i="5"/>
  <c r="G102" i="5"/>
  <c r="I102" i="5"/>
  <c r="J102" i="5"/>
  <c r="K102" i="5"/>
  <c r="D102" i="5"/>
  <c r="A100" i="5"/>
  <c r="A97" i="5"/>
  <c r="E18" i="5"/>
  <c r="F18" i="5"/>
  <c r="G18" i="5"/>
  <c r="H18" i="5"/>
  <c r="I18" i="5"/>
  <c r="J18" i="5"/>
  <c r="K18" i="5"/>
  <c r="D18" i="5"/>
  <c r="H73" i="5"/>
  <c r="D73" i="5"/>
  <c r="K73" i="5"/>
  <c r="K49" i="5"/>
  <c r="J49" i="5"/>
  <c r="I49" i="5"/>
  <c r="H49" i="5"/>
  <c r="G49" i="5"/>
  <c r="F49" i="5"/>
  <c r="E49" i="5"/>
  <c r="D49" i="5"/>
  <c r="K53" i="5"/>
  <c r="J53" i="5"/>
  <c r="I53" i="5"/>
  <c r="H53" i="5"/>
  <c r="G53" i="5"/>
  <c r="F53" i="5"/>
  <c r="E53" i="5"/>
  <c r="D53" i="5"/>
  <c r="K57" i="5"/>
  <c r="J57" i="5"/>
  <c r="I57" i="5"/>
  <c r="H57" i="5"/>
  <c r="G57" i="5"/>
  <c r="F57" i="5"/>
  <c r="E57" i="5"/>
  <c r="D57" i="5"/>
  <c r="K61" i="5"/>
  <c r="J61" i="5"/>
  <c r="I61" i="5"/>
  <c r="H61" i="5"/>
  <c r="G61" i="5"/>
  <c r="F61" i="5"/>
  <c r="E61" i="5"/>
  <c r="D61" i="5"/>
  <c r="K65" i="5"/>
  <c r="J65" i="5"/>
  <c r="I65" i="5"/>
  <c r="H65" i="5"/>
  <c r="G65" i="5"/>
  <c r="F65" i="5"/>
  <c r="E65" i="5"/>
  <c r="D65" i="5"/>
  <c r="E69" i="5"/>
  <c r="F69" i="5"/>
  <c r="G69" i="5"/>
  <c r="H69" i="5"/>
  <c r="I69" i="5"/>
  <c r="J69" i="5"/>
  <c r="K69" i="5"/>
  <c r="D69" i="5"/>
  <c r="A69" i="5"/>
  <c r="M16" i="5"/>
  <c r="M17" i="5"/>
  <c r="A44" i="5"/>
  <c r="A45" i="5"/>
  <c r="E73" i="5" l="1"/>
  <c r="I73" i="5"/>
  <c r="F73" i="5"/>
  <c r="J73" i="5"/>
  <c r="G73" i="5"/>
  <c r="M73" i="5" l="1"/>
  <c r="M69" i="5"/>
  <c r="E21" i="20" l="1"/>
  <c r="F21" i="20"/>
  <c r="G21" i="20"/>
  <c r="H21" i="20"/>
  <c r="I21" i="20"/>
  <c r="J21" i="20"/>
  <c r="K21" i="20"/>
  <c r="D21" i="20"/>
  <c r="F153" i="28" l="1"/>
  <c r="F152" i="28"/>
  <c r="E182" i="28"/>
  <c r="F155" i="28" s="1"/>
  <c r="B182" i="28"/>
  <c r="F154" i="28" s="1"/>
  <c r="E192" i="28"/>
  <c r="F157" i="28" s="1"/>
  <c r="B192" i="28"/>
  <c r="F156" i="28" s="1"/>
  <c r="E202" i="28"/>
  <c r="F159" i="28" s="1"/>
  <c r="B202" i="28"/>
  <c r="F158" i="28" s="1"/>
  <c r="K46" i="15" l="1"/>
  <c r="J46" i="15"/>
  <c r="I46" i="15"/>
  <c r="H46" i="15"/>
  <c r="G46" i="15"/>
  <c r="F46" i="15"/>
  <c r="E46" i="15"/>
  <c r="D46" i="15"/>
  <c r="J43" i="28" l="1"/>
  <c r="G43" i="28"/>
  <c r="H43" i="28"/>
  <c r="I43" i="28"/>
  <c r="K74" i="29" l="1"/>
  <c r="J74" i="29"/>
  <c r="I74" i="29"/>
  <c r="H74" i="29"/>
  <c r="G74" i="29"/>
  <c r="E74" i="29"/>
  <c r="D74" i="29"/>
  <c r="K80" i="29"/>
  <c r="J80" i="29"/>
  <c r="I80" i="29"/>
  <c r="H80" i="29"/>
  <c r="G80" i="29"/>
  <c r="E80" i="29"/>
  <c r="D80" i="29"/>
  <c r="F80" i="29"/>
  <c r="F74" i="29"/>
  <c r="G82" i="29" l="1"/>
  <c r="G86" i="29" s="1"/>
  <c r="H82" i="29"/>
  <c r="H86" i="29" s="1"/>
  <c r="E82" i="29"/>
  <c r="E86" i="29" s="1"/>
  <c r="I82" i="29"/>
  <c r="I86" i="29" s="1"/>
  <c r="D82" i="29"/>
  <c r="D86" i="29" s="1"/>
  <c r="J82" i="29"/>
  <c r="J86" i="29" s="1"/>
  <c r="F82" i="29"/>
  <c r="F86" i="29" s="1"/>
  <c r="K82" i="29"/>
  <c r="K86" i="29" s="1"/>
  <c r="D118" i="28" l="1"/>
  <c r="E118" i="28" s="1"/>
  <c r="F118" i="28" s="1"/>
  <c r="G118" i="28" s="1"/>
  <c r="H118" i="28" s="1"/>
  <c r="I118" i="28" s="1"/>
  <c r="J118" i="28" s="1"/>
  <c r="K118" i="28" s="1"/>
  <c r="L118" i="28" s="1"/>
  <c r="A22" i="5" l="1"/>
  <c r="A23" i="5"/>
  <c r="A24" i="5"/>
  <c r="A25" i="5"/>
  <c r="A21" i="5"/>
  <c r="M46" i="17" l="1"/>
  <c r="K19" i="29"/>
  <c r="J19" i="29"/>
  <c r="I19" i="29"/>
  <c r="H19" i="29"/>
  <c r="G19" i="29"/>
  <c r="F19" i="29"/>
  <c r="E19" i="29"/>
  <c r="D19" i="29"/>
  <c r="R100" i="28" l="1"/>
  <c r="Q100" i="28"/>
  <c r="P100" i="28"/>
  <c r="O100" i="28"/>
  <c r="N100" i="28"/>
  <c r="M100" i="28"/>
  <c r="L100" i="28"/>
  <c r="R99" i="28"/>
  <c r="Q99" i="28"/>
  <c r="P99" i="28"/>
  <c r="O99" i="28"/>
  <c r="N99" i="28"/>
  <c r="M99" i="28"/>
  <c r="L99" i="28"/>
  <c r="R98" i="28"/>
  <c r="Q98" i="28"/>
  <c r="P98" i="28"/>
  <c r="O98" i="28"/>
  <c r="N98" i="28"/>
  <c r="M98" i="28"/>
  <c r="L98" i="28"/>
  <c r="R97" i="28"/>
  <c r="Q97" i="28"/>
  <c r="P97" i="28"/>
  <c r="O97" i="28"/>
  <c r="N97" i="28"/>
  <c r="M97" i="28"/>
  <c r="L97" i="28"/>
  <c r="R96" i="28"/>
  <c r="Q96" i="28"/>
  <c r="P96" i="28"/>
  <c r="O96" i="28"/>
  <c r="N96" i="28"/>
  <c r="M96" i="28"/>
  <c r="L96" i="28"/>
  <c r="R95" i="28"/>
  <c r="Q95" i="28"/>
  <c r="P95" i="28"/>
  <c r="O95" i="28"/>
  <c r="N95" i="28"/>
  <c r="M95" i="28"/>
  <c r="L95" i="28"/>
  <c r="R94" i="28"/>
  <c r="Q94" i="28"/>
  <c r="P94" i="28"/>
  <c r="O94" i="28"/>
  <c r="N94" i="28"/>
  <c r="M94" i="28"/>
  <c r="L94" i="28"/>
  <c r="R93" i="28"/>
  <c r="Q93" i="28"/>
  <c r="P93" i="28"/>
  <c r="O93" i="28"/>
  <c r="N93" i="28"/>
  <c r="M93" i="28"/>
  <c r="L93" i="28"/>
  <c r="R92" i="28"/>
  <c r="Q92" i="28"/>
  <c r="P92" i="28"/>
  <c r="O92" i="28"/>
  <c r="N92" i="28"/>
  <c r="M92" i="28"/>
  <c r="L92" i="28"/>
  <c r="R91" i="28"/>
  <c r="Q91" i="28"/>
  <c r="P91" i="28"/>
  <c r="O91" i="28"/>
  <c r="N91" i="28"/>
  <c r="M91" i="28"/>
  <c r="L91" i="28"/>
  <c r="R90" i="28"/>
  <c r="Q90" i="28"/>
  <c r="P90" i="28"/>
  <c r="O90" i="28"/>
  <c r="N90" i="28"/>
  <c r="M90" i="28"/>
  <c r="L90" i="28"/>
  <c r="R89" i="28"/>
  <c r="Q89" i="28"/>
  <c r="P89" i="28"/>
  <c r="O89" i="28"/>
  <c r="N89" i="28"/>
  <c r="M89" i="28"/>
  <c r="L89" i="28"/>
  <c r="R88" i="28"/>
  <c r="Q88" i="28"/>
  <c r="P88" i="28"/>
  <c r="O88" i="28"/>
  <c r="N88" i="28"/>
  <c r="M88" i="28"/>
  <c r="L88" i="28"/>
  <c r="R87" i="28"/>
  <c r="Q87" i="28"/>
  <c r="P87" i="28"/>
  <c r="O87" i="28"/>
  <c r="N87" i="28"/>
  <c r="M87" i="28"/>
  <c r="L87" i="28"/>
  <c r="K99" i="28"/>
  <c r="K98" i="28"/>
  <c r="K96" i="28"/>
  <c r="K94" i="28"/>
  <c r="K93" i="28"/>
  <c r="K92" i="28"/>
  <c r="K91" i="28"/>
  <c r="K90" i="28"/>
  <c r="K89" i="28"/>
  <c r="K88" i="28"/>
  <c r="K100" i="28"/>
  <c r="K97" i="28"/>
  <c r="K95" i="28"/>
  <c r="K87" i="28"/>
  <c r="T86" i="28"/>
  <c r="S86" i="28"/>
  <c r="R86" i="28"/>
  <c r="Q86" i="28"/>
  <c r="P86" i="28"/>
  <c r="O86" i="28"/>
  <c r="N86" i="28"/>
  <c r="M86" i="28"/>
  <c r="T85" i="28"/>
  <c r="S85" i="28"/>
  <c r="R85" i="28"/>
  <c r="Q85" i="28"/>
  <c r="P85" i="28"/>
  <c r="O85" i="28"/>
  <c r="N85" i="28"/>
  <c r="M85" i="28"/>
  <c r="T84" i="28"/>
  <c r="S84" i="28"/>
  <c r="R84" i="28"/>
  <c r="Q84" i="28"/>
  <c r="P84" i="28"/>
  <c r="O84" i="28"/>
  <c r="N84" i="28"/>
  <c r="M84" i="28"/>
  <c r="T83" i="28"/>
  <c r="S83" i="28"/>
  <c r="R83" i="28"/>
  <c r="Q83" i="28"/>
  <c r="P83" i="28"/>
  <c r="O83" i="28"/>
  <c r="N83" i="28"/>
  <c r="M83" i="28"/>
  <c r="T82" i="28"/>
  <c r="S82" i="28"/>
  <c r="R82" i="28"/>
  <c r="Q82" i="28"/>
  <c r="P82" i="28"/>
  <c r="O82" i="28"/>
  <c r="N82" i="28"/>
  <c r="M82" i="28"/>
  <c r="T81" i="28"/>
  <c r="S81" i="28"/>
  <c r="R81" i="28"/>
  <c r="Q81" i="28"/>
  <c r="P81" i="28"/>
  <c r="O81" i="28"/>
  <c r="N81" i="28"/>
  <c r="M81" i="28"/>
  <c r="T80" i="28"/>
  <c r="S80" i="28"/>
  <c r="R80" i="28"/>
  <c r="Q80" i="28"/>
  <c r="P80" i="28"/>
  <c r="O80" i="28"/>
  <c r="N80" i="28"/>
  <c r="M80" i="28"/>
  <c r="T79" i="28"/>
  <c r="S79" i="28"/>
  <c r="R79" i="28"/>
  <c r="Q79" i="28"/>
  <c r="P79" i="28"/>
  <c r="O79" i="28"/>
  <c r="N79" i="28"/>
  <c r="M79" i="28"/>
  <c r="T78" i="28"/>
  <c r="S78" i="28"/>
  <c r="R78" i="28"/>
  <c r="Q78" i="28"/>
  <c r="P78" i="28"/>
  <c r="O78" i="28"/>
  <c r="N78" i="28"/>
  <c r="M78" i="28"/>
  <c r="T77" i="28"/>
  <c r="S77" i="28"/>
  <c r="R77" i="28"/>
  <c r="Q77" i="28"/>
  <c r="P77" i="28"/>
  <c r="O77" i="28"/>
  <c r="N77" i="28"/>
  <c r="M77" i="28"/>
  <c r="T76" i="28"/>
  <c r="S76" i="28"/>
  <c r="R76" i="28"/>
  <c r="Q76" i="28"/>
  <c r="P76" i="28"/>
  <c r="O76" i="28"/>
  <c r="N76" i="28"/>
  <c r="M76" i="28"/>
  <c r="T75" i="28"/>
  <c r="S75" i="28"/>
  <c r="R75" i="28"/>
  <c r="Q75" i="28"/>
  <c r="P75" i="28"/>
  <c r="O75" i="28"/>
  <c r="N75" i="28"/>
  <c r="M75" i="28"/>
  <c r="T74" i="28"/>
  <c r="S74" i="28"/>
  <c r="R74" i="28"/>
  <c r="Q74" i="28"/>
  <c r="P74" i="28"/>
  <c r="O74" i="28"/>
  <c r="N74" i="28"/>
  <c r="M74" i="28"/>
  <c r="T73" i="28"/>
  <c r="S73" i="28"/>
  <c r="R73" i="28"/>
  <c r="Q73" i="28"/>
  <c r="P73" i="28"/>
  <c r="O73" i="28"/>
  <c r="N73" i="28"/>
  <c r="M73" i="28"/>
  <c r="D62" i="28"/>
  <c r="E62" i="28" s="1"/>
  <c r="F62" i="28" s="1"/>
  <c r="G62" i="28" s="1"/>
  <c r="H62" i="28" s="1"/>
  <c r="I62" i="28" s="1"/>
  <c r="J62" i="28" s="1"/>
  <c r="K62" i="28" s="1"/>
  <c r="L62" i="28" s="1"/>
  <c r="K13" i="11" l="1"/>
  <c r="J13" i="11"/>
  <c r="I13" i="11"/>
  <c r="H13" i="11"/>
  <c r="G13" i="11"/>
  <c r="F13" i="11"/>
  <c r="E13" i="11"/>
  <c r="D13" i="11"/>
  <c r="L72" i="28" l="1"/>
  <c r="M72" i="28" s="1"/>
  <c r="N72" i="28" s="1"/>
  <c r="O72" i="28" s="1"/>
  <c r="P72" i="28" s="1"/>
  <c r="Q72" i="28" s="1"/>
  <c r="R72" i="28" s="1"/>
  <c r="S72" i="28" s="1"/>
  <c r="T72" i="28" s="1"/>
  <c r="K28" i="10" l="1"/>
  <c r="J28" i="10"/>
  <c r="I28" i="10"/>
  <c r="H28" i="10"/>
  <c r="G28" i="10"/>
  <c r="F28" i="10"/>
  <c r="E28" i="10"/>
  <c r="D28" i="10"/>
  <c r="K24" i="10"/>
  <c r="J24" i="10"/>
  <c r="I24" i="10"/>
  <c r="H24" i="10"/>
  <c r="G24" i="10"/>
  <c r="F24" i="10"/>
  <c r="E24" i="10"/>
  <c r="D24" i="10"/>
  <c r="K21" i="10"/>
  <c r="J21" i="10"/>
  <c r="I21" i="10"/>
  <c r="H21" i="10"/>
  <c r="G21" i="10"/>
  <c r="F21" i="10"/>
  <c r="E21" i="10"/>
  <c r="D21" i="10"/>
  <c r="D18" i="10"/>
  <c r="D29" i="10" l="1"/>
  <c r="E16" i="10" l="1"/>
  <c r="E18" i="10" s="1"/>
  <c r="E29" i="10" s="1"/>
  <c r="F16" i="10" l="1"/>
  <c r="F18" i="10" s="1"/>
  <c r="F29" i="10" s="1"/>
  <c r="G16" i="10" l="1"/>
  <c r="G18" i="10" s="1"/>
  <c r="G29" i="10" s="1"/>
  <c r="H16" i="10" l="1"/>
  <c r="H18" i="10" s="1"/>
  <c r="H29" i="10" s="1"/>
  <c r="I16" i="10" l="1"/>
  <c r="I18" i="10" s="1"/>
  <c r="I29" i="10" s="1"/>
  <c r="J16" i="10" l="1"/>
  <c r="J18" i="10" s="1"/>
  <c r="J29" i="10" s="1"/>
  <c r="K16" i="10" l="1"/>
  <c r="K18" i="10" s="1"/>
  <c r="K29" i="10" s="1"/>
  <c r="A65" i="5" l="1"/>
  <c r="A61" i="5"/>
  <c r="A57" i="5"/>
  <c r="A53" i="5"/>
  <c r="A49" i="5"/>
  <c r="A40" i="5"/>
  <c r="A41" i="5"/>
  <c r="A42" i="5"/>
  <c r="A43" i="5"/>
  <c r="A39" i="5"/>
  <c r="A85" i="5"/>
  <c r="A106" i="5" s="1"/>
  <c r="A88" i="5"/>
  <c r="A107" i="5" s="1"/>
  <c r="A91" i="5"/>
  <c r="A108" i="5" s="1"/>
  <c r="A94" i="5"/>
  <c r="A109" i="5" s="1"/>
  <c r="A82" i="5"/>
  <c r="A105" i="5" s="1"/>
  <c r="E19" i="19" l="1"/>
  <c r="F19" i="19"/>
  <c r="G19" i="19"/>
  <c r="H19" i="19"/>
  <c r="I19" i="19"/>
  <c r="J19" i="19"/>
  <c r="K19" i="19"/>
  <c r="D19" i="19"/>
  <c r="B86" i="2" l="1"/>
  <c r="E42" i="28"/>
  <c r="E38" i="28"/>
  <c r="F38" i="28" s="1"/>
  <c r="G38" i="28" s="1"/>
  <c r="H38" i="28" s="1"/>
  <c r="I38" i="28" s="1"/>
  <c r="J38" i="28" s="1"/>
  <c r="D30" i="28"/>
  <c r="D29" i="28"/>
  <c r="D28" i="28"/>
  <c r="D27" i="28"/>
  <c r="D26" i="28"/>
  <c r="D25" i="28"/>
  <c r="D24" i="28"/>
  <c r="D23" i="28"/>
  <c r="D22" i="28"/>
  <c r="D21" i="28"/>
  <c r="D20" i="28"/>
  <c r="D19" i="28"/>
  <c r="D18" i="28"/>
  <c r="D17" i="28"/>
  <c r="D16" i="28"/>
  <c r="D15" i="28"/>
  <c r="D14" i="28"/>
  <c r="B45" i="28"/>
  <c r="C48" i="28"/>
  <c r="D50" i="28"/>
  <c r="E50" i="28" s="1"/>
  <c r="F50" i="28" s="1"/>
  <c r="G50" i="28" s="1"/>
  <c r="H50" i="28" s="1"/>
  <c r="I50" i="28" s="1"/>
  <c r="J50" i="28" s="1"/>
  <c r="C51" i="28"/>
  <c r="D51" i="28"/>
  <c r="E51" i="28"/>
  <c r="F51" i="28"/>
  <c r="G51" i="28"/>
  <c r="H51" i="28"/>
  <c r="I51" i="28"/>
  <c r="J51"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F42" i="28" l="1"/>
  <c r="G42" i="28" s="1"/>
  <c r="H42" i="28" s="1"/>
  <c r="I42" i="28" s="1"/>
  <c r="J42" i="28" s="1"/>
  <c r="F24" i="28" l="1"/>
  <c r="F25" i="28" s="1"/>
  <c r="F26" i="28" s="1"/>
  <c r="F27" i="28" s="1"/>
  <c r="E24" i="28"/>
  <c r="E25" i="28" s="1"/>
  <c r="E26" i="28" s="1"/>
  <c r="E27" i="28" s="1"/>
  <c r="K8" i="27"/>
  <c r="J8" i="27"/>
  <c r="I8" i="27"/>
  <c r="H8" i="27"/>
  <c r="G8" i="27"/>
  <c r="F8" i="27"/>
  <c r="E8" i="27"/>
  <c r="E23" i="27" l="1"/>
  <c r="E42" i="27" s="1"/>
  <c r="I23" i="27"/>
  <c r="I42" i="27" s="1"/>
  <c r="F23" i="27"/>
  <c r="F42" i="27" s="1"/>
  <c r="G23" i="27"/>
  <c r="G42" i="27" s="1"/>
  <c r="K23" i="27"/>
  <c r="K42" i="27" s="1"/>
  <c r="J23" i="27"/>
  <c r="J42" i="27" s="1"/>
  <c r="D23" i="27"/>
  <c r="D42" i="27" s="1"/>
  <c r="H23" i="27"/>
  <c r="H42" i="27" s="1"/>
  <c r="H100" i="28" l="1"/>
  <c r="H99" i="28"/>
  <c r="H98" i="28"/>
  <c r="A3" i="29" l="1"/>
  <c r="A2" i="29"/>
  <c r="K78" i="15" l="1"/>
  <c r="J78" i="15"/>
  <c r="I78" i="15"/>
  <c r="H78" i="15"/>
  <c r="G78" i="15"/>
  <c r="F78" i="15"/>
  <c r="E78" i="15"/>
  <c r="K28" i="4" l="1"/>
  <c r="J28" i="4"/>
  <c r="I28" i="4"/>
  <c r="H28" i="4"/>
  <c r="B129" i="2" l="1"/>
  <c r="B130" i="2"/>
  <c r="B131" i="2"/>
  <c r="B132" i="2"/>
  <c r="B133" i="2"/>
  <c r="B128" i="2"/>
  <c r="B101" i="2"/>
  <c r="B102" i="2"/>
  <c r="B103" i="2"/>
  <c r="B104" i="2"/>
  <c r="B105" i="2"/>
  <c r="B100" i="2"/>
  <c r="D42" i="2"/>
  <c r="M40" i="2"/>
  <c r="H42" i="2"/>
  <c r="E42" i="2"/>
  <c r="M41" i="2"/>
  <c r="I42" i="2"/>
  <c r="J42" i="2"/>
  <c r="G42" i="2"/>
  <c r="K42" i="2"/>
  <c r="D44" i="2"/>
  <c r="E44" i="2"/>
  <c r="F44" i="2"/>
  <c r="G44" i="2"/>
  <c r="H44" i="2"/>
  <c r="I44" i="2"/>
  <c r="J44" i="2"/>
  <c r="J58" i="2" s="1"/>
  <c r="K44" i="2"/>
  <c r="M50" i="2"/>
  <c r="M51" i="2"/>
  <c r="M52" i="2"/>
  <c r="M53" i="2"/>
  <c r="M54" i="2"/>
  <c r="M55" i="2"/>
  <c r="D56" i="2"/>
  <c r="E56" i="2"/>
  <c r="F56" i="2"/>
  <c r="G56" i="2"/>
  <c r="H56" i="2"/>
  <c r="I56" i="2"/>
  <c r="J56" i="2"/>
  <c r="K56" i="2"/>
  <c r="D122" i="2"/>
  <c r="E122" i="2"/>
  <c r="F122" i="2"/>
  <c r="G122" i="2"/>
  <c r="H122" i="2"/>
  <c r="I122" i="2"/>
  <c r="J122" i="2"/>
  <c r="K122" i="2"/>
  <c r="J59" i="2" l="1"/>
  <c r="I58" i="2"/>
  <c r="I59" i="2"/>
  <c r="E59" i="2"/>
  <c r="M56" i="2"/>
  <c r="F58" i="2"/>
  <c r="G47" i="2"/>
  <c r="K59" i="2"/>
  <c r="G59" i="2"/>
  <c r="F59" i="2"/>
  <c r="E58" i="2"/>
  <c r="H59" i="2"/>
  <c r="K47" i="2"/>
  <c r="I46" i="2"/>
  <c r="I47" i="2"/>
  <c r="E46" i="2"/>
  <c r="E47" i="2"/>
  <c r="H46" i="2"/>
  <c r="H47" i="2"/>
  <c r="D46" i="2"/>
  <c r="D47" i="2"/>
  <c r="J47" i="2"/>
  <c r="J46" i="2"/>
  <c r="J62" i="2" s="1"/>
  <c r="M42" i="2"/>
  <c r="H58" i="2"/>
  <c r="D58" i="2"/>
  <c r="K46" i="2"/>
  <c r="G46" i="2"/>
  <c r="F42" i="2"/>
  <c r="D59" i="2"/>
  <c r="K58" i="2"/>
  <c r="G58" i="2"/>
  <c r="J63" i="2" l="1"/>
  <c r="J64" i="2" s="1"/>
  <c r="I62" i="2"/>
  <c r="E63" i="2"/>
  <c r="H63" i="2"/>
  <c r="I63" i="2"/>
  <c r="K63" i="2"/>
  <c r="G63" i="2"/>
  <c r="E62" i="2"/>
  <c r="M59" i="2"/>
  <c r="G62" i="2"/>
  <c r="D63" i="2"/>
  <c r="K62" i="2"/>
  <c r="D62" i="2"/>
  <c r="M58" i="2"/>
  <c r="F47" i="2"/>
  <c r="F63" i="2" s="1"/>
  <c r="F46" i="2"/>
  <c r="F62" i="2" s="1"/>
  <c r="H62" i="2"/>
  <c r="I64" i="2" l="1"/>
  <c r="E64" i="2"/>
  <c r="H64" i="2"/>
  <c r="K64" i="2"/>
  <c r="G64" i="2"/>
  <c r="M46" i="2"/>
  <c r="M63" i="2"/>
  <c r="F64" i="2"/>
  <c r="M62" i="2"/>
  <c r="D64" i="2"/>
  <c r="M47" i="2"/>
  <c r="M64" i="2" l="1"/>
  <c r="K94" i="2" l="1"/>
  <c r="J94" i="2"/>
  <c r="I94" i="2"/>
  <c r="H94" i="2"/>
  <c r="G94" i="2"/>
  <c r="F94" i="2"/>
  <c r="E94" i="2"/>
  <c r="D94" i="2"/>
  <c r="D105" i="28" l="1"/>
  <c r="E105" i="28" s="1"/>
  <c r="F105" i="28" s="1"/>
  <c r="G105" i="28" s="1"/>
  <c r="H105" i="28" s="1"/>
  <c r="I105" i="28" s="1"/>
  <c r="J105" i="28" s="1"/>
  <c r="A3" i="28"/>
  <c r="A2" i="28"/>
  <c r="L6" i="17" l="1"/>
  <c r="K52" i="27" l="1"/>
  <c r="J52" i="27"/>
  <c r="I52" i="27"/>
  <c r="H52" i="27"/>
  <c r="G52" i="27"/>
  <c r="F52" i="27"/>
  <c r="E52" i="27"/>
  <c r="D52" i="27"/>
  <c r="A3" i="27" l="1"/>
  <c r="A2" i="27"/>
  <c r="M6" i="1" l="1"/>
  <c r="M27" i="2" l="1"/>
  <c r="M26" i="2"/>
  <c r="M25" i="2"/>
  <c r="M24" i="2"/>
  <c r="M23" i="2"/>
  <c r="M22" i="2"/>
  <c r="K64" i="4" l="1"/>
  <c r="J64" i="4"/>
  <c r="I64" i="4"/>
  <c r="H64" i="4"/>
  <c r="G64" i="4"/>
  <c r="F64" i="4"/>
  <c r="E64" i="4"/>
  <c r="D64" i="4"/>
  <c r="K16" i="2" l="1"/>
  <c r="J16" i="2"/>
  <c r="I16" i="2"/>
  <c r="H16" i="2"/>
  <c r="G16" i="2"/>
  <c r="F16" i="2"/>
  <c r="E16" i="2"/>
  <c r="D16" i="2"/>
  <c r="C13" i="13" l="1"/>
  <c r="C33" i="28" l="1"/>
  <c r="C36" i="28" s="1"/>
  <c r="D6" i="29"/>
  <c r="D22" i="29" s="1"/>
  <c r="D6" i="5"/>
  <c r="D6" i="20"/>
  <c r="D6" i="19"/>
  <c r="D6" i="27"/>
  <c r="D6" i="17"/>
  <c r="D6" i="11"/>
  <c r="D5" i="11" s="1"/>
  <c r="D6" i="1"/>
  <c r="D6" i="10"/>
  <c r="D40" i="10" l="1"/>
  <c r="D99" i="5"/>
  <c r="D96" i="5"/>
  <c r="D74" i="5"/>
  <c r="D75" i="5" s="1"/>
  <c r="D45" i="5" s="1"/>
  <c r="D70" i="5"/>
  <c r="D71" i="5" s="1"/>
  <c r="D44" i="5" s="1"/>
  <c r="D5" i="20"/>
  <c r="D93" i="5"/>
  <c r="D90" i="5"/>
  <c r="D87" i="5"/>
  <c r="D84" i="5"/>
  <c r="D81" i="5"/>
  <c r="C32" i="28"/>
  <c r="E6" i="29"/>
  <c r="E22" i="29" s="1"/>
  <c r="D33" i="28"/>
  <c r="D36" i="28" s="1"/>
  <c r="D5" i="29"/>
  <c r="D54" i="5"/>
  <c r="D58" i="5"/>
  <c r="D62" i="5"/>
  <c r="D50" i="5"/>
  <c r="D66" i="5"/>
  <c r="D5" i="10"/>
  <c r="D32" i="10" s="1"/>
  <c r="E6" i="10"/>
  <c r="E40" i="10" s="1"/>
  <c r="E6" i="11"/>
  <c r="E5" i="11" s="1"/>
  <c r="E6" i="19"/>
  <c r="D5" i="19"/>
  <c r="E6" i="17"/>
  <c r="D5" i="17"/>
  <c r="E6" i="20"/>
  <c r="E6" i="1"/>
  <c r="D5" i="1"/>
  <c r="D5" i="27"/>
  <c r="E6" i="27"/>
  <c r="L6" i="5"/>
  <c r="L6" i="2"/>
  <c r="K17" i="4"/>
  <c r="J17" i="4"/>
  <c r="I17" i="4"/>
  <c r="H17" i="4"/>
  <c r="G17" i="4"/>
  <c r="D6" i="3"/>
  <c r="E6" i="3" s="1"/>
  <c r="D6" i="15"/>
  <c r="D5" i="15" s="1"/>
  <c r="D6" i="4"/>
  <c r="E6" i="4" s="1"/>
  <c r="E5" i="4" s="1"/>
  <c r="E33" i="28" l="1"/>
  <c r="E36" i="28" s="1"/>
  <c r="E5" i="29"/>
  <c r="F6" i="29"/>
  <c r="F22" i="29" s="1"/>
  <c r="D28" i="17"/>
  <c r="D30" i="17" s="1"/>
  <c r="D33" i="17" s="1"/>
  <c r="D32" i="28"/>
  <c r="F6" i="27"/>
  <c r="E5" i="27"/>
  <c r="E5" i="1"/>
  <c r="F6" i="1"/>
  <c r="E5" i="20"/>
  <c r="F6" i="20"/>
  <c r="E5" i="10"/>
  <c r="E32" i="10" s="1"/>
  <c r="F6" i="10"/>
  <c r="F40" i="10" s="1"/>
  <c r="F6" i="17"/>
  <c r="E5" i="17"/>
  <c r="E5" i="19"/>
  <c r="F6" i="19"/>
  <c r="F6" i="11"/>
  <c r="F5" i="11" s="1"/>
  <c r="E6" i="5"/>
  <c r="D5" i="4"/>
  <c r="F6" i="3"/>
  <c r="E5" i="3"/>
  <c r="D5" i="3"/>
  <c r="D5" i="5"/>
  <c r="E6" i="15"/>
  <c r="E5" i="15" s="1"/>
  <c r="F6" i="4"/>
  <c r="E99" i="5" l="1"/>
  <c r="E96" i="5"/>
  <c r="E74" i="5"/>
  <c r="E75" i="5" s="1"/>
  <c r="E45" i="5" s="1"/>
  <c r="E70" i="5"/>
  <c r="E71" i="5" s="1"/>
  <c r="E44" i="5" s="1"/>
  <c r="E93" i="5"/>
  <c r="E90" i="5"/>
  <c r="E87" i="5"/>
  <c r="E84" i="5"/>
  <c r="E81" i="5"/>
  <c r="F33" i="28"/>
  <c r="F36" i="28" s="1"/>
  <c r="E32" i="28"/>
  <c r="F5" i="29"/>
  <c r="G6" i="29"/>
  <c r="G22" i="29" s="1"/>
  <c r="D44" i="27"/>
  <c r="D48" i="27" s="1"/>
  <c r="D54" i="27" s="1"/>
  <c r="E28" i="17"/>
  <c r="E30" i="17" s="1"/>
  <c r="E33" i="17" s="1"/>
  <c r="E5" i="5"/>
  <c r="E66" i="5"/>
  <c r="E67" i="5" s="1"/>
  <c r="E62" i="5"/>
  <c r="E63" i="5" s="1"/>
  <c r="E58" i="5"/>
  <c r="E59" i="5" s="1"/>
  <c r="E54" i="5"/>
  <c r="E55" i="5" s="1"/>
  <c r="E50" i="5"/>
  <c r="E51" i="5" s="1"/>
  <c r="F5" i="10"/>
  <c r="F32" i="10" s="1"/>
  <c r="G6" i="10"/>
  <c r="G40" i="10" s="1"/>
  <c r="F5" i="1"/>
  <c r="G6" i="1"/>
  <c r="G6" i="11"/>
  <c r="G5" i="11" s="1"/>
  <c r="G6" i="17"/>
  <c r="F5" i="17"/>
  <c r="F5" i="19"/>
  <c r="G6" i="19"/>
  <c r="G6" i="20"/>
  <c r="F5" i="20"/>
  <c r="G6" i="27"/>
  <c r="F5" i="27"/>
  <c r="F6" i="5"/>
  <c r="F5" i="3"/>
  <c r="G6" i="3"/>
  <c r="F6" i="15"/>
  <c r="F5" i="15" s="1"/>
  <c r="F5" i="4"/>
  <c r="G6" i="4"/>
  <c r="G5" i="4" s="1"/>
  <c r="D37" i="17" l="1"/>
  <c r="F99" i="5"/>
  <c r="F96" i="5"/>
  <c r="F70" i="5"/>
  <c r="F71" i="5" s="1"/>
  <c r="F44" i="5" s="1"/>
  <c r="F74" i="5"/>
  <c r="F75" i="5" s="1"/>
  <c r="F45" i="5" s="1"/>
  <c r="G33" i="28"/>
  <c r="G36" i="28" s="1"/>
  <c r="E47" i="27"/>
  <c r="F93" i="5"/>
  <c r="F90" i="5"/>
  <c r="F87" i="5"/>
  <c r="F84" i="5"/>
  <c r="F81" i="5"/>
  <c r="F32" i="28"/>
  <c r="G5" i="29"/>
  <c r="H6" i="29"/>
  <c r="H22" i="29" s="1"/>
  <c r="E44" i="27"/>
  <c r="E48" i="27" s="1"/>
  <c r="F47" i="27" s="1"/>
  <c r="F28" i="17"/>
  <c r="F30" i="17" s="1"/>
  <c r="F33" i="17" s="1"/>
  <c r="F50" i="5"/>
  <c r="F51" i="5" s="1"/>
  <c r="F66" i="5"/>
  <c r="F67" i="5" s="1"/>
  <c r="F62" i="5"/>
  <c r="F63" i="5" s="1"/>
  <c r="F58" i="5"/>
  <c r="F59" i="5" s="1"/>
  <c r="F54" i="5"/>
  <c r="F55" i="5" s="1"/>
  <c r="G5" i="20"/>
  <c r="H6" i="20"/>
  <c r="G5" i="1"/>
  <c r="H6" i="1"/>
  <c r="H6" i="27"/>
  <c r="G5" i="27"/>
  <c r="G5" i="19"/>
  <c r="H6" i="19"/>
  <c r="H6" i="17"/>
  <c r="G5" i="17"/>
  <c r="G5" i="10"/>
  <c r="G32" i="10" s="1"/>
  <c r="H6" i="10"/>
  <c r="H40" i="10" s="1"/>
  <c r="H6" i="11"/>
  <c r="H5" i="11" s="1"/>
  <c r="G6" i="5"/>
  <c r="F5" i="5"/>
  <c r="H6" i="3"/>
  <c r="G5" i="3"/>
  <c r="G6" i="15"/>
  <c r="G5" i="15" s="1"/>
  <c r="H6" i="4"/>
  <c r="D39" i="17" l="1"/>
  <c r="D64" i="17" s="1"/>
  <c r="H33" i="28"/>
  <c r="H36" i="28" s="1"/>
  <c r="G99" i="5"/>
  <c r="G96" i="5"/>
  <c r="G70" i="5"/>
  <c r="G71" i="5" s="1"/>
  <c r="G44" i="5" s="1"/>
  <c r="G74" i="5"/>
  <c r="G75" i="5" s="1"/>
  <c r="G45" i="5" s="1"/>
  <c r="G32" i="28"/>
  <c r="E54" i="27"/>
  <c r="G93" i="5"/>
  <c r="G90" i="5"/>
  <c r="G87" i="5"/>
  <c r="G84" i="5"/>
  <c r="G81" i="5"/>
  <c r="I6" i="29"/>
  <c r="I22" i="29" s="1"/>
  <c r="H5" i="29"/>
  <c r="F44" i="27"/>
  <c r="F48" i="27" s="1"/>
  <c r="G47" i="27" s="1"/>
  <c r="G28" i="17"/>
  <c r="G30" i="17" s="1"/>
  <c r="G33" i="17" s="1"/>
  <c r="G50" i="5"/>
  <c r="G51" i="5" s="1"/>
  <c r="G39" i="5" s="1"/>
  <c r="G66" i="5"/>
  <c r="G67" i="5" s="1"/>
  <c r="G43" i="5" s="1"/>
  <c r="G62" i="5"/>
  <c r="G63" i="5" s="1"/>
  <c r="G42" i="5" s="1"/>
  <c r="G58" i="5"/>
  <c r="G59" i="5" s="1"/>
  <c r="G41" i="5" s="1"/>
  <c r="G54" i="5"/>
  <c r="G55" i="5" s="1"/>
  <c r="G40" i="5" s="1"/>
  <c r="I6" i="11"/>
  <c r="I5" i="11" s="1"/>
  <c r="H5" i="20"/>
  <c r="I6" i="20"/>
  <c r="H5" i="10"/>
  <c r="H32" i="10" s="1"/>
  <c r="I6" i="10"/>
  <c r="I40" i="10" s="1"/>
  <c r="I6" i="17"/>
  <c r="L47" i="17" s="1"/>
  <c r="H5" i="17"/>
  <c r="I6" i="1"/>
  <c r="H5" i="1"/>
  <c r="H5" i="19"/>
  <c r="I6" i="19"/>
  <c r="H5" i="27"/>
  <c r="I6" i="27"/>
  <c r="H5" i="4"/>
  <c r="G5" i="5"/>
  <c r="H6" i="5"/>
  <c r="I6" i="3"/>
  <c r="H5" i="3"/>
  <c r="H6" i="15"/>
  <c r="H5" i="15" s="1"/>
  <c r="I6" i="4"/>
  <c r="I5" i="4" s="1"/>
  <c r="L54" i="17" l="1"/>
  <c r="L50" i="17"/>
  <c r="L48" i="17"/>
  <c r="H32" i="28"/>
  <c r="L46" i="17"/>
  <c r="L52" i="17"/>
  <c r="L49" i="17"/>
  <c r="I33" i="28"/>
  <c r="I36" i="28" s="1"/>
  <c r="L51" i="17"/>
  <c r="E37" i="17"/>
  <c r="E39" i="17" s="1"/>
  <c r="E64" i="17" s="1"/>
  <c r="H99" i="5"/>
  <c r="H96" i="5"/>
  <c r="G46" i="5"/>
  <c r="H74" i="5"/>
  <c r="H75" i="5" s="1"/>
  <c r="H70" i="5"/>
  <c r="H71" i="5" s="1"/>
  <c r="F54" i="27"/>
  <c r="H50" i="15"/>
  <c r="H93" i="5"/>
  <c r="H90" i="5"/>
  <c r="H87" i="5"/>
  <c r="H84" i="5"/>
  <c r="H81" i="5"/>
  <c r="J6" i="29"/>
  <c r="I5" i="29"/>
  <c r="G44" i="27"/>
  <c r="G48" i="27" s="1"/>
  <c r="H47" i="27" s="1"/>
  <c r="H28" i="17"/>
  <c r="H30" i="17" s="1"/>
  <c r="H33" i="17" s="1"/>
  <c r="G53" i="1"/>
  <c r="G54" i="1"/>
  <c r="G55" i="1"/>
  <c r="G52" i="1"/>
  <c r="G51" i="1"/>
  <c r="H50" i="5"/>
  <c r="H51" i="5" s="1"/>
  <c r="H39" i="5" s="1"/>
  <c r="H66" i="5"/>
  <c r="H67" i="5" s="1"/>
  <c r="H43" i="5" s="1"/>
  <c r="H62" i="5"/>
  <c r="H63" i="5" s="1"/>
  <c r="H42" i="5" s="1"/>
  <c r="H58" i="5"/>
  <c r="H59" i="5" s="1"/>
  <c r="H41" i="5" s="1"/>
  <c r="H54" i="5"/>
  <c r="H55" i="5" s="1"/>
  <c r="H40" i="5" s="1"/>
  <c r="J6" i="1"/>
  <c r="I5" i="1"/>
  <c r="J6" i="19"/>
  <c r="I5" i="19"/>
  <c r="I5" i="10"/>
  <c r="I32" i="10" s="1"/>
  <c r="J6" i="10"/>
  <c r="J40" i="10" s="1"/>
  <c r="J6" i="11"/>
  <c r="J5" i="11" s="1"/>
  <c r="J6" i="27"/>
  <c r="I5" i="27"/>
  <c r="J6" i="17"/>
  <c r="I5" i="17"/>
  <c r="J6" i="20"/>
  <c r="I5" i="20"/>
  <c r="H5" i="5"/>
  <c r="I6" i="5"/>
  <c r="L73" i="5" s="1"/>
  <c r="J6" i="3"/>
  <c r="I5" i="3"/>
  <c r="I6" i="15"/>
  <c r="I5" i="15" s="1"/>
  <c r="J6" i="4"/>
  <c r="I32" i="28" l="1"/>
  <c r="J33" i="28"/>
  <c r="J36" i="28" s="1"/>
  <c r="F37" i="17"/>
  <c r="F39" i="17" s="1"/>
  <c r="F64" i="17" s="1"/>
  <c r="J5" i="29"/>
  <c r="J22" i="29"/>
  <c r="L69" i="5"/>
  <c r="L17" i="5"/>
  <c r="H45" i="5"/>
  <c r="H44" i="5"/>
  <c r="I99" i="5"/>
  <c r="I96" i="5"/>
  <c r="I70" i="5"/>
  <c r="I71" i="5" s="1"/>
  <c r="I44" i="5" s="1"/>
  <c r="I74" i="5"/>
  <c r="I75" i="5" s="1"/>
  <c r="I45" i="5" s="1"/>
  <c r="G54" i="27"/>
  <c r="I87" i="5"/>
  <c r="I84" i="5"/>
  <c r="I81" i="5"/>
  <c r="I93" i="5"/>
  <c r="I90" i="5"/>
  <c r="I50" i="15"/>
  <c r="K6" i="29"/>
  <c r="K22" i="29" s="1"/>
  <c r="J32" i="28"/>
  <c r="H44" i="27"/>
  <c r="H48" i="27" s="1"/>
  <c r="I47" i="27" s="1"/>
  <c r="I28" i="17"/>
  <c r="I30" i="17" s="1"/>
  <c r="I33" i="17" s="1"/>
  <c r="H55" i="1"/>
  <c r="H52" i="1"/>
  <c r="H51" i="1"/>
  <c r="H53" i="1"/>
  <c r="H54" i="1"/>
  <c r="I66" i="5"/>
  <c r="I67" i="5" s="1"/>
  <c r="I43" i="5" s="1"/>
  <c r="I62" i="5"/>
  <c r="I63" i="5" s="1"/>
  <c r="I42" i="5" s="1"/>
  <c r="I58" i="5"/>
  <c r="I59" i="5" s="1"/>
  <c r="I41" i="5" s="1"/>
  <c r="I54" i="5"/>
  <c r="I55" i="5" s="1"/>
  <c r="I40" i="5" s="1"/>
  <c r="I50" i="5"/>
  <c r="I51" i="5" s="1"/>
  <c r="I39" i="5" s="1"/>
  <c r="K6" i="20"/>
  <c r="J5" i="20"/>
  <c r="K6" i="27"/>
  <c r="J5" i="27"/>
  <c r="K6" i="19"/>
  <c r="K5" i="19" s="1"/>
  <c r="J5" i="19"/>
  <c r="J5" i="10"/>
  <c r="J32" i="10" s="1"/>
  <c r="K6" i="10"/>
  <c r="K40" i="10" s="1"/>
  <c r="K6" i="17"/>
  <c r="J5" i="17"/>
  <c r="K6" i="11"/>
  <c r="K5" i="11" s="1"/>
  <c r="K6" i="1"/>
  <c r="J5" i="1"/>
  <c r="J6" i="5"/>
  <c r="J5" i="4"/>
  <c r="I5" i="5"/>
  <c r="J5" i="3"/>
  <c r="K6" i="3"/>
  <c r="J6" i="15"/>
  <c r="J5" i="15" s="1"/>
  <c r="J82" i="15" s="1"/>
  <c r="K6" i="4"/>
  <c r="K5" i="4" s="1"/>
  <c r="K5" i="1" l="1"/>
  <c r="G37" i="17"/>
  <c r="G39" i="17" s="1"/>
  <c r="G64" i="17" s="1"/>
  <c r="L45" i="5"/>
  <c r="H46" i="5"/>
  <c r="L44" i="5"/>
  <c r="L71" i="5"/>
  <c r="L75" i="5"/>
  <c r="J99" i="5"/>
  <c r="J96" i="5"/>
  <c r="I46" i="5"/>
  <c r="J70" i="5"/>
  <c r="J71" i="5" s="1"/>
  <c r="J44" i="5" s="1"/>
  <c r="J74" i="5"/>
  <c r="J75" i="5" s="1"/>
  <c r="J45" i="5" s="1"/>
  <c r="H54" i="27"/>
  <c r="J50" i="15"/>
  <c r="J90" i="5"/>
  <c r="J87" i="5"/>
  <c r="J84" i="5"/>
  <c r="J81" i="5"/>
  <c r="J93" i="5"/>
  <c r="K5" i="29"/>
  <c r="K5" i="27"/>
  <c r="I44" i="27"/>
  <c r="I48" i="27" s="1"/>
  <c r="J47" i="27" s="1"/>
  <c r="K5" i="17"/>
  <c r="J28" i="17"/>
  <c r="J30" i="17" s="1"/>
  <c r="J33" i="17" s="1"/>
  <c r="K5" i="20"/>
  <c r="I51" i="1"/>
  <c r="I52" i="1"/>
  <c r="I55" i="1"/>
  <c r="I53" i="1"/>
  <c r="I54" i="1"/>
  <c r="K5" i="10"/>
  <c r="K32" i="10" s="1"/>
  <c r="J5" i="5"/>
  <c r="J66" i="5"/>
  <c r="J67" i="5" s="1"/>
  <c r="J43" i="5" s="1"/>
  <c r="J62" i="5"/>
  <c r="J63" i="5" s="1"/>
  <c r="J42" i="5" s="1"/>
  <c r="J58" i="5"/>
  <c r="J59" i="5" s="1"/>
  <c r="J41" i="5" s="1"/>
  <c r="J54" i="5"/>
  <c r="J55" i="5" s="1"/>
  <c r="J40" i="5" s="1"/>
  <c r="J50" i="5"/>
  <c r="J51" i="5" s="1"/>
  <c r="J39" i="5" s="1"/>
  <c r="K6" i="5"/>
  <c r="K5" i="3"/>
  <c r="K6" i="15"/>
  <c r="K5" i="15" s="1"/>
  <c r="K82" i="15" s="1"/>
  <c r="H37" i="17" l="1"/>
  <c r="H39" i="17" s="1"/>
  <c r="H64" i="17" s="1"/>
  <c r="J46" i="5"/>
  <c r="K74" i="5"/>
  <c r="K75" i="5" s="1"/>
  <c r="K99" i="5"/>
  <c r="K96" i="5"/>
  <c r="L16" i="5"/>
  <c r="K70" i="5"/>
  <c r="K71" i="5" s="1"/>
  <c r="I54" i="27"/>
  <c r="K93" i="5"/>
  <c r="K90" i="5"/>
  <c r="K87" i="5"/>
  <c r="K84" i="5"/>
  <c r="K81" i="5"/>
  <c r="K50" i="15"/>
  <c r="J44" i="27"/>
  <c r="J48" i="27" s="1"/>
  <c r="K47" i="27" s="1"/>
  <c r="K28" i="17"/>
  <c r="K30" i="17" s="1"/>
  <c r="K33" i="17" s="1"/>
  <c r="J55" i="1"/>
  <c r="J52" i="1"/>
  <c r="J51" i="1"/>
  <c r="J53" i="1"/>
  <c r="J54" i="1"/>
  <c r="K50" i="5"/>
  <c r="K51" i="5" s="1"/>
  <c r="K39" i="5" s="1"/>
  <c r="K66" i="5"/>
  <c r="K67" i="5" s="1"/>
  <c r="K43" i="5" s="1"/>
  <c r="K62" i="5"/>
  <c r="K63" i="5" s="1"/>
  <c r="K42" i="5" s="1"/>
  <c r="K58" i="5"/>
  <c r="K59" i="5" s="1"/>
  <c r="K41" i="5" s="1"/>
  <c r="K54" i="5"/>
  <c r="K55" i="5" s="1"/>
  <c r="K40" i="5" s="1"/>
  <c r="K5" i="5"/>
  <c r="I37" i="17" l="1"/>
  <c r="I39" i="17" s="1"/>
  <c r="I64" i="17" s="1"/>
  <c r="M71" i="5"/>
  <c r="K44" i="5"/>
  <c r="M44" i="5" s="1"/>
  <c r="M75" i="5"/>
  <c r="K45" i="5"/>
  <c r="M45" i="5" s="1"/>
  <c r="J54" i="27"/>
  <c r="K44" i="27"/>
  <c r="K48" i="27" s="1"/>
  <c r="K54" i="27" s="1"/>
  <c r="K51" i="1"/>
  <c r="K53" i="1"/>
  <c r="K54" i="1"/>
  <c r="K55" i="1"/>
  <c r="K52" i="1"/>
  <c r="K46" i="5" l="1"/>
  <c r="K37" i="17"/>
  <c r="K39" i="17" s="1"/>
  <c r="K64" i="17" s="1"/>
  <c r="J37" i="17"/>
  <c r="J39" i="17" s="1"/>
  <c r="J64" i="17" s="1"/>
  <c r="C6" i="13" l="1"/>
  <c r="D36" i="10" s="1"/>
  <c r="C14" i="13"/>
  <c r="C101" i="29" s="1"/>
  <c r="C100" i="29" l="1"/>
  <c r="C98" i="29"/>
  <c r="C31" i="10"/>
  <c r="C69" i="17"/>
  <c r="C55" i="17"/>
  <c r="C45" i="5"/>
  <c r="C44" i="5"/>
  <c r="C69" i="5"/>
  <c r="C73" i="5"/>
  <c r="C35" i="28"/>
  <c r="D34" i="10" s="1"/>
  <c r="D38" i="10" s="1"/>
  <c r="D35" i="28"/>
  <c r="E34" i="10" s="1"/>
  <c r="E38" i="10" s="1"/>
  <c r="E35" i="28"/>
  <c r="F34" i="10" s="1"/>
  <c r="F38" i="10" s="1"/>
  <c r="F35" i="28"/>
  <c r="G34" i="10" s="1"/>
  <c r="G38" i="10" s="1"/>
  <c r="G35" i="28"/>
  <c r="H34" i="10" s="1"/>
  <c r="H38" i="10" s="1"/>
  <c r="I35" i="28"/>
  <c r="J34" i="10" s="1"/>
  <c r="J38" i="10" s="1"/>
  <c r="H35" i="28"/>
  <c r="I34" i="10" s="1"/>
  <c r="I38" i="10" s="1"/>
  <c r="J35" i="28"/>
  <c r="K34" i="10" s="1"/>
  <c r="K38" i="10" s="1"/>
  <c r="C8" i="20"/>
  <c r="C16" i="5"/>
  <c r="C17" i="5"/>
  <c r="C61" i="1"/>
  <c r="C93" i="29"/>
  <c r="C62" i="1"/>
  <c r="C59" i="1"/>
  <c r="C63" i="1"/>
  <c r="C65" i="29"/>
  <c r="C60" i="1"/>
  <c r="C91" i="29"/>
  <c r="C89" i="17"/>
  <c r="C68" i="17"/>
  <c r="C87" i="17"/>
  <c r="E153" i="28"/>
  <c r="E157" i="28"/>
  <c r="E154" i="28"/>
  <c r="E158" i="28"/>
  <c r="E155" i="28"/>
  <c r="E159" i="28"/>
  <c r="E156" i="28"/>
  <c r="E152" i="28"/>
  <c r="C43" i="17"/>
  <c r="C79" i="2"/>
  <c r="B46" i="1"/>
  <c r="C28" i="3"/>
  <c r="C74" i="29"/>
  <c r="C79" i="29"/>
  <c r="C84" i="29"/>
  <c r="C73" i="29"/>
  <c r="C78" i="29"/>
  <c r="C83" i="29"/>
  <c r="C80" i="29"/>
  <c r="C85" i="29"/>
  <c r="C34" i="28"/>
  <c r="D28" i="3" s="1"/>
  <c r="D34" i="28"/>
  <c r="E28" i="3" s="1"/>
  <c r="E34" i="28"/>
  <c r="F28" i="3" s="1"/>
  <c r="G34" i="28"/>
  <c r="H28" i="3" s="1"/>
  <c r="F34" i="28"/>
  <c r="G28" i="3" s="1"/>
  <c r="H34" i="28"/>
  <c r="I28" i="3" s="1"/>
  <c r="I34" i="28"/>
  <c r="J28" i="3" s="1"/>
  <c r="J34" i="28"/>
  <c r="K28" i="3" s="1"/>
  <c r="B149" i="28"/>
  <c r="C86" i="29"/>
  <c r="C49" i="10"/>
  <c r="C51" i="10"/>
  <c r="C45" i="10"/>
  <c r="C29" i="10"/>
  <c r="C25" i="10"/>
  <c r="C21" i="10"/>
  <c r="C17" i="10"/>
  <c r="C28" i="10"/>
  <c r="C24" i="10"/>
  <c r="C20" i="10"/>
  <c r="C16" i="10"/>
  <c r="C27" i="10"/>
  <c r="C23" i="10"/>
  <c r="C19" i="10"/>
  <c r="C11" i="10"/>
  <c r="C26" i="10"/>
  <c r="C22" i="10"/>
  <c r="C18" i="10"/>
  <c r="C79" i="17"/>
  <c r="C19" i="19"/>
  <c r="C18" i="19"/>
  <c r="C14" i="19"/>
  <c r="B51" i="28"/>
  <c r="B38" i="2" s="1"/>
  <c r="B116" i="2" s="1"/>
  <c r="B48" i="28"/>
  <c r="C66" i="1"/>
  <c r="C51" i="1"/>
  <c r="C55" i="1"/>
  <c r="C54" i="1"/>
  <c r="C65" i="1"/>
  <c r="C52" i="1"/>
  <c r="C56" i="1"/>
  <c r="C58" i="1"/>
  <c r="C49" i="1"/>
  <c r="C53" i="1"/>
  <c r="C57" i="1"/>
  <c r="C50" i="1"/>
  <c r="C48" i="1"/>
  <c r="C95" i="29"/>
  <c r="C53" i="29"/>
  <c r="C72" i="29"/>
  <c r="C62" i="27"/>
  <c r="C63" i="27"/>
  <c r="C61" i="27"/>
  <c r="C40" i="2"/>
  <c r="C58" i="2"/>
  <c r="C62" i="2"/>
  <c r="C70" i="2"/>
  <c r="C41" i="2"/>
  <c r="C46" i="2"/>
  <c r="C51" i="2"/>
  <c r="C53" i="2"/>
  <c r="C55" i="2"/>
  <c r="C59" i="2"/>
  <c r="C63" i="2"/>
  <c r="C71" i="2"/>
  <c r="C42" i="2"/>
  <c r="C47" i="2"/>
  <c r="C64" i="2"/>
  <c r="C50" i="2"/>
  <c r="C52" i="2"/>
  <c r="C54" i="2"/>
  <c r="C56" i="2"/>
  <c r="C69" i="2"/>
  <c r="C17" i="19"/>
  <c r="C85" i="17"/>
  <c r="C78" i="17"/>
  <c r="C50" i="10"/>
  <c r="C46" i="10"/>
  <c r="C47" i="10"/>
  <c r="C77" i="2"/>
  <c r="C36" i="2"/>
  <c r="C65" i="5"/>
  <c r="C61" i="5"/>
  <c r="C57" i="5"/>
  <c r="C53" i="5"/>
  <c r="C49" i="5"/>
  <c r="C14" i="5"/>
  <c r="C13" i="5"/>
  <c r="C15" i="5"/>
  <c r="C11" i="5"/>
  <c r="C46" i="5"/>
  <c r="C43" i="5"/>
  <c r="C42" i="5"/>
  <c r="C41" i="5"/>
  <c r="C40" i="5"/>
  <c r="C39" i="5"/>
  <c r="C12" i="5"/>
  <c r="C18" i="5"/>
  <c r="C10" i="4"/>
  <c r="C12" i="4"/>
  <c r="C11" i="4"/>
  <c r="C14" i="2"/>
  <c r="C22" i="2"/>
  <c r="C26" i="2"/>
  <c r="C31" i="2"/>
  <c r="C13" i="2"/>
  <c r="C23" i="2"/>
  <c r="C27" i="2"/>
  <c r="C34" i="2"/>
  <c r="C18" i="2"/>
  <c r="C24" i="2"/>
  <c r="C28" i="2"/>
  <c r="C35" i="2"/>
  <c r="C12" i="2"/>
  <c r="C19" i="2"/>
  <c r="C25" i="2"/>
  <c r="C30" i="2"/>
  <c r="J56" i="27" l="1"/>
  <c r="H56" i="27"/>
  <c r="I56" i="27"/>
  <c r="G56" i="27"/>
  <c r="F56" i="27"/>
  <c r="E56" i="27"/>
  <c r="D56" i="27"/>
  <c r="K56" i="27"/>
  <c r="G41" i="17"/>
  <c r="G55" i="17" s="1"/>
  <c r="G51" i="29"/>
  <c r="K41" i="17"/>
  <c r="K55" i="17" s="1"/>
  <c r="K51" i="29"/>
  <c r="H41" i="17"/>
  <c r="H55" i="17" s="1"/>
  <c r="H51" i="29"/>
  <c r="D41" i="17"/>
  <c r="D55" i="17" s="1"/>
  <c r="D51" i="29"/>
  <c r="J41" i="17"/>
  <c r="J55" i="17" s="1"/>
  <c r="J51" i="29"/>
  <c r="F41" i="17"/>
  <c r="F55" i="17" s="1"/>
  <c r="F51" i="29"/>
  <c r="I41" i="17"/>
  <c r="I55" i="17" s="1"/>
  <c r="I51" i="29"/>
  <c r="E41" i="17"/>
  <c r="E55" i="17" s="1"/>
  <c r="E51" i="29"/>
  <c r="B159" i="28"/>
  <c r="B17" i="5" s="1"/>
  <c r="B45" i="5" s="1"/>
  <c r="B160" i="28"/>
  <c r="B158" i="28"/>
  <c r="B16" i="5" s="1"/>
  <c r="B44" i="5" s="1"/>
  <c r="B157" i="28"/>
  <c r="B15" i="5" s="1"/>
  <c r="B153" i="28"/>
  <c r="B11" i="5" s="1"/>
  <c r="B156" i="28"/>
  <c r="B14" i="5" s="1"/>
  <c r="B155" i="28"/>
  <c r="B13" i="5" s="1"/>
  <c r="B154" i="28"/>
  <c r="B12" i="5" s="1"/>
  <c r="K56" i="1"/>
  <c r="I56" i="1"/>
  <c r="H56" i="1"/>
  <c r="F56" i="1"/>
  <c r="D56" i="1"/>
  <c r="J56" i="1"/>
  <c r="G56" i="1"/>
  <c r="E56" i="1"/>
  <c r="E35" i="10"/>
  <c r="K35" i="10"/>
  <c r="I35" i="10"/>
  <c r="H35" i="10"/>
  <c r="F35" i="10"/>
  <c r="D35" i="10"/>
  <c r="J35" i="10"/>
  <c r="G35" i="10"/>
  <c r="K14" i="19"/>
  <c r="B10" i="2"/>
  <c r="B88" i="2" s="1"/>
  <c r="E28" i="2"/>
  <c r="E30" i="2" s="1"/>
  <c r="F28" i="2"/>
  <c r="G28" i="2"/>
  <c r="H28" i="2"/>
  <c r="I28" i="2"/>
  <c r="J28" i="2"/>
  <c r="K28" i="2"/>
  <c r="D28" i="2"/>
  <c r="M55" i="17" l="1"/>
  <c r="L55" i="17"/>
  <c r="B69" i="5"/>
  <c r="B97" i="5"/>
  <c r="B100" i="5"/>
  <c r="B73" i="5"/>
  <c r="I43" i="17"/>
  <c r="K43" i="17"/>
  <c r="E43" i="17"/>
  <c r="G43" i="17"/>
  <c r="F43" i="17"/>
  <c r="D43" i="17"/>
  <c r="J43" i="17"/>
  <c r="H43" i="17"/>
  <c r="E14" i="19"/>
  <c r="D14" i="19"/>
  <c r="G14" i="19"/>
  <c r="F14" i="19"/>
  <c r="H14" i="19"/>
  <c r="J14" i="19"/>
  <c r="I14" i="19"/>
  <c r="B41" i="5"/>
  <c r="B57" i="5"/>
  <c r="B65" i="5"/>
  <c r="B43" i="5"/>
  <c r="B42" i="5"/>
  <c r="B61" i="5"/>
  <c r="B53" i="5"/>
  <c r="B40" i="5"/>
  <c r="B49" i="5"/>
  <c r="B39" i="5"/>
  <c r="K30" i="2"/>
  <c r="J30" i="2"/>
  <c r="I30" i="2"/>
  <c r="H30" i="2"/>
  <c r="G31" i="2"/>
  <c r="F31" i="2"/>
  <c r="E31" i="2"/>
  <c r="B82" i="5"/>
  <c r="B94" i="5"/>
  <c r="B91" i="5"/>
  <c r="B88" i="5"/>
  <c r="B85" i="5"/>
  <c r="K31" i="2"/>
  <c r="J31" i="2"/>
  <c r="M28" i="2"/>
  <c r="I31" i="2"/>
  <c r="G30" i="2"/>
  <c r="D31" i="2"/>
  <c r="H31" i="2"/>
  <c r="D30" i="2"/>
  <c r="F14" i="2"/>
  <c r="F18" i="2" s="1"/>
  <c r="M12" i="2"/>
  <c r="J14" i="2"/>
  <c r="J18" i="2" s="1"/>
  <c r="M13" i="2"/>
  <c r="F30" i="2"/>
  <c r="K14" i="2"/>
  <c r="K18" i="2" s="1"/>
  <c r="I14" i="2"/>
  <c r="I19" i="2" s="1"/>
  <c r="E14" i="2"/>
  <c r="E19" i="2" s="1"/>
  <c r="G14" i="2"/>
  <c r="G19" i="2" s="1"/>
  <c r="H14" i="2"/>
  <c r="D14" i="2"/>
  <c r="G35" i="2" l="1"/>
  <c r="E35" i="2"/>
  <c r="B53" i="1"/>
  <c r="B55" i="1"/>
  <c r="B52" i="1"/>
  <c r="B54" i="1"/>
  <c r="B51" i="1"/>
  <c r="J34" i="2"/>
  <c r="J69" i="2" s="1"/>
  <c r="K34" i="2"/>
  <c r="K69" i="2" s="1"/>
  <c r="M31" i="2"/>
  <c r="M30" i="2"/>
  <c r="I35" i="2"/>
  <c r="F19" i="2"/>
  <c r="F35" i="2" s="1"/>
  <c r="M14" i="2"/>
  <c r="J19" i="2"/>
  <c r="J35" i="2" s="1"/>
  <c r="F34" i="2"/>
  <c r="F69" i="2" s="1"/>
  <c r="G18" i="2"/>
  <c r="E18" i="2"/>
  <c r="K19" i="2"/>
  <c r="K35" i="2" s="1"/>
  <c r="I18" i="2"/>
  <c r="H18" i="2"/>
  <c r="H19" i="2"/>
  <c r="H35" i="2" s="1"/>
  <c r="D19" i="2"/>
  <c r="F70" i="2" l="1"/>
  <c r="F71" i="2" s="1"/>
  <c r="F49" i="1"/>
  <c r="G70" i="2"/>
  <c r="G49" i="1"/>
  <c r="I70" i="2"/>
  <c r="I49" i="1"/>
  <c r="H70" i="2"/>
  <c r="H49" i="1"/>
  <c r="E70" i="2"/>
  <c r="E49" i="1"/>
  <c r="K70" i="2"/>
  <c r="K71" i="2" s="1"/>
  <c r="K49" i="1"/>
  <c r="J70" i="2"/>
  <c r="J71" i="2" s="1"/>
  <c r="J49" i="1"/>
  <c r="E34" i="2"/>
  <c r="E69" i="2" s="1"/>
  <c r="H34" i="2"/>
  <c r="H69" i="2" s="1"/>
  <c r="G34" i="2"/>
  <c r="G69" i="2" s="1"/>
  <c r="I34" i="2"/>
  <c r="I69" i="2" s="1"/>
  <c r="K36" i="2"/>
  <c r="J36" i="2"/>
  <c r="D35" i="2"/>
  <c r="M19" i="2"/>
  <c r="F36" i="2"/>
  <c r="I71" i="2" l="1"/>
  <c r="E71" i="2"/>
  <c r="G71" i="2"/>
  <c r="D70" i="2"/>
  <c r="M70" i="2" s="1"/>
  <c r="D49" i="1"/>
  <c r="H71" i="2"/>
  <c r="H36" i="2"/>
  <c r="E36" i="2"/>
  <c r="G36" i="2"/>
  <c r="I36" i="2"/>
  <c r="M35" i="2"/>
  <c r="D18" i="2"/>
  <c r="E48" i="15"/>
  <c r="F48" i="15"/>
  <c r="G48" i="15"/>
  <c r="H48" i="15"/>
  <c r="H80" i="15" s="1"/>
  <c r="I48" i="15"/>
  <c r="I80" i="15" s="1"/>
  <c r="J48" i="15"/>
  <c r="J80" i="15" s="1"/>
  <c r="K48" i="15"/>
  <c r="K80" i="15" s="1"/>
  <c r="G80" i="15" l="1"/>
  <c r="G50" i="15"/>
  <c r="E80" i="15"/>
  <c r="E50" i="15"/>
  <c r="F80" i="15"/>
  <c r="F50" i="15"/>
  <c r="N49" i="1"/>
  <c r="M49" i="1"/>
  <c r="D34" i="2"/>
  <c r="D69" i="2" s="1"/>
  <c r="M18" i="2"/>
  <c r="M69" i="2" l="1"/>
  <c r="D71" i="2"/>
  <c r="M71" i="2" s="1"/>
  <c r="D36" i="2"/>
  <c r="M34" i="2"/>
  <c r="M36" i="2" l="1"/>
  <c r="G45" i="4"/>
  <c r="H45" i="4"/>
  <c r="I45" i="4"/>
  <c r="J45" i="4"/>
  <c r="K45" i="4"/>
  <c r="J66" i="4" l="1"/>
  <c r="K66" i="4"/>
  <c r="I66" i="4"/>
  <c r="H66" i="4"/>
  <c r="G66" i="4"/>
  <c r="G68" i="4" s="1"/>
  <c r="F43" i="5" l="1"/>
  <c r="D67" i="5"/>
  <c r="F55" i="1" l="1"/>
  <c r="D43" i="5"/>
  <c r="H18" i="4"/>
  <c r="G18" i="4"/>
  <c r="K18" i="4"/>
  <c r="D45" i="4"/>
  <c r="D66" i="4" s="1"/>
  <c r="D68" i="4" s="1"/>
  <c r="E45" i="4"/>
  <c r="E66" i="4" s="1"/>
  <c r="E68" i="4" s="1"/>
  <c r="D59" i="5"/>
  <c r="I18" i="4"/>
  <c r="F45" i="4"/>
  <c r="E41" i="5"/>
  <c r="J18" i="4"/>
  <c r="B31" i="1"/>
  <c r="B37" i="1"/>
  <c r="B38" i="1"/>
  <c r="B39" i="1"/>
  <c r="B42" i="1"/>
  <c r="B30" i="1"/>
  <c r="B12" i="1"/>
  <c r="B18" i="1"/>
  <c r="B19" i="1"/>
  <c r="B20" i="1"/>
  <c r="B21" i="1"/>
  <c r="B22" i="1"/>
  <c r="B23" i="1"/>
  <c r="B11" i="1"/>
  <c r="E15" i="4" l="1"/>
  <c r="D55" i="1"/>
  <c r="E53" i="1"/>
  <c r="F18" i="4"/>
  <c r="E18" i="4"/>
  <c r="D18" i="4"/>
  <c r="F66" i="4"/>
  <c r="F68" i="4" s="1"/>
  <c r="L57" i="5"/>
  <c r="F41" i="5"/>
  <c r="L15" i="5"/>
  <c r="M57" i="5"/>
  <c r="D41" i="5"/>
  <c r="M15" i="5"/>
  <c r="M13" i="5"/>
  <c r="L13" i="5"/>
  <c r="E42" i="5"/>
  <c r="D63" i="5"/>
  <c r="F42" i="5"/>
  <c r="F54" i="1" l="1"/>
  <c r="F53" i="1"/>
  <c r="E54" i="1"/>
  <c r="D53" i="1"/>
  <c r="D17" i="4"/>
  <c r="M41" i="5"/>
  <c r="L41" i="5"/>
  <c r="E43" i="5"/>
  <c r="M65" i="5"/>
  <c r="L65" i="5"/>
  <c r="M59" i="5"/>
  <c r="L59" i="5"/>
  <c r="M61" i="5"/>
  <c r="D42" i="5"/>
  <c r="L61" i="5"/>
  <c r="M14" i="5"/>
  <c r="L14" i="5"/>
  <c r="F39" i="5"/>
  <c r="E40" i="5"/>
  <c r="D51" i="5"/>
  <c r="D39" i="5" s="1"/>
  <c r="E39" i="5"/>
  <c r="E46" i="5" l="1"/>
  <c r="D15" i="4"/>
  <c r="N53" i="1"/>
  <c r="F51" i="1"/>
  <c r="E51" i="1"/>
  <c r="E55" i="1"/>
  <c r="M53" i="1"/>
  <c r="E52" i="1"/>
  <c r="D54" i="1"/>
  <c r="F17" i="4"/>
  <c r="E17" i="4"/>
  <c r="M43" i="5"/>
  <c r="L43" i="5"/>
  <c r="M42" i="5"/>
  <c r="L42" i="5"/>
  <c r="M63" i="5"/>
  <c r="L63" i="5"/>
  <c r="M49" i="5"/>
  <c r="L49" i="5"/>
  <c r="M67" i="5"/>
  <c r="L67" i="5"/>
  <c r="M11" i="5"/>
  <c r="L11" i="5"/>
  <c r="D36" i="19"/>
  <c r="D35" i="19"/>
  <c r="N55" i="1" l="1"/>
  <c r="N54" i="1"/>
  <c r="M55" i="1"/>
  <c r="G15" i="4"/>
  <c r="M54" i="1"/>
  <c r="D51" i="1"/>
  <c r="M39" i="5"/>
  <c r="L39" i="5"/>
  <c r="D55" i="5"/>
  <c r="L51" i="5"/>
  <c r="M51" i="5"/>
  <c r="M12" i="5"/>
  <c r="M18" i="5" s="1"/>
  <c r="L12" i="5"/>
  <c r="L18" i="5" s="1"/>
  <c r="A3" i="3"/>
  <c r="C11" i="13"/>
  <c r="C12" i="13"/>
  <c r="C10" i="13"/>
  <c r="M51" i="1" l="1"/>
  <c r="I58" i="29"/>
  <c r="E58" i="29"/>
  <c r="G58" i="29"/>
  <c r="H58" i="29"/>
  <c r="D58" i="29"/>
  <c r="K58" i="29"/>
  <c r="J58" i="29"/>
  <c r="F58" i="29"/>
  <c r="I61" i="17"/>
  <c r="E61" i="17"/>
  <c r="H61" i="17"/>
  <c r="D61" i="17"/>
  <c r="K61" i="17"/>
  <c r="G61" i="17"/>
  <c r="J61" i="17"/>
  <c r="F61" i="17"/>
  <c r="H42" i="10"/>
  <c r="F42" i="10"/>
  <c r="I42" i="10"/>
  <c r="D42" i="10"/>
  <c r="K42" i="10"/>
  <c r="G42" i="10"/>
  <c r="J42" i="10"/>
  <c r="E42" i="10"/>
  <c r="K41" i="10"/>
  <c r="G41" i="10"/>
  <c r="D41" i="10"/>
  <c r="F41" i="10"/>
  <c r="E41" i="10"/>
  <c r="H41" i="10"/>
  <c r="J41" i="10"/>
  <c r="I41" i="10"/>
  <c r="K15" i="4"/>
  <c r="I15" i="4"/>
  <c r="J15" i="4"/>
  <c r="H15" i="4"/>
  <c r="N51" i="1"/>
  <c r="J65" i="27"/>
  <c r="F65" i="27"/>
  <c r="I65" i="27"/>
  <c r="E65" i="27"/>
  <c r="H65" i="27"/>
  <c r="D65" i="27"/>
  <c r="K65" i="27"/>
  <c r="G65" i="27"/>
  <c r="H58" i="27"/>
  <c r="D58" i="27"/>
  <c r="E58" i="27"/>
  <c r="K58" i="27"/>
  <c r="G58" i="27"/>
  <c r="I58" i="27"/>
  <c r="J58" i="27"/>
  <c r="F58" i="27"/>
  <c r="D40" i="5"/>
  <c r="D46" i="5" s="1"/>
  <c r="L53" i="5"/>
  <c r="M53" i="5"/>
  <c r="F40" i="5"/>
  <c r="F46" i="5" s="1"/>
  <c r="D6" i="2"/>
  <c r="D78" i="2" s="1"/>
  <c r="A3" i="17"/>
  <c r="D77" i="2" l="1"/>
  <c r="E43" i="10"/>
  <c r="E47" i="10" s="1"/>
  <c r="D43" i="10"/>
  <c r="D47" i="10" s="1"/>
  <c r="I43" i="10"/>
  <c r="I47" i="10" s="1"/>
  <c r="G43" i="10"/>
  <c r="G47" i="10" s="1"/>
  <c r="F43" i="10"/>
  <c r="F47" i="10" s="1"/>
  <c r="J43" i="10"/>
  <c r="J47" i="10" s="1"/>
  <c r="K43" i="10"/>
  <c r="K47" i="10" s="1"/>
  <c r="H43" i="10"/>
  <c r="H47" i="10" s="1"/>
  <c r="F15" i="4"/>
  <c r="D52" i="1"/>
  <c r="F52" i="1"/>
  <c r="M40" i="5"/>
  <c r="M46" i="5" s="1"/>
  <c r="L40" i="5"/>
  <c r="L46" i="5" s="1"/>
  <c r="M55" i="5"/>
  <c r="L55" i="5"/>
  <c r="E6" i="2"/>
  <c r="D5" i="2"/>
  <c r="D63" i="27" l="1"/>
  <c r="J63" i="27"/>
  <c r="F63" i="27"/>
  <c r="K63" i="27"/>
  <c r="I63" i="27"/>
  <c r="H63" i="27"/>
  <c r="G63" i="27"/>
  <c r="E77" i="2"/>
  <c r="E78" i="2"/>
  <c r="E46" i="10"/>
  <c r="E50" i="10" s="1"/>
  <c r="E63" i="27"/>
  <c r="D79" i="2"/>
  <c r="D50" i="1" s="1"/>
  <c r="E45" i="10"/>
  <c r="E49" i="10" s="1"/>
  <c r="H45" i="10"/>
  <c r="H49" i="10" s="1"/>
  <c r="H79" i="17" s="1"/>
  <c r="H46" i="10"/>
  <c r="H50" i="10" s="1"/>
  <c r="G45" i="10"/>
  <c r="G49" i="10" s="1"/>
  <c r="G79" i="17" s="1"/>
  <c r="G46" i="10"/>
  <c r="G50" i="10" s="1"/>
  <c r="K45" i="10"/>
  <c r="K49" i="10" s="1"/>
  <c r="K79" i="17" s="1"/>
  <c r="K46" i="10"/>
  <c r="K50" i="10" s="1"/>
  <c r="J46" i="10"/>
  <c r="J50" i="10" s="1"/>
  <c r="J45" i="10"/>
  <c r="J49" i="10" s="1"/>
  <c r="J79" i="17" s="1"/>
  <c r="I46" i="10"/>
  <c r="I50" i="10" s="1"/>
  <c r="I45" i="10"/>
  <c r="I49" i="10" s="1"/>
  <c r="I79" i="17" s="1"/>
  <c r="F45" i="10"/>
  <c r="F49" i="10" s="1"/>
  <c r="F79" i="17" s="1"/>
  <c r="F46" i="10"/>
  <c r="F50" i="10" s="1"/>
  <c r="M52" i="1"/>
  <c r="N52" i="1"/>
  <c r="F6" i="2"/>
  <c r="E5" i="2"/>
  <c r="K85" i="17" l="1"/>
  <c r="J85" i="17"/>
  <c r="I85" i="17"/>
  <c r="H85" i="17"/>
  <c r="F85" i="17"/>
  <c r="G85" i="17"/>
  <c r="D23" i="29"/>
  <c r="E79" i="2"/>
  <c r="E50" i="1" s="1"/>
  <c r="F77" i="2"/>
  <c r="F78" i="2"/>
  <c r="E65" i="1"/>
  <c r="E51" i="10"/>
  <c r="E79" i="17"/>
  <c r="J65" i="1"/>
  <c r="H65" i="1"/>
  <c r="G65" i="1"/>
  <c r="F65" i="1"/>
  <c r="F51" i="10"/>
  <c r="I51" i="10"/>
  <c r="G51" i="10"/>
  <c r="J51" i="10"/>
  <c r="K51" i="10"/>
  <c r="K65" i="1"/>
  <c r="H51" i="10"/>
  <c r="H48" i="1"/>
  <c r="F48" i="1"/>
  <c r="J48" i="1"/>
  <c r="K48" i="1"/>
  <c r="E48" i="1"/>
  <c r="G48" i="1"/>
  <c r="I65" i="1"/>
  <c r="G6" i="2"/>
  <c r="F5" i="2"/>
  <c r="A3" i="13"/>
  <c r="A2" i="13"/>
  <c r="A3" i="19"/>
  <c r="E85" i="17" l="1"/>
  <c r="E23" i="29"/>
  <c r="F79" i="2"/>
  <c r="F50" i="1" s="1"/>
  <c r="G77" i="2"/>
  <c r="G78" i="2"/>
  <c r="I48" i="1"/>
  <c r="H6" i="2"/>
  <c r="H78" i="2" s="1"/>
  <c r="G5" i="2"/>
  <c r="D98" i="29" l="1"/>
  <c r="F23" i="29"/>
  <c r="G79" i="2"/>
  <c r="G50" i="1" s="1"/>
  <c r="H77" i="2"/>
  <c r="I6" i="2"/>
  <c r="H5" i="2"/>
  <c r="A3" i="15"/>
  <c r="A2" i="15"/>
  <c r="J98" i="29" l="1"/>
  <c r="H98" i="29"/>
  <c r="G98" i="29"/>
  <c r="E98" i="29"/>
  <c r="F98" i="29"/>
  <c r="I98" i="29"/>
  <c r="K98" i="29"/>
  <c r="G23" i="29"/>
  <c r="I77" i="2"/>
  <c r="I78" i="2"/>
  <c r="H79" i="2"/>
  <c r="H50" i="1" s="1"/>
  <c r="J6" i="2"/>
  <c r="I5" i="2"/>
  <c r="A3" i="14"/>
  <c r="A2" i="14"/>
  <c r="A3" i="21"/>
  <c r="A2" i="21"/>
  <c r="A3" i="20"/>
  <c r="A2" i="20"/>
  <c r="A2" i="19"/>
  <c r="A3" i="11"/>
  <c r="A2" i="11"/>
  <c r="A3" i="10"/>
  <c r="A2" i="10"/>
  <c r="A2" i="17"/>
  <c r="A3" i="2"/>
  <c r="A2" i="2"/>
  <c r="A2" i="3"/>
  <c r="A3" i="5"/>
  <c r="A2" i="5"/>
  <c r="A3" i="4"/>
  <c r="A2" i="4"/>
  <c r="A3" i="1"/>
  <c r="A2" i="1"/>
  <c r="H23" i="29" l="1"/>
  <c r="I79" i="2"/>
  <c r="I50" i="1" s="1"/>
  <c r="M50" i="1" s="1"/>
  <c r="J77" i="2"/>
  <c r="J78" i="2"/>
  <c r="K6" i="2"/>
  <c r="K78" i="2" s="1"/>
  <c r="J5" i="2"/>
  <c r="I23" i="29" l="1"/>
  <c r="J79" i="2"/>
  <c r="J50" i="1" s="1"/>
  <c r="L54" i="2"/>
  <c r="K77" i="2"/>
  <c r="L41" i="2"/>
  <c r="L56" i="2"/>
  <c r="L77" i="2"/>
  <c r="L35" i="2"/>
  <c r="L31" i="2"/>
  <c r="L47" i="2"/>
  <c r="L46" i="2"/>
  <c r="L27" i="2"/>
  <c r="L24" i="2"/>
  <c r="L34" i="2"/>
  <c r="L58" i="2"/>
  <c r="L69" i="2"/>
  <c r="L18" i="2"/>
  <c r="L71" i="2"/>
  <c r="L79" i="2"/>
  <c r="L22" i="2"/>
  <c r="L51" i="2"/>
  <c r="L59" i="2"/>
  <c r="L63" i="2"/>
  <c r="L36" i="2"/>
  <c r="L52" i="2"/>
  <c r="L23" i="2"/>
  <c r="L70" i="2"/>
  <c r="L26" i="2"/>
  <c r="L40" i="2"/>
  <c r="L19" i="2"/>
  <c r="L62" i="2"/>
  <c r="L30" i="2"/>
  <c r="L55" i="2"/>
  <c r="L53" i="2"/>
  <c r="L50" i="2"/>
  <c r="L25" i="2"/>
  <c r="L64" i="2"/>
  <c r="K14" i="4"/>
  <c r="K26" i="4" s="1"/>
  <c r="E14" i="4"/>
  <c r="E26" i="4" s="1"/>
  <c r="E28" i="4" s="1"/>
  <c r="D14" i="4"/>
  <c r="D26" i="4" s="1"/>
  <c r="D28" i="4" s="1"/>
  <c r="H14" i="4"/>
  <c r="H26" i="4" s="1"/>
  <c r="G14" i="4"/>
  <c r="G26" i="4" s="1"/>
  <c r="G28" i="4" s="1"/>
  <c r="I14" i="4"/>
  <c r="I26" i="4" s="1"/>
  <c r="F14" i="4"/>
  <c r="F26" i="4" s="1"/>
  <c r="F28" i="4" s="1"/>
  <c r="J14" i="4"/>
  <c r="J26" i="4" s="1"/>
  <c r="E86" i="2"/>
  <c r="L13" i="2"/>
  <c r="L12" i="2"/>
  <c r="K5" i="2"/>
  <c r="L28" i="2"/>
  <c r="M77" i="2" l="1"/>
  <c r="J23" i="29"/>
  <c r="K79" i="2"/>
  <c r="K50" i="1" s="1"/>
  <c r="E58" i="10"/>
  <c r="E57" i="10"/>
  <c r="E54" i="10"/>
  <c r="E53" i="10"/>
  <c r="L42" i="2"/>
  <c r="F86" i="2"/>
  <c r="F101" i="2" s="1"/>
  <c r="H86" i="2"/>
  <c r="H128" i="2" s="1"/>
  <c r="I86" i="2"/>
  <c r="I105" i="2" s="1"/>
  <c r="K86" i="2"/>
  <c r="K119" i="2" s="1"/>
  <c r="D86" i="2"/>
  <c r="G86" i="2"/>
  <c r="G119" i="2" s="1"/>
  <c r="J86" i="2"/>
  <c r="J105" i="2" s="1"/>
  <c r="E119" i="2"/>
  <c r="E118" i="2"/>
  <c r="E105" i="2"/>
  <c r="E101" i="2"/>
  <c r="E128" i="2"/>
  <c r="E129" i="2"/>
  <c r="E104" i="2"/>
  <c r="E100" i="2"/>
  <c r="E130" i="2"/>
  <c r="E131" i="2"/>
  <c r="E132" i="2"/>
  <c r="E103" i="2"/>
  <c r="E133" i="2"/>
  <c r="E102" i="2"/>
  <c r="E91" i="2"/>
  <c r="E90" i="2"/>
  <c r="L14" i="2"/>
  <c r="E82" i="15" l="1"/>
  <c r="K23" i="29"/>
  <c r="M79" i="2"/>
  <c r="E81" i="15"/>
  <c r="D128" i="2"/>
  <c r="D118" i="2"/>
  <c r="E55" i="10"/>
  <c r="E59" i="10"/>
  <c r="F132" i="2"/>
  <c r="F103" i="2"/>
  <c r="I58" i="10"/>
  <c r="G58" i="10"/>
  <c r="H58" i="10"/>
  <c r="J58" i="10"/>
  <c r="F58" i="10"/>
  <c r="K58" i="10"/>
  <c r="I57" i="10"/>
  <c r="I54" i="10"/>
  <c r="I53" i="10"/>
  <c r="H57" i="10"/>
  <c r="H54" i="10"/>
  <c r="H53" i="10"/>
  <c r="G57" i="10"/>
  <c r="G54" i="10"/>
  <c r="G53" i="10"/>
  <c r="J57" i="10"/>
  <c r="J54" i="10"/>
  <c r="J53" i="10"/>
  <c r="F57" i="10"/>
  <c r="F54" i="10"/>
  <c r="F53" i="10"/>
  <c r="K57" i="10"/>
  <c r="K54" i="10"/>
  <c r="K53" i="10"/>
  <c r="F119" i="2"/>
  <c r="F118" i="2"/>
  <c r="F104" i="2"/>
  <c r="I118" i="2"/>
  <c r="F131" i="2"/>
  <c r="I101" i="2"/>
  <c r="I131" i="2"/>
  <c r="I133" i="2"/>
  <c r="F129" i="2"/>
  <c r="F133" i="2"/>
  <c r="F128" i="2"/>
  <c r="F91" i="2"/>
  <c r="F130" i="2"/>
  <c r="F105" i="2"/>
  <c r="I103" i="2"/>
  <c r="I130" i="2"/>
  <c r="M56" i="1"/>
  <c r="F90" i="2"/>
  <c r="F82" i="15" s="1"/>
  <c r="F102" i="2"/>
  <c r="F100" i="2"/>
  <c r="I102" i="2"/>
  <c r="I100" i="2"/>
  <c r="I119" i="2"/>
  <c r="H131" i="2"/>
  <c r="H100" i="2"/>
  <c r="H90" i="2"/>
  <c r="H101" i="2"/>
  <c r="H102" i="2"/>
  <c r="H118" i="2"/>
  <c r="I90" i="2"/>
  <c r="I82" i="15" s="1"/>
  <c r="I129" i="2"/>
  <c r="I128" i="2"/>
  <c r="K118" i="2"/>
  <c r="K120" i="2" s="1"/>
  <c r="K124" i="2" s="1"/>
  <c r="H133" i="2"/>
  <c r="H129" i="2"/>
  <c r="I91" i="2"/>
  <c r="I132" i="2"/>
  <c r="I104" i="2"/>
  <c r="G118" i="2"/>
  <c r="G120" i="2" s="1"/>
  <c r="G125" i="2" s="1"/>
  <c r="K133" i="2"/>
  <c r="K131" i="2"/>
  <c r="K129" i="2"/>
  <c r="K90" i="2"/>
  <c r="K91" i="2"/>
  <c r="K100" i="2"/>
  <c r="K101" i="2"/>
  <c r="K102" i="2"/>
  <c r="K103" i="2"/>
  <c r="K104" i="2"/>
  <c r="K105" i="2"/>
  <c r="H132" i="2"/>
  <c r="H103" i="2"/>
  <c r="H104" i="2"/>
  <c r="H105" i="2"/>
  <c r="J118" i="2"/>
  <c r="K132" i="2"/>
  <c r="K130" i="2"/>
  <c r="K128" i="2"/>
  <c r="H91" i="2"/>
  <c r="H119" i="2"/>
  <c r="H130" i="2"/>
  <c r="D132" i="2"/>
  <c r="D131" i="2"/>
  <c r="D100" i="2"/>
  <c r="D102" i="2"/>
  <c r="D129" i="2"/>
  <c r="D91" i="2"/>
  <c r="D101" i="2"/>
  <c r="D104" i="2"/>
  <c r="D133" i="2"/>
  <c r="D103" i="2"/>
  <c r="D105" i="2"/>
  <c r="D90" i="2"/>
  <c r="D119" i="2"/>
  <c r="D130" i="2"/>
  <c r="G101" i="2"/>
  <c r="J129" i="2"/>
  <c r="J91" i="2"/>
  <c r="G103" i="2"/>
  <c r="J131" i="2"/>
  <c r="G131" i="2"/>
  <c r="J132" i="2"/>
  <c r="J130" i="2"/>
  <c r="J128" i="2"/>
  <c r="J119" i="2"/>
  <c r="J90" i="2"/>
  <c r="J102" i="2"/>
  <c r="J100" i="2"/>
  <c r="J101" i="2"/>
  <c r="G90" i="2"/>
  <c r="G100" i="2"/>
  <c r="J133" i="2"/>
  <c r="J103" i="2"/>
  <c r="J104" i="2"/>
  <c r="G132" i="2"/>
  <c r="G129" i="2"/>
  <c r="G91" i="2"/>
  <c r="G133" i="2"/>
  <c r="G104" i="2"/>
  <c r="G105" i="2"/>
  <c r="G102" i="2"/>
  <c r="G130" i="2"/>
  <c r="G128" i="2"/>
  <c r="N56" i="1"/>
  <c r="E92" i="2"/>
  <c r="E96" i="2" s="1"/>
  <c r="N50" i="1"/>
  <c r="E106" i="2"/>
  <c r="E134" i="2"/>
  <c r="E120" i="2"/>
  <c r="E14" i="20"/>
  <c r="F14" i="20"/>
  <c r="G14" i="20"/>
  <c r="H14" i="20"/>
  <c r="I14" i="20"/>
  <c r="J14" i="20"/>
  <c r="K14" i="20"/>
  <c r="D14" i="20"/>
  <c r="G82" i="15" l="1"/>
  <c r="H82" i="15"/>
  <c r="E55" i="27"/>
  <c r="E57" i="27"/>
  <c r="I81" i="15"/>
  <c r="G81" i="15"/>
  <c r="J81" i="15"/>
  <c r="H81" i="15"/>
  <c r="K81" i="15"/>
  <c r="K16" i="20"/>
  <c r="J16" i="20"/>
  <c r="F16" i="20"/>
  <c r="E16" i="20"/>
  <c r="G16" i="20"/>
  <c r="I16" i="20"/>
  <c r="D16" i="20"/>
  <c r="H16" i="20"/>
  <c r="D81" i="15"/>
  <c r="F81" i="15"/>
  <c r="L128" i="2"/>
  <c r="L118" i="2"/>
  <c r="H92" i="2"/>
  <c r="H96" i="2" s="1"/>
  <c r="F55" i="10"/>
  <c r="I55" i="10"/>
  <c r="K55" i="10"/>
  <c r="H55" i="10"/>
  <c r="G55" i="10"/>
  <c r="J55" i="10"/>
  <c r="F120" i="2"/>
  <c r="F124" i="2" s="1"/>
  <c r="F59" i="10"/>
  <c r="H59" i="10"/>
  <c r="J59" i="10"/>
  <c r="I59" i="10"/>
  <c r="K59" i="10"/>
  <c r="G59" i="10"/>
  <c r="I120" i="2"/>
  <c r="I124" i="2" s="1"/>
  <c r="F134" i="2"/>
  <c r="F137" i="2" s="1"/>
  <c r="L129" i="2"/>
  <c r="I106" i="2"/>
  <c r="I108" i="2" s="1"/>
  <c r="F92" i="2"/>
  <c r="F97" i="2" s="1"/>
  <c r="D120" i="2"/>
  <c r="D124" i="2" s="1"/>
  <c r="F106" i="2"/>
  <c r="F108" i="2" s="1"/>
  <c r="I92" i="2"/>
  <c r="I97" i="2" s="1"/>
  <c r="I134" i="2"/>
  <c r="I137" i="2" s="1"/>
  <c r="H120" i="2"/>
  <c r="H124" i="2" s="1"/>
  <c r="K134" i="2"/>
  <c r="K136" i="2" s="1"/>
  <c r="K140" i="2" s="1"/>
  <c r="H134" i="2"/>
  <c r="H136" i="2" s="1"/>
  <c r="K106" i="2"/>
  <c r="K108" i="2" s="1"/>
  <c r="H106" i="2"/>
  <c r="H109" i="2" s="1"/>
  <c r="K92" i="2"/>
  <c r="K97" i="2" s="1"/>
  <c r="M91" i="2"/>
  <c r="J120" i="2"/>
  <c r="J125" i="2" s="1"/>
  <c r="L105" i="2"/>
  <c r="L101" i="2"/>
  <c r="L100" i="2"/>
  <c r="L130" i="2"/>
  <c r="L103" i="2"/>
  <c r="L91" i="2"/>
  <c r="L131" i="2"/>
  <c r="L90" i="2"/>
  <c r="L104" i="2"/>
  <c r="L102" i="2"/>
  <c r="L132" i="2"/>
  <c r="M118" i="2"/>
  <c r="D92" i="2"/>
  <c r="D96" i="2" s="1"/>
  <c r="L119" i="2"/>
  <c r="M130" i="2"/>
  <c r="M105" i="2"/>
  <c r="M103" i="2"/>
  <c r="D134" i="2"/>
  <c r="D136" i="2" s="1"/>
  <c r="M102" i="2"/>
  <c r="M100" i="2"/>
  <c r="D106" i="2"/>
  <c r="D108" i="2" s="1"/>
  <c r="L133" i="2"/>
  <c r="M131" i="2"/>
  <c r="M90" i="2"/>
  <c r="J134" i="2"/>
  <c r="J137" i="2" s="1"/>
  <c r="M129" i="2"/>
  <c r="M132" i="2"/>
  <c r="J106" i="2"/>
  <c r="J108" i="2" s="1"/>
  <c r="M101" i="2"/>
  <c r="M133" i="2"/>
  <c r="G106" i="2"/>
  <c r="M128" i="2"/>
  <c r="M104" i="2"/>
  <c r="K125" i="2"/>
  <c r="M119" i="2"/>
  <c r="J92" i="2"/>
  <c r="J97" i="2" s="1"/>
  <c r="G92" i="2"/>
  <c r="G96" i="2" s="1"/>
  <c r="G134" i="2"/>
  <c r="G136" i="2" s="1"/>
  <c r="G124" i="2"/>
  <c r="E97" i="2"/>
  <c r="E125" i="2"/>
  <c r="E124" i="2"/>
  <c r="E136" i="2"/>
  <c r="E137" i="2"/>
  <c r="E109" i="2"/>
  <c r="E108" i="2"/>
  <c r="E112" i="2" s="1"/>
  <c r="K109" i="2" l="1"/>
  <c r="H55" i="27"/>
  <c r="H57" i="27"/>
  <c r="K55" i="27"/>
  <c r="K57" i="27"/>
  <c r="J55" i="27"/>
  <c r="J57" i="27"/>
  <c r="I55" i="27"/>
  <c r="I57" i="27"/>
  <c r="E62" i="27"/>
  <c r="E66" i="1" s="1"/>
  <c r="E59" i="29"/>
  <c r="E59" i="27"/>
  <c r="E61" i="27"/>
  <c r="G55" i="27"/>
  <c r="G57" i="27"/>
  <c r="F55" i="27"/>
  <c r="F57" i="27"/>
  <c r="H8" i="20"/>
  <c r="H57" i="1" s="1"/>
  <c r="H58" i="1" s="1"/>
  <c r="E8" i="20"/>
  <c r="E57" i="1" s="1"/>
  <c r="D8" i="20"/>
  <c r="D57" i="1" s="1"/>
  <c r="F8" i="20"/>
  <c r="F57" i="1" s="1"/>
  <c r="F58" i="1" s="1"/>
  <c r="I8" i="20"/>
  <c r="I57" i="1" s="1"/>
  <c r="I58" i="1" s="1"/>
  <c r="J8" i="20"/>
  <c r="J57" i="1" s="1"/>
  <c r="J58" i="1" s="1"/>
  <c r="G8" i="20"/>
  <c r="G57" i="1" s="1"/>
  <c r="G58" i="1" s="1"/>
  <c r="K8" i="20"/>
  <c r="K57" i="1" s="1"/>
  <c r="K58" i="1" s="1"/>
  <c r="L120" i="2"/>
  <c r="H97" i="2"/>
  <c r="H113" i="2" s="1"/>
  <c r="I125" i="2"/>
  <c r="I141" i="2" s="1"/>
  <c r="F136" i="2"/>
  <c r="F140" i="2" s="1"/>
  <c r="F125" i="2"/>
  <c r="F141" i="2" s="1"/>
  <c r="F96" i="2"/>
  <c r="F112" i="2" s="1"/>
  <c r="I109" i="2"/>
  <c r="I113" i="2" s="1"/>
  <c r="D125" i="2"/>
  <c r="F109" i="2"/>
  <c r="F113" i="2" s="1"/>
  <c r="I96" i="2"/>
  <c r="I112" i="2" s="1"/>
  <c r="I136" i="2"/>
  <c r="I140" i="2" s="1"/>
  <c r="K137" i="2"/>
  <c r="K141" i="2" s="1"/>
  <c r="K142" i="2" s="1"/>
  <c r="H125" i="2"/>
  <c r="H140" i="2"/>
  <c r="H137" i="2"/>
  <c r="K96" i="2"/>
  <c r="K112" i="2" s="1"/>
  <c r="K147" i="2" s="1"/>
  <c r="H108" i="2"/>
  <c r="H112" i="2" s="1"/>
  <c r="M92" i="2"/>
  <c r="J124" i="2"/>
  <c r="K113" i="2"/>
  <c r="L92" i="2"/>
  <c r="L134" i="2"/>
  <c r="D97" i="2"/>
  <c r="L106" i="2"/>
  <c r="M120" i="2"/>
  <c r="D109" i="2"/>
  <c r="D137" i="2"/>
  <c r="M106" i="2"/>
  <c r="G137" i="2"/>
  <c r="G141" i="2" s="1"/>
  <c r="G108" i="2"/>
  <c r="G112" i="2" s="1"/>
  <c r="M134" i="2"/>
  <c r="J136" i="2"/>
  <c r="J109" i="2"/>
  <c r="J113" i="2" s="1"/>
  <c r="J96" i="2"/>
  <c r="J112" i="2" s="1"/>
  <c r="G109" i="2"/>
  <c r="G97" i="2"/>
  <c r="G140" i="2"/>
  <c r="E113" i="2"/>
  <c r="E114" i="2" s="1"/>
  <c r="J141" i="2"/>
  <c r="E141" i="2"/>
  <c r="D140" i="2"/>
  <c r="L124" i="2"/>
  <c r="D112" i="2"/>
  <c r="E140" i="2"/>
  <c r="E147" i="2" s="1"/>
  <c r="E30" i="1" l="1"/>
  <c r="E64" i="27"/>
  <c r="E62" i="17" s="1"/>
  <c r="E34" i="1"/>
  <c r="E29" i="1"/>
  <c r="E31" i="1"/>
  <c r="E36" i="1"/>
  <c r="E33" i="1"/>
  <c r="E32" i="1"/>
  <c r="E35" i="1"/>
  <c r="E66" i="27"/>
  <c r="E37" i="1"/>
  <c r="E38" i="1"/>
  <c r="F59" i="29"/>
  <c r="F61" i="27"/>
  <c r="F59" i="27"/>
  <c r="F62" i="27"/>
  <c r="F66" i="1" s="1"/>
  <c r="I59" i="29"/>
  <c r="I59" i="27"/>
  <c r="I61" i="27"/>
  <c r="I62" i="27"/>
  <c r="I66" i="1" s="1"/>
  <c r="K59" i="29"/>
  <c r="K62" i="27"/>
  <c r="K66" i="1" s="1"/>
  <c r="K59" i="27"/>
  <c r="K61" i="27"/>
  <c r="G59" i="29"/>
  <c r="G59" i="27"/>
  <c r="G61" i="27"/>
  <c r="G62" i="27"/>
  <c r="G66" i="1" s="1"/>
  <c r="J59" i="29"/>
  <c r="J62" i="27"/>
  <c r="J66" i="1" s="1"/>
  <c r="J61" i="27"/>
  <c r="J59" i="27"/>
  <c r="H59" i="29"/>
  <c r="H61" i="27"/>
  <c r="H62" i="27"/>
  <c r="H66" i="1" s="1"/>
  <c r="H59" i="27"/>
  <c r="M57" i="1"/>
  <c r="N57" i="1"/>
  <c r="E58" i="1"/>
  <c r="L43" i="17"/>
  <c r="M43" i="17"/>
  <c r="L136" i="2"/>
  <c r="L96" i="2"/>
  <c r="M125" i="2"/>
  <c r="D141" i="2"/>
  <c r="D142" i="2" s="1"/>
  <c r="L125" i="2"/>
  <c r="I114" i="2"/>
  <c r="I148" i="2"/>
  <c r="H147" i="2"/>
  <c r="M136" i="2"/>
  <c r="L108" i="2"/>
  <c r="H141" i="2"/>
  <c r="H142" i="2" s="1"/>
  <c r="K114" i="2"/>
  <c r="J140" i="2"/>
  <c r="J142" i="2" s="1"/>
  <c r="M124" i="2"/>
  <c r="L97" i="2"/>
  <c r="M97" i="2"/>
  <c r="D113" i="2"/>
  <c r="G142" i="2"/>
  <c r="L109" i="2"/>
  <c r="M137" i="2"/>
  <c r="I147" i="2"/>
  <c r="L137" i="2"/>
  <c r="H114" i="2"/>
  <c r="M108" i="2"/>
  <c r="M96" i="2"/>
  <c r="M109" i="2"/>
  <c r="K148" i="2"/>
  <c r="K149" i="2" s="1"/>
  <c r="G113" i="2"/>
  <c r="G148" i="2" s="1"/>
  <c r="E148" i="2"/>
  <c r="E149" i="2" s="1"/>
  <c r="J148" i="2"/>
  <c r="F142" i="2"/>
  <c r="F147" i="2"/>
  <c r="I142" i="2"/>
  <c r="F148" i="2"/>
  <c r="D147" i="2"/>
  <c r="M112" i="2"/>
  <c r="L112" i="2"/>
  <c r="L140" i="2"/>
  <c r="E142" i="2"/>
  <c r="G147" i="2"/>
  <c r="J114" i="2"/>
  <c r="F114" i="2"/>
  <c r="B13" i="1"/>
  <c r="B32" i="1"/>
  <c r="B16" i="1"/>
  <c r="B35" i="1"/>
  <c r="B14" i="1"/>
  <c r="B33" i="1"/>
  <c r="B15" i="1"/>
  <c r="B34" i="1"/>
  <c r="B17" i="1"/>
  <c r="B36" i="1"/>
  <c r="J38" i="1" l="1"/>
  <c r="K38" i="1"/>
  <c r="H38" i="1"/>
  <c r="I38" i="1"/>
  <c r="E69" i="17"/>
  <c r="E65" i="17"/>
  <c r="H64" i="27"/>
  <c r="H66" i="27" s="1"/>
  <c r="F64" i="27"/>
  <c r="F66" i="27" s="1"/>
  <c r="K64" i="27"/>
  <c r="K66" i="27" s="1"/>
  <c r="J64" i="27"/>
  <c r="J66" i="27" s="1"/>
  <c r="G64" i="27"/>
  <c r="G62" i="17" s="1"/>
  <c r="I64" i="27"/>
  <c r="I62" i="17" s="1"/>
  <c r="E46" i="29"/>
  <c r="E49" i="29" s="1"/>
  <c r="E66" i="17"/>
  <c r="E68" i="17" s="1"/>
  <c r="F34" i="1"/>
  <c r="F29" i="1"/>
  <c r="F33" i="1"/>
  <c r="F35" i="1"/>
  <c r="F31" i="1"/>
  <c r="F36" i="1"/>
  <c r="F30" i="1"/>
  <c r="F32" i="1"/>
  <c r="F37" i="1"/>
  <c r="H35" i="1"/>
  <c r="H36" i="1"/>
  <c r="H31" i="1"/>
  <c r="H32" i="1"/>
  <c r="H30" i="1"/>
  <c r="H37" i="1"/>
  <c r="H34" i="1"/>
  <c r="H29" i="1"/>
  <c r="H33" i="1"/>
  <c r="G37" i="1"/>
  <c r="G36" i="1"/>
  <c r="G35" i="1"/>
  <c r="G31" i="1"/>
  <c r="G32" i="1"/>
  <c r="G33" i="1"/>
  <c r="G30" i="1"/>
  <c r="G29" i="1"/>
  <c r="G34" i="1"/>
  <c r="I36" i="1"/>
  <c r="I31" i="1"/>
  <c r="I30" i="1"/>
  <c r="I34" i="1"/>
  <c r="I37" i="1"/>
  <c r="I33" i="1"/>
  <c r="I32" i="1"/>
  <c r="I29" i="1"/>
  <c r="I35" i="1"/>
  <c r="F38" i="1"/>
  <c r="G38" i="1"/>
  <c r="J29" i="1"/>
  <c r="J30" i="1"/>
  <c r="J36" i="1"/>
  <c r="J35" i="1"/>
  <c r="J31" i="1"/>
  <c r="J32" i="1"/>
  <c r="J33" i="1"/>
  <c r="J34" i="1"/>
  <c r="J37" i="1"/>
  <c r="K29" i="1"/>
  <c r="K32" i="1"/>
  <c r="K37" i="1"/>
  <c r="K31" i="1"/>
  <c r="K36" i="1"/>
  <c r="K35" i="1"/>
  <c r="K34" i="1"/>
  <c r="K30" i="1"/>
  <c r="K33" i="1"/>
  <c r="H148" i="2"/>
  <c r="H149" i="2" s="1"/>
  <c r="I149" i="2"/>
  <c r="D148" i="2"/>
  <c r="M141" i="2"/>
  <c r="L141" i="2"/>
  <c r="M140" i="2"/>
  <c r="J147" i="2"/>
  <c r="M147" i="2" s="1"/>
  <c r="L113" i="2"/>
  <c r="D114" i="2"/>
  <c r="M113" i="2"/>
  <c r="G114" i="2"/>
  <c r="G149" i="2"/>
  <c r="F149" i="2"/>
  <c r="M142" i="2"/>
  <c r="L142" i="2"/>
  <c r="L147" i="2"/>
  <c r="G10" i="1"/>
  <c r="H10" i="1"/>
  <c r="E10" i="1"/>
  <c r="K10" i="1"/>
  <c r="F10" i="1"/>
  <c r="J10" i="1"/>
  <c r="I10" i="1"/>
  <c r="E87" i="17" l="1"/>
  <c r="E89" i="17" s="1"/>
  <c r="H62" i="17"/>
  <c r="G69" i="17"/>
  <c r="I69" i="17"/>
  <c r="G66" i="27"/>
  <c r="I66" i="27"/>
  <c r="K62" i="17"/>
  <c r="F62" i="17"/>
  <c r="J62" i="17"/>
  <c r="E61" i="29"/>
  <c r="E53" i="29"/>
  <c r="E91" i="29" s="1"/>
  <c r="G65" i="17"/>
  <c r="I65" i="17"/>
  <c r="M148" i="2"/>
  <c r="D149" i="2"/>
  <c r="L149" i="2" s="1"/>
  <c r="L148" i="2"/>
  <c r="J149" i="2"/>
  <c r="M114" i="2"/>
  <c r="L114" i="2"/>
  <c r="I12" i="1"/>
  <c r="I16" i="1"/>
  <c r="I15" i="1"/>
  <c r="I13" i="1"/>
  <c r="I14" i="1"/>
  <c r="I17" i="1"/>
  <c r="J13" i="1"/>
  <c r="J17" i="1"/>
  <c r="J12" i="1"/>
  <c r="J16" i="1"/>
  <c r="J14" i="1"/>
  <c r="J15" i="1"/>
  <c r="H15" i="1"/>
  <c r="H14" i="1"/>
  <c r="H12" i="1"/>
  <c r="H13" i="1"/>
  <c r="H17" i="1"/>
  <c r="H16" i="1"/>
  <c r="E12" i="1"/>
  <c r="E16" i="1"/>
  <c r="E15" i="1"/>
  <c r="E17" i="1"/>
  <c r="E14" i="1"/>
  <c r="E13" i="1"/>
  <c r="F13" i="1"/>
  <c r="F17" i="1"/>
  <c r="F12" i="1"/>
  <c r="F16" i="1"/>
  <c r="F15" i="1"/>
  <c r="F14" i="1"/>
  <c r="K14" i="1"/>
  <c r="K13" i="1"/>
  <c r="K17" i="1"/>
  <c r="K15" i="1"/>
  <c r="K12" i="1"/>
  <c r="K16" i="1"/>
  <c r="G14" i="1"/>
  <c r="G13" i="1"/>
  <c r="G17" i="1"/>
  <c r="G12" i="1"/>
  <c r="G16" i="1"/>
  <c r="G15" i="1"/>
  <c r="F18" i="1"/>
  <c r="F19" i="1"/>
  <c r="I19" i="1"/>
  <c r="I18" i="1"/>
  <c r="E18" i="1"/>
  <c r="E19" i="1"/>
  <c r="J18" i="1"/>
  <c r="J19" i="1"/>
  <c r="K19" i="1"/>
  <c r="K18" i="1"/>
  <c r="H18" i="1"/>
  <c r="H19" i="1"/>
  <c r="G18" i="1"/>
  <c r="G19" i="1"/>
  <c r="H65" i="17" l="1"/>
  <c r="H66" i="17" s="1"/>
  <c r="H68" i="17" s="1"/>
  <c r="H69" i="17"/>
  <c r="F69" i="17"/>
  <c r="K69" i="17"/>
  <c r="J69" i="17"/>
  <c r="J65" i="17"/>
  <c r="F65" i="17"/>
  <c r="K65" i="17"/>
  <c r="G46" i="29"/>
  <c r="H46" i="29"/>
  <c r="H49" i="29" s="1"/>
  <c r="I46" i="29"/>
  <c r="I49" i="29" s="1"/>
  <c r="I61" i="29" s="1"/>
  <c r="J46" i="29"/>
  <c r="J49" i="29" s="1"/>
  <c r="J53" i="29" s="1"/>
  <c r="J91" i="29" s="1"/>
  <c r="K46" i="29"/>
  <c r="K49" i="29" s="1"/>
  <c r="K61" i="29" s="1"/>
  <c r="I66" i="17"/>
  <c r="I68" i="17" s="1"/>
  <c r="I87" i="17" s="1"/>
  <c r="G66" i="17"/>
  <c r="G68" i="17" s="1"/>
  <c r="G87" i="17" s="1"/>
  <c r="M149" i="2"/>
  <c r="H87" i="17" l="1"/>
  <c r="K66" i="17"/>
  <c r="K68" i="17" s="1"/>
  <c r="K87" i="17" s="1"/>
  <c r="K89" i="17" s="1"/>
  <c r="F66" i="17"/>
  <c r="F68" i="17" s="1"/>
  <c r="F87" i="17" s="1"/>
  <c r="F89" i="17" s="1"/>
  <c r="J66" i="17"/>
  <c r="J68" i="17" s="1"/>
  <c r="J87" i="17" s="1"/>
  <c r="J89" i="17" s="1"/>
  <c r="K53" i="29"/>
  <c r="K91" i="29" s="1"/>
  <c r="I53" i="29"/>
  <c r="I91" i="29" s="1"/>
  <c r="J61" i="29"/>
  <c r="G89" i="17"/>
  <c r="H89" i="17"/>
  <c r="I89" i="17"/>
  <c r="H61" i="29"/>
  <c r="H53" i="29"/>
  <c r="H91" i="29" s="1"/>
  <c r="E11" i="1"/>
  <c r="H11" i="1"/>
  <c r="I11" i="1"/>
  <c r="J11" i="1"/>
  <c r="K11" i="1"/>
  <c r="E100" i="29" l="1"/>
  <c r="E101" i="29" s="1"/>
  <c r="E62" i="29"/>
  <c r="K20" i="1"/>
  <c r="H20" i="1"/>
  <c r="E20" i="1"/>
  <c r="I20" i="1"/>
  <c r="J20" i="1"/>
  <c r="H39" i="1"/>
  <c r="E39" i="1"/>
  <c r="K39" i="1"/>
  <c r="I39" i="1"/>
  <c r="E63" i="29" l="1"/>
  <c r="E65" i="29" s="1"/>
  <c r="E93" i="29" s="1"/>
  <c r="E95" i="29" s="1"/>
  <c r="E62" i="1" s="1"/>
  <c r="E59" i="1"/>
  <c r="E21" i="1" s="1"/>
  <c r="H100" i="29"/>
  <c r="H62" i="29"/>
  <c r="E61" i="1"/>
  <c r="E22" i="1" s="1"/>
  <c r="J100" i="29"/>
  <c r="J59" i="1" s="1"/>
  <c r="J62" i="29"/>
  <c r="F100" i="29"/>
  <c r="F59" i="1" s="1"/>
  <c r="F62" i="29"/>
  <c r="K100" i="29"/>
  <c r="K62" i="29"/>
  <c r="G100" i="29"/>
  <c r="G101" i="29" s="1"/>
  <c r="G62" i="29"/>
  <c r="I100" i="29"/>
  <c r="I101" i="29" s="1"/>
  <c r="I62" i="29"/>
  <c r="J101" i="29"/>
  <c r="E60" i="1"/>
  <c r="J39" i="1"/>
  <c r="I63" i="29" l="1"/>
  <c r="I65" i="29" s="1"/>
  <c r="I93" i="29" s="1"/>
  <c r="I95" i="29" s="1"/>
  <c r="I62" i="1" s="1"/>
  <c r="K63" i="29"/>
  <c r="K65" i="29" s="1"/>
  <c r="K93" i="29" s="1"/>
  <c r="K95" i="29" s="1"/>
  <c r="J63" i="29"/>
  <c r="J65" i="29" s="1"/>
  <c r="J93" i="29" s="1"/>
  <c r="J95" i="29" s="1"/>
  <c r="J62" i="1" s="1"/>
  <c r="G59" i="1"/>
  <c r="G21" i="1" s="1"/>
  <c r="H63" i="29"/>
  <c r="H65" i="29" s="1"/>
  <c r="H93" i="29" s="1"/>
  <c r="H95" i="29" s="1"/>
  <c r="E23" i="1"/>
  <c r="F101" i="29"/>
  <c r="E41" i="1"/>
  <c r="E40" i="1"/>
  <c r="K61" i="1"/>
  <c r="K22" i="1" s="1"/>
  <c r="K59" i="1"/>
  <c r="K21" i="1" s="1"/>
  <c r="I59" i="1"/>
  <c r="I21" i="1" s="1"/>
  <c r="H59" i="1"/>
  <c r="H21" i="1" s="1"/>
  <c r="K101" i="29"/>
  <c r="H101" i="29"/>
  <c r="H60" i="1" s="1"/>
  <c r="G60" i="1"/>
  <c r="J60" i="1"/>
  <c r="J40" i="1" s="1"/>
  <c r="F21" i="1"/>
  <c r="E63" i="1"/>
  <c r="I60" i="1"/>
  <c r="F60" i="1"/>
  <c r="J21" i="1"/>
  <c r="F11" i="1"/>
  <c r="I61" i="1" l="1"/>
  <c r="I22" i="1" s="1"/>
  <c r="I23" i="1" s="1"/>
  <c r="G40" i="1"/>
  <c r="K60" i="1"/>
  <c r="K40" i="1" s="1"/>
  <c r="H61" i="1"/>
  <c r="H22" i="1" s="1"/>
  <c r="H23" i="1" s="1"/>
  <c r="J61" i="1"/>
  <c r="J22" i="1" s="1"/>
  <c r="J23" i="1" s="1"/>
  <c r="H62" i="1"/>
  <c r="K23" i="1"/>
  <c r="E42" i="1"/>
  <c r="I40" i="1"/>
  <c r="K62" i="1"/>
  <c r="K41" i="1" s="1"/>
  <c r="H40" i="1"/>
  <c r="F40" i="1"/>
  <c r="F20" i="1"/>
  <c r="I63" i="1" l="1"/>
  <c r="I41" i="1"/>
  <c r="I42" i="1" s="1"/>
  <c r="J63" i="1"/>
  <c r="H41" i="1"/>
  <c r="H42" i="1" s="1"/>
  <c r="H63" i="1"/>
  <c r="J41" i="1"/>
  <c r="J42" i="1" s="1"/>
  <c r="K42" i="1"/>
  <c r="K63" i="1"/>
  <c r="F39" i="1"/>
  <c r="G11" i="1"/>
  <c r="G20" i="1" l="1"/>
  <c r="G39" i="1" l="1"/>
  <c r="D48" i="15" l="1"/>
  <c r="D50" i="15" l="1"/>
  <c r="D45" i="10"/>
  <c r="D49" i="10" s="1"/>
  <c r="D46" i="10"/>
  <c r="D50" i="10" s="1"/>
  <c r="D53" i="10" l="1"/>
  <c r="D79" i="17"/>
  <c r="D58" i="10"/>
  <c r="D48" i="1"/>
  <c r="D65" i="1"/>
  <c r="D54" i="10"/>
  <c r="M18" i="1" l="1"/>
  <c r="N18" i="1"/>
  <c r="N11" i="1"/>
  <c r="M11" i="1"/>
  <c r="M15" i="1"/>
  <c r="N15" i="1"/>
  <c r="M17" i="1"/>
  <c r="N17" i="1"/>
  <c r="N16" i="1"/>
  <c r="M13" i="1"/>
  <c r="N13" i="1"/>
  <c r="N14" i="1"/>
  <c r="M16" i="1"/>
  <c r="M14" i="1"/>
  <c r="M12" i="1"/>
  <c r="N12" i="1"/>
  <c r="N19" i="1"/>
  <c r="M19" i="1"/>
  <c r="N10" i="1"/>
  <c r="M10" i="1"/>
  <c r="D85" i="17"/>
  <c r="D55" i="10"/>
  <c r="L79" i="17"/>
  <c r="M79" i="17"/>
  <c r="D15" i="1"/>
  <c r="D17" i="1"/>
  <c r="D19" i="1"/>
  <c r="D14" i="1"/>
  <c r="D18" i="1"/>
  <c r="D12" i="1"/>
  <c r="D13" i="1"/>
  <c r="D11" i="1"/>
  <c r="D16" i="1"/>
  <c r="D51" i="10"/>
  <c r="D57" i="10"/>
  <c r="D59" i="10" s="1"/>
  <c r="D58" i="1"/>
  <c r="D10" i="1"/>
  <c r="N48" i="1"/>
  <c r="N58" i="1" s="1"/>
  <c r="M48" i="1"/>
  <c r="M58" i="1" s="1"/>
  <c r="M20" i="1" l="1"/>
  <c r="N20" i="1"/>
  <c r="D55" i="27"/>
  <c r="D57" i="27"/>
  <c r="L85" i="17"/>
  <c r="M85" i="17"/>
  <c r="D20" i="1"/>
  <c r="D61" i="27" l="1"/>
  <c r="D64" i="27" s="1"/>
  <c r="D62" i="17" s="1"/>
  <c r="D46" i="29"/>
  <c r="D49" i="29" s="1"/>
  <c r="D61" i="29" s="1"/>
  <c r="D59" i="27"/>
  <c r="D62" i="27"/>
  <c r="D66" i="1" s="1"/>
  <c r="D59" i="29"/>
  <c r="D69" i="17" l="1"/>
  <c r="L69" i="17" s="1"/>
  <c r="N30" i="1"/>
  <c r="M38" i="1"/>
  <c r="M31" i="1"/>
  <c r="N31" i="1"/>
  <c r="N29" i="1"/>
  <c r="M29" i="1"/>
  <c r="M34" i="1"/>
  <c r="M32" i="1"/>
  <c r="M36" i="1"/>
  <c r="M33" i="1"/>
  <c r="M35" i="1"/>
  <c r="M30" i="1"/>
  <c r="N38" i="1"/>
  <c r="N32" i="1"/>
  <c r="N35" i="1"/>
  <c r="N34" i="1"/>
  <c r="N33" i="1"/>
  <c r="N36" i="1"/>
  <c r="M37" i="1"/>
  <c r="N37" i="1"/>
  <c r="D53" i="29"/>
  <c r="D91" i="29" s="1"/>
  <c r="D34" i="1"/>
  <c r="D31" i="1"/>
  <c r="D36" i="1"/>
  <c r="D33" i="1"/>
  <c r="D35" i="1"/>
  <c r="D37" i="1"/>
  <c r="D38" i="1"/>
  <c r="D30" i="1"/>
  <c r="D32" i="1"/>
  <c r="D29" i="1"/>
  <c r="D65" i="17"/>
  <c r="D66" i="27"/>
  <c r="M69" i="17" l="1"/>
  <c r="M39" i="1"/>
  <c r="N39" i="1"/>
  <c r="D66" i="17"/>
  <c r="D68" i="17" s="1"/>
  <c r="D39" i="1"/>
  <c r="D78" i="15"/>
  <c r="D80" i="15" s="1"/>
  <c r="D82" i="15" s="1"/>
  <c r="M68" i="17" l="1"/>
  <c r="D87" i="17"/>
  <c r="L68" i="17"/>
  <c r="M87" i="17" l="1"/>
  <c r="L87" i="17"/>
  <c r="D89" i="17"/>
  <c r="L89" i="17" l="1"/>
  <c r="M89" i="17"/>
  <c r="D100" i="29" l="1"/>
  <c r="D101" i="29" s="1"/>
  <c r="D62" i="29"/>
  <c r="D63" i="29" l="1"/>
  <c r="D65" i="29" s="1"/>
  <c r="D93" i="29" s="1"/>
  <c r="D95" i="29" s="1"/>
  <c r="D62" i="1" s="1"/>
  <c r="D59" i="1"/>
  <c r="M59" i="1" s="1"/>
  <c r="D60" i="1"/>
  <c r="D61" i="1" l="1"/>
  <c r="D22" i="1" s="1"/>
  <c r="D21" i="1"/>
  <c r="N59" i="1"/>
  <c r="M21" i="1"/>
  <c r="N21" i="1"/>
  <c r="N60" i="1"/>
  <c r="D40" i="1"/>
  <c r="M60" i="1"/>
  <c r="M40" i="1"/>
  <c r="N40" i="1"/>
  <c r="D23" i="1" l="1"/>
  <c r="D41" i="1"/>
  <c r="D42" i="1" s="1"/>
  <c r="D63" i="1"/>
  <c r="F46" i="29" l="1"/>
  <c r="F49" i="29" s="1"/>
  <c r="F61" i="29" l="1"/>
  <c r="F63" i="29" s="1"/>
  <c r="F65" i="29" s="1"/>
  <c r="F93" i="29" s="1"/>
  <c r="F53" i="29"/>
  <c r="F91" i="29" s="1"/>
  <c r="F95" i="29" l="1"/>
  <c r="F62" i="1" s="1"/>
  <c r="F61" i="1"/>
  <c r="F22" i="1" l="1"/>
  <c r="F23" i="1" s="1"/>
  <c r="F41" i="1"/>
  <c r="F42" i="1" s="1"/>
  <c r="F63" i="1"/>
  <c r="G49" i="29" l="1"/>
  <c r="G61" i="29" l="1"/>
  <c r="G63" i="29" s="1"/>
  <c r="G65" i="29" s="1"/>
  <c r="G93" i="29" s="1"/>
  <c r="G53" i="29"/>
  <c r="G91" i="29" s="1"/>
  <c r="G95" i="29" l="1"/>
  <c r="G62" i="1" s="1"/>
  <c r="G61" i="1"/>
  <c r="N62" i="1" l="1"/>
  <c r="M62" i="1"/>
  <c r="G22" i="1"/>
  <c r="G23" i="1" s="1"/>
  <c r="G63" i="1"/>
  <c r="G41" i="1"/>
  <c r="G42" i="1" s="1"/>
  <c r="M61" i="1"/>
  <c r="N41" i="1"/>
  <c r="N42" i="1" s="1"/>
  <c r="M41" i="1"/>
  <c r="M42" i="1" s="1"/>
  <c r="N22" i="1"/>
  <c r="N23" i="1" s="1"/>
  <c r="N61" i="1"/>
  <c r="M22" i="1"/>
  <c r="M23" i="1" s="1"/>
  <c r="N63" i="1" l="1"/>
  <c r="M63" i="1"/>
</calcChain>
</file>

<file path=xl/sharedStrings.xml><?xml version="1.0" encoding="utf-8"?>
<sst xmlns="http://schemas.openxmlformats.org/spreadsheetml/2006/main" count="1322" uniqueCount="596">
  <si>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</si>
  <si>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</si>
  <si>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</si>
  <si>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</si>
  <si>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</si>
  <si>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</si>
  <si>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</si>
  <si>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</si>
  <si>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</si>
  <si>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</si>
  <si>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</si>
  <si>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</si>
  <si>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</si>
  <si>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</si>
  <si>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</si>
  <si>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</si>
  <si>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</si>
  <si>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</si>
  <si>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</si>
  <si>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</si>
  <si>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</si>
  <si>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</si>
  <si>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</si>
  <si>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</si>
  <si>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</si>
  <si>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</si>
  <si>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</si>
  <si>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</si>
  <si>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</si>
  <si>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</si>
  <si>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</si>
  <si>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</si>
  <si>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</si>
  <si>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</si>
  <si>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</si>
  <si>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</si>
  <si>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</si>
  <si>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</si>
  <si>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</si>
  <si>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</si>
  <si>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</si>
  <si>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</si>
  <si>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</si>
  <si>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</si>
  <si>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</si>
  <si>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</si>
  <si>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</si>
  <si>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</si>
  <si>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</si>
  <si>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</si>
  <si>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</si>
  <si>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</si>
  <si>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</si>
  <si>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</si>
  <si>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</si>
  <si>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</si>
  <si>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</si>
  <si>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</si>
  <si>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</si>
  <si>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</si>
  <si>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</si>
  <si>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</si>
  <si>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</si>
  <si>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</si>
  <si>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</si>
  <si>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</si>
  <si>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</si>
  <si>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</si>
  <si>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</si>
  <si>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</si>
  <si>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</si>
  <si>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</si>
  <si>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</si>
  <si>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</si>
  <si>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</si>
  <si>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</si>
  <si>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</si>
  <si>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</si>
  <si>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</si>
  <si>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</si>
  <si>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</si>
  <si>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</si>
  <si>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</si>
  <si>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</si>
  <si>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</si>
  <si>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</si>
  <si>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</si>
  <si>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</si>
  <si>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</si>
  <si>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</si>
  <si>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</si>
  <si>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</si>
  <si>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</si>
  <si>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</si>
  <si>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</si>
  <si>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</si>
  <si>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</si>
  <si>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</si>
  <si>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</si>
  <si>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</si>
  <si>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</si>
  <si>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</si>
  <si>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</si>
  <si>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</si>
  <si>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</si>
  <si>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</si>
  <si>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</si>
  <si>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</si>
  <si>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</si>
  <si>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</si>
  <si>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</si>
  <si>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</si>
  <si>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</si>
  <si>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</si>
  <si>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</si>
  <si>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</si>
  <si>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</si>
  <si>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</si>
  <si>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</si>
  <si>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</si>
  <si>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</si>
  <si>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</si>
  <si>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</si>
  <si>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</si>
  <si>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</si>
  <si>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</si>
  <si>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</si>
  <si>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</si>
  <si>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</si>
  <si>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</si>
  <si>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</si>
  <si>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</si>
  <si>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</si>
  <si>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</si>
  <si>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</si>
  <si>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</si>
  <si>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</si>
  <si>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</si>
  <si>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</si>
  <si>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</si>
  <si>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</si>
  <si>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</si>
  <si>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</si>
  <si>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</si>
  <si>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</si>
  <si>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</si>
  <si>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</si>
  <si>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</si>
  <si>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</si>
  <si>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</si>
  <si>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</si>
  <si>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</si>
  <si>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</si>
  <si>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</si>
  <si>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</si>
  <si>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</si>
  <si>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</si>
  <si>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</si>
  <si>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</si>
  <si>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</si>
  <si>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</si>
  <si>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</si>
  <si>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</si>
  <si>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</si>
  <si>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</si>
  <si>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</si>
  <si>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</si>
  <si>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</si>
  <si>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</si>
  <si>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</si>
  <si>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</si>
  <si>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</si>
  <si>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</si>
  <si>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</si>
  <si>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</si>
  <si>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</si>
  <si>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</si>
  <si>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</si>
  <si>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</si>
  <si>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</si>
  <si>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</si>
  <si>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</si>
  <si>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</si>
  <si>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</si>
  <si>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</si>
  <si>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</si>
  <si>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</si>
  <si>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</si>
  <si>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</si>
  <si>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</si>
  <si>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</si>
  <si>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</si>
  <si>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</si>
  <si>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</si>
  <si>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</si>
  <si>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</si>
  <si>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</si>
  <si>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</si>
  <si>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</si>
  <si>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</si>
  <si>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</si>
  <si>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</si>
  <si>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</si>
  <si>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</si>
  <si>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</si>
  <si>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</si>
  <si>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</si>
  <si>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</si>
  <si>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</si>
  <si>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</si>
  <si>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</si>
  <si>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</si>
  <si>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</si>
  <si>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</si>
  <si>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</si>
  <si>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</si>
  <si>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</si>
  <si>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</si>
  <si>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</si>
  <si>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</si>
  <si>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</si>
  <si>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</si>
  <si>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</si>
  <si>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</si>
  <si>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</si>
  <si>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</si>
  <si>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</si>
  <si>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</si>
  <si>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</si>
  <si>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</si>
  <si>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</si>
  <si>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</si>
  <si>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</si>
  <si>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</si>
  <si>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</si>
  <si>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</si>
  <si>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</si>
  <si>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</si>
  <si>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</si>
  <si>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</si>
  <si>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</si>
  <si>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</si>
  <si>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</si>
  <si>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</si>
  <si>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</si>
  <si>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</si>
  <si>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</si>
  <si>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</si>
  <si>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</si>
  <si>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</si>
  <si>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</si>
  <si>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</si>
  <si>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</si>
  <si>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</si>
  <si>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</si>
  <si>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</si>
  <si>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</si>
  <si>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</si>
  <si>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</si>
  <si>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</si>
  <si>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</si>
  <si>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</si>
  <si>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</si>
  <si>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</si>
  <si>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</si>
  <si>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</si>
  <si>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</si>
  <si>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</si>
  <si>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</si>
  <si>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</si>
  <si>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</si>
  <si>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</si>
  <si>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</si>
  <si>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</si>
  <si>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</si>
  <si>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</si>
  <si>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</si>
  <si>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</si>
  <si>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</si>
  <si>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</si>
  <si>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</si>
  <si>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£m</t>
  </si>
  <si>
    <t>Debt issuance expenses (inc. amortisation to discounts that had previously benefitted from a tax deduction)</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</si>
  <si>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</si>
  <si>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</si>
  <si>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</si>
  <si>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</si>
  <si>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</si>
  <si>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</si>
  <si>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</si>
  <si>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</si>
  <si>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</si>
  <si>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</si>
  <si>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</si>
  <si>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</si>
  <si>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</si>
  <si>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</si>
  <si>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</si>
  <si>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</si>
  <si>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</si>
  <si>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</si>
  <si>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</si>
  <si>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</si>
  <si>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</si>
  <si>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</si>
  <si>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</si>
  <si>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</si>
  <si>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</si>
  <si>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</si>
  <si>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</si>
  <si>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</si>
  <si>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</si>
  <si>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</si>
  <si>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</si>
  <si>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</si>
  <si>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</si>
  <si>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</si>
  <si>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</si>
  <si>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</si>
  <si>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</si>
  <si>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</si>
  <si>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</si>
  <si>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</si>
  <si>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</si>
  <si>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</si>
  <si>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</si>
  <si>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</si>
  <si>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</si>
  <si>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</si>
  <si>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</si>
  <si>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</si>
  <si>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</si>
  <si>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</si>
  <si>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</si>
  <si>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</si>
  <si>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</si>
  <si>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</si>
  <si>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</si>
  <si>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</si>
  <si>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</si>
  <si>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</si>
  <si>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</si>
  <si>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</si>
  <si>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</si>
  <si>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</si>
  <si>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</si>
  <si>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</si>
  <si>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</si>
  <si>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</si>
  <si>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</si>
  <si>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</si>
  <si>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2. Other adjustment (Overwrite)</t>
  </si>
  <si>
    <t>3. Other adjustment (Overwrite)</t>
  </si>
  <si>
    <t>4. Other adjustment (Overwrite)</t>
  </si>
  <si>
    <t>5. Other adjustment (Overwrite)</t>
  </si>
  <si>
    <t>6. Other adjustment (Overwrite)</t>
  </si>
  <si>
    <t>7. Other adjustment (Overwrite)</t>
  </si>
  <si>
    <t>8. Other adjustment (Overwrite)</t>
  </si>
  <si>
    <t>9. Other adjustment (Overwrite)</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</si>
  <si>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</si>
  <si>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</si>
  <si>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</si>
  <si>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</si>
  <si>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</si>
  <si>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</si>
  <si>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</si>
  <si>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</si>
  <si>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</si>
  <si>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</si>
  <si>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</si>
  <si>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</si>
  <si>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</si>
  <si>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</si>
  <si>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</si>
  <si>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</si>
  <si>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</si>
  <si>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</si>
  <si>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</si>
  <si>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</si>
  <si>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</si>
  <si>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</si>
  <si>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</si>
  <si>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</si>
  <si>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</si>
  <si>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</si>
  <si>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</si>
  <si>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</si>
  <si>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</si>
  <si>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</si>
  <si>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</si>
  <si>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</si>
  <si>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</si>
  <si>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</si>
  <si>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</si>
  <si>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</si>
  <si>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</si>
  <si>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</si>
  <si>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</si>
  <si>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</si>
  <si>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</si>
  <si>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</si>
  <si>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</si>
  <si>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</si>
  <si>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</si>
  <si>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</si>
  <si>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</si>
  <si>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</si>
  <si>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</si>
  <si>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</si>
  <si>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</si>
  <si>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</si>
  <si>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</si>
  <si>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</si>
  <si>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</si>
  <si>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</si>
  <si>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</si>
  <si>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</si>
  <si>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</si>
  <si>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</si>
  <si>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</si>
  <si>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</si>
  <si>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</si>
  <si>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</si>
  <si>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</si>
  <si>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</si>
  <si>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</si>
  <si>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</si>
  <si>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</si>
  <si>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</si>
  <si>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</si>
  <si>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</si>
  <si>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</si>
  <si>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</si>
  <si>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</si>
  <si>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</si>
  <si>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</si>
  <si>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</si>
  <si>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</si>
  <si>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</si>
  <si>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</si>
  <si>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</si>
  <si>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</si>
  <si>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</si>
  <si>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</si>
  <si>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</si>
  <si>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</si>
  <si>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</si>
  <si>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</si>
  <si>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</si>
  <si>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</si>
  <si>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</si>
  <si>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</si>
  <si>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</si>
  <si>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</si>
  <si>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</si>
  <si>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</si>
  <si>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</si>
  <si>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</si>
  <si>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</si>
  <si>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</si>
  <si>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</si>
  <si>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</si>
  <si>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</si>
  <si>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</si>
  <si>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</si>
  <si>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</si>
  <si>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</si>
  <si>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</si>
  <si>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</si>
  <si>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</si>
  <si>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</si>
  <si>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</si>
  <si>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</si>
  <si>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</si>
  <si>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</si>
  <si>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</si>
  <si>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</si>
  <si>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</si>
  <si>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</si>
  <si>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</si>
  <si>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</si>
  <si>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</si>
  <si>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</si>
  <si>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</si>
  <si>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</si>
  <si>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</si>
  <si>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</si>
  <si>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</si>
  <si>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</si>
  <si>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</si>
  <si>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</si>
  <si>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</si>
  <si>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</si>
  <si>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</si>
  <si>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</si>
  <si>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</si>
  <si>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</si>
  <si>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</si>
  <si>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</si>
  <si>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</si>
  <si>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</si>
  <si>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</si>
  <si>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</si>
  <si>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</si>
  <si>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</si>
  <si>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</si>
  <si>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</si>
  <si>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</si>
  <si>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</si>
  <si>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</si>
  <si>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</si>
  <si>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</si>
  <si>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</si>
  <si>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</si>
  <si>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</si>
  <si>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</si>
  <si>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</si>
  <si>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</si>
  <si>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</si>
  <si>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</si>
  <si>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</si>
  <si>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</si>
  <si>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</si>
  <si>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</si>
  <si>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</si>
  <si>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</si>
  <si>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</si>
  <si>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</si>
  <si>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</si>
  <si>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</si>
  <si>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</si>
  <si>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</si>
  <si>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</si>
  <si>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</si>
  <si>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</si>
  <si>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</si>
  <si>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</si>
  <si>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</si>
  <si>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</si>
  <si>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1. Accrued Interest</t>
  </si>
  <si>
    <t>1. Interest Capitalised</t>
  </si>
  <si>
    <t>DPCR4 residual distribution losses incentive and Growth Term</t>
  </si>
  <si>
    <t>Amortisation</t>
  </si>
  <si>
    <t>Connections Contributions not treated as revenue</t>
  </si>
  <si>
    <t>Diversionary works under an obligation</t>
  </si>
  <si>
    <t>Related party non-operational capex not recognised in the Regulatory Accounts</t>
  </si>
  <si>
    <t>Difference between profit/loss on sale of fixed assets and scrap included in 'non-activity based costs' (which includes related party vehicle disposals but excludes non-price control metering disposals), and cash proceeds (included above), which relates to NPg(Y) disposals only</t>
  </si>
  <si>
    <t>Transfer Operational IT to Yorkshire which is recorded in Northeast in the Regulatory Accounts</t>
  </si>
  <si>
    <t>BHE Oracle Licences which are recognised via monthly recharge in the Regulatory Accounts, not on acquisition as in the Cost and Volumes pack</t>
  </si>
  <si>
    <t>LCNF Tier 2 Contributions excluded from the Cost and Volumes pack as instructed by Ofgem</t>
  </si>
  <si>
    <t>Statutory Non Op Depreciation included in related party transactions that are excluded from the RRP</t>
  </si>
  <si>
    <t>Reversing adjustment for prior year correction</t>
  </si>
  <si>
    <t>Intercompany stores adjustment</t>
  </si>
  <si>
    <t>Apprenticeship Levy Contributions</t>
  </si>
  <si>
    <t>Apprenticeship Levy Recovery</t>
  </si>
  <si>
    <t>Conversion from December to March year end</t>
  </si>
  <si>
    <t>Deduct Jan-Mar from statutory year CT600 (tax charge impact of: profits per accounts add back depreciation, amortisation and capitalised interest)</t>
  </si>
  <si>
    <t>Add Jan-Mar from following year statutory year CT600 (tax charge impact of: profits per accounts add back depreciation, amortisation and capitalised interest)</t>
  </si>
  <si>
    <t>Deduct tax on legacy revenues</t>
  </si>
  <si>
    <t>Deduct tax impact of disallowed related party margins</t>
  </si>
  <si>
    <t>Deduct tax impact of other costs excluded from totex (guaranteed standards, ex gratia, bad debts)</t>
  </si>
  <si>
    <t>Deduct tax on NIA income and costs</t>
  </si>
  <si>
    <t>Deduct tax on LCNF income and costs</t>
  </si>
  <si>
    <t>Impact of regulatory treatment of related party capex</t>
  </si>
  <si>
    <t>Tax impact of regulatory timing differences</t>
  </si>
  <si>
    <t>Under/over recovery of allowed revenue in the year</t>
  </si>
  <si>
    <t>MOD timing difference</t>
  </si>
  <si>
    <t>Base revenue inflated using RPIF initially</t>
  </si>
  <si>
    <t>Revenue adjustment for the true-up of RPI forecasts</t>
  </si>
  <si>
    <t>Pass through costs</t>
  </si>
  <si>
    <t>Deduct tax on DPCR4 incentive revenues</t>
  </si>
  <si>
    <t>2. [Insert adjustment as necessary]</t>
  </si>
  <si>
    <t>May 2019 Publication</t>
  </si>
  <si>
    <t>Smart Meter Roll-out updated allowances</t>
  </si>
  <si>
    <t>Enhanced Physical Site Security allowances</t>
  </si>
  <si>
    <t>Street Works allowances</t>
  </si>
  <si>
    <t>Adjustment to remove impact of re-phasing/timing differences</t>
  </si>
  <si>
    <t>Visual Amenity allowances</t>
  </si>
  <si>
    <t>Includes provisional SECV outcome for 2018/19</t>
  </si>
  <si>
    <t>Costs outside price control</t>
  </si>
  <si>
    <t>Innovation costs - NIA</t>
  </si>
  <si>
    <t>Innovation costs - IFI and LCN</t>
  </si>
  <si>
    <t>Other non activity based costs</t>
  </si>
  <si>
    <t>Excluded related party margins</t>
  </si>
  <si>
    <t>Cash proceeds from sales of assets and scrap</t>
  </si>
  <si>
    <t>Value added services (DRS8)</t>
  </si>
  <si>
    <t>Assessment &amp; Design Income</t>
  </si>
  <si>
    <t>Supplier of Last Resort - cost recoveries included in other NABC</t>
  </si>
  <si>
    <t>Other small differences</t>
  </si>
  <si>
    <t>Supplier of Last Resort Revenue</t>
  </si>
  <si>
    <t>OK</t>
  </si>
  <si>
    <t>Annex B1 (a)</t>
  </si>
  <si>
    <t>Annex B1 (b)</t>
  </si>
  <si>
    <t>Annex B1 (c)</t>
  </si>
  <si>
    <t>Annex B1 (e)</t>
  </si>
  <si>
    <t>Annex B1 (d)</t>
  </si>
</sst>
</file>

<file path=xl/styles.xml><?xml version="1.0" encoding="utf-8"?>
<styleSheet xmlns="http://schemas.openxmlformats.org/spreadsheetml/2006/main" xmlns:mc="http://schemas.openxmlformats.org/markup-compatibility/2006" xmlns:x14ac="http://schemas.microsoft.com/office/spreadsheetml/2009/9/ac" mc:Ignorable="x14ac">
  <numFmts count="188">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s>
  <fonts count="249">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b/>
      <sz val="16"/>
      <name val="CG Omega"/>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b/>
      <sz val="18"/>
      <name val="CG Omega"/>
      <family val="2"/>
    </font>
    <font>
      <i/>
      <u/>
      <sz val="10"/>
      <name val="Verdana"/>
      <family val="2"/>
    </font>
  </fonts>
  <fills count="11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s>
  <borders count="123">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s>
  <cellStyleXfs count="48238">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3" fillId="48" borderId="0" applyBorder="0">
      <alignment vertical="center"/>
    </xf>
    <xf numFmtId="164" fontId="2" fillId="0" borderId="0" applyFont="0" applyFill="0" applyBorder="0" applyAlignment="0" applyProtection="0"/>
    <xf numFmtId="168" fontId="34"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9" fillId="0" borderId="0"/>
    <xf numFmtId="182" fontId="4" fillId="0" borderId="0"/>
    <xf numFmtId="182" fontId="4" fillId="0" borderId="0"/>
    <xf numFmtId="182" fontId="4" fillId="0" borderId="0"/>
    <xf numFmtId="182" fontId="4" fillId="0" borderId="0"/>
    <xf numFmtId="182" fontId="4" fillId="0" borderId="0"/>
    <xf numFmtId="180" fontId="40" fillId="0" borderId="0"/>
    <xf numFmtId="181" fontId="39" fillId="0" borderId="0"/>
    <xf numFmtId="182" fontId="4" fillId="0" borderId="0"/>
    <xf numFmtId="182" fontId="4" fillId="0" borderId="0"/>
    <xf numFmtId="182" fontId="4" fillId="0" borderId="0"/>
    <xf numFmtId="182" fontId="4" fillId="0" borderId="0"/>
    <xf numFmtId="182" fontId="4" fillId="0" borderId="0"/>
    <xf numFmtId="183" fontId="41" fillId="0" borderId="0" applyFont="0" applyFill="0" applyBorder="0" applyAlignment="0" applyProtection="0">
      <protection locked="0"/>
    </xf>
    <xf numFmtId="184" fontId="40" fillId="0" borderId="0">
      <alignment horizontal="right"/>
    </xf>
    <xf numFmtId="185" fontId="40" fillId="46" borderId="0"/>
    <xf numFmtId="186" fontId="40" fillId="46" borderId="0"/>
    <xf numFmtId="187" fontId="40" fillId="46" borderId="0"/>
    <xf numFmtId="188" fontId="40"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2" fillId="0" borderId="0" applyNumberFormat="0" applyFont="0" applyFill="0" applyBorder="0" applyAlignment="0" applyProtection="0"/>
    <xf numFmtId="191" fontId="4" fillId="0" borderId="0" applyFont="0" applyFill="0" applyBorder="0" applyAlignment="0" applyProtection="0"/>
    <xf numFmtId="180" fontId="37"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3" fillId="0" borderId="0">
      <alignment horizontal="right" vertical="center"/>
    </xf>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18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5" fillId="0" borderId="0" applyFont="0" applyFill="0" applyBorder="0" applyAlignment="0" applyProtection="0"/>
    <xf numFmtId="38" fontId="45" fillId="0" borderId="0" applyFont="0" applyFill="0" applyBorder="0" applyAlignment="0" applyProtection="0"/>
    <xf numFmtId="180" fontId="44" fillId="0" borderId="0"/>
    <xf numFmtId="180" fontId="4" fillId="0" borderId="0" applyFont="0" applyFill="0" applyBorder="0" applyAlignment="0" applyProtection="0"/>
    <xf numFmtId="180" fontId="44" fillId="0" borderId="0"/>
    <xf numFmtId="180" fontId="4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applyFont="0" applyFill="0" applyBorder="0" applyAlignment="0" applyProtection="0"/>
    <xf numFmtId="0" fontId="44"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5" fillId="0" borderId="0" applyFont="0" applyFill="0" applyBorder="0" applyAlignment="0" applyProtection="0"/>
    <xf numFmtId="193" fontId="4" fillId="0" borderId="0" applyFont="0" applyFill="0" applyBorder="0" applyAlignment="0" applyProtection="0"/>
    <xf numFmtId="180" fontId="39"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4" fillId="0" borderId="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9"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9"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4" fillId="0" borderId="0"/>
    <xf numFmtId="180" fontId="37" fillId="0" borderId="0"/>
    <xf numFmtId="180" fontId="37" fillId="0" borderId="0"/>
    <xf numFmtId="38" fontId="45" fillId="0" borderId="0" applyAlignment="0" applyProtection="0"/>
    <xf numFmtId="38" fontId="45" fillId="0" borderId="0" applyFont="0" applyBorder="0" applyAlignment="0" applyProtection="0"/>
    <xf numFmtId="196" fontId="4" fillId="0" borderId="0" applyFont="0" applyFill="0" applyBorder="0" applyProtection="0">
      <alignment vertical="top"/>
    </xf>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4" fillId="0" borderId="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38" fontId="36"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6" fillId="0" borderId="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4" fillId="0" borderId="0"/>
    <xf numFmtId="197" fontId="4" fillId="0" borderId="0" applyFont="0" applyFill="0" applyBorder="0" applyAlignment="0" applyProtection="0"/>
    <xf numFmtId="180" fontId="39"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9"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4" fillId="0" borderId="0"/>
    <xf numFmtId="180" fontId="44" fillId="0" borderId="0"/>
    <xf numFmtId="180" fontId="4" fillId="0" borderId="0"/>
    <xf numFmtId="0" fontId="4" fillId="0" borderId="0" applyFont="0" applyFill="0" applyBorder="0" applyAlignment="0" applyProtection="0"/>
    <xf numFmtId="180" fontId="44" fillId="0" borderId="0"/>
    <xf numFmtId="38" fontId="36" fillId="0" borderId="0" applyAlignment="0" applyProtection="0"/>
    <xf numFmtId="180" fontId="4" fillId="0" borderId="0"/>
    <xf numFmtId="180" fontId="4" fillId="0" borderId="0"/>
    <xf numFmtId="38" fontId="45" fillId="0" borderId="0" applyFont="0" applyFill="0" applyBorder="0" applyAlignment="0" applyProtection="0"/>
    <xf numFmtId="38" fontId="45" fillId="0" borderId="0" applyFont="0" applyFill="0" applyBorder="0" applyAlignment="0" applyProtection="0"/>
    <xf numFmtId="201" fontId="4" fillId="0" borderId="0" applyFont="0" applyFill="0" applyBorder="0" applyAlignment="0" applyProtection="0"/>
    <xf numFmtId="180" fontId="39"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9"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6" fillId="0" borderId="0"/>
    <xf numFmtId="180" fontId="46" fillId="0" borderId="0"/>
    <xf numFmtId="180" fontId="46" fillId="0" borderId="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4" fillId="0" borderId="0"/>
    <xf numFmtId="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80" fontId="47" fillId="0" borderId="0" applyNumberFormat="0" applyFill="0" applyBorder="0" applyProtection="0">
      <alignment horizontal="left"/>
    </xf>
    <xf numFmtId="180" fontId="48"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6" fillId="0" borderId="0"/>
    <xf numFmtId="180" fontId="46" fillId="0" borderId="0"/>
    <xf numFmtId="204" fontId="49" fillId="0" borderId="0"/>
    <xf numFmtId="180" fontId="37" fillId="0" borderId="0"/>
    <xf numFmtId="180" fontId="37" fillId="0" borderId="0"/>
    <xf numFmtId="180" fontId="46" fillId="0" borderId="0"/>
    <xf numFmtId="180" fontId="46" fillId="0" borderId="0"/>
    <xf numFmtId="180" fontId="46" fillId="0" borderId="0"/>
    <xf numFmtId="0" fontId="4" fillId="0" borderId="0" applyFont="0" applyFill="0" applyBorder="0" applyAlignment="0" applyProtection="0"/>
    <xf numFmtId="180" fontId="4" fillId="0" borderId="0"/>
    <xf numFmtId="180" fontId="44" fillId="0" borderId="0"/>
    <xf numFmtId="204" fontId="4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50" fillId="0" borderId="0" applyFont="0" applyFill="0" applyBorder="0" applyAlignment="0" applyProtection="0"/>
    <xf numFmtId="206" fontId="37" fillId="0" borderId="0" applyFont="0" applyFill="0" applyBorder="0" applyAlignment="0" applyProtection="0"/>
    <xf numFmtId="207" fontId="51" fillId="0" borderId="0"/>
    <xf numFmtId="208" fontId="37" fillId="0" borderId="0" applyFont="0" applyFill="0" applyBorder="0" applyAlignment="0" applyProtection="0"/>
    <xf numFmtId="209" fontId="50"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9" fillId="0" borderId="0"/>
    <xf numFmtId="211" fontId="51" fillId="0" borderId="0"/>
    <xf numFmtId="211" fontId="52" fillId="0" borderId="0"/>
    <xf numFmtId="212" fontId="51" fillId="0" borderId="0"/>
    <xf numFmtId="213" fontId="41" fillId="0" borderId="0" applyFont="0" applyFill="0" applyBorder="0" applyAlignment="0" applyProtection="0">
      <protection locked="0"/>
    </xf>
    <xf numFmtId="214" fontId="53" fillId="0" borderId="0"/>
    <xf numFmtId="180" fontId="52" fillId="0" borderId="0"/>
    <xf numFmtId="214" fontId="54"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5"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5"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5"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5"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5" fillId="60" borderId="0" applyNumberFormat="0" applyBorder="0" applyAlignment="0" applyProtection="0"/>
    <xf numFmtId="215" fontId="51" fillId="0" borderId="0"/>
    <xf numFmtId="216" fontId="52" fillId="0" borderId="0"/>
    <xf numFmtId="215" fontId="56" fillId="0" borderId="0"/>
    <xf numFmtId="0" fontId="4" fillId="0" borderId="0"/>
    <xf numFmtId="0" fontId="4" fillId="0" borderId="0"/>
    <xf numFmtId="217" fontId="51"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5"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5"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5" fillId="23"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8" fillId="62"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8" fillId="21"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8" fillId="28"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8" fillId="24" borderId="0" applyNumberFormat="0" applyBorder="0" applyAlignment="0" applyProtection="0"/>
    <xf numFmtId="0" fontId="39"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8"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8"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8"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8" fillId="25" borderId="0" applyNumberFormat="0" applyBorder="0" applyAlignment="0" applyProtection="0"/>
    <xf numFmtId="218" fontId="59" fillId="0" borderId="13">
      <alignment horizontal="centerContinuous"/>
    </xf>
    <xf numFmtId="219" fontId="60" fillId="40" borderId="16">
      <alignment horizontal="center" vertical="center"/>
    </xf>
    <xf numFmtId="210" fontId="41" fillId="0" borderId="0" applyFont="0" applyFill="0" applyBorder="0" applyAlignment="0" applyProtection="0"/>
    <xf numFmtId="180" fontId="41" fillId="0" borderId="0" applyFont="0" applyFill="0" applyBorder="0" applyAlignment="0" applyProtection="0"/>
    <xf numFmtId="204" fontId="61" fillId="0" borderId="0" applyNumberFormat="0" applyFont="0" applyFill="0" applyBorder="0" applyProtection="0">
      <alignment horizontal="center"/>
    </xf>
    <xf numFmtId="220" fontId="62" fillId="0" borderId="0">
      <alignment horizontal="left"/>
    </xf>
    <xf numFmtId="0" fontId="53" fillId="0" borderId="0"/>
    <xf numFmtId="221" fontId="63" fillId="0" borderId="0" applyFont="0" applyFill="0" applyBorder="0" applyAlignment="0" applyProtection="0"/>
    <xf numFmtId="180" fontId="41" fillId="0" borderId="0" applyFont="0" applyFill="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6" fillId="55"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189" fontId="68" fillId="20" borderId="0" applyNumberFormat="0" applyBorder="0" applyAlignment="0" applyProtection="0"/>
    <xf numFmtId="222" fontId="69" fillId="75" borderId="10" applyNumberFormat="0" applyBorder="0" applyAlignment="0">
      <alignment horizontal="centerContinuous" vertical="center"/>
      <protection hidden="1"/>
    </xf>
    <xf numFmtId="1" fontId="70"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1" fillId="77" borderId="0">
      <alignment horizontal="left"/>
    </xf>
    <xf numFmtId="224" fontId="72" fillId="0" borderId="0" applyFill="0" applyBorder="0" applyAlignment="0" applyProtection="0"/>
    <xf numFmtId="2" fontId="73" fillId="50" borderId="15" applyProtection="0">
      <alignment horizontal="left"/>
      <protection locked="0"/>
    </xf>
    <xf numFmtId="180" fontId="60" fillId="40" borderId="0" applyNumberFormat="0" applyFont="0" applyAlignment="0">
      <alignment horizontal="center"/>
    </xf>
    <xf numFmtId="225" fontId="74" fillId="40" borderId="0" applyFont="0" applyFill="0" applyBorder="0" applyAlignment="0" applyProtection="0"/>
    <xf numFmtId="180" fontId="75" fillId="0" borderId="0" applyNumberFormat="0" applyFill="0" applyBorder="0" applyAlignment="0" applyProtection="0"/>
    <xf numFmtId="180" fontId="76" fillId="0" borderId="13" applyNumberFormat="0" applyFill="0" applyAlignment="0" applyProtection="0"/>
    <xf numFmtId="180" fontId="51" fillId="0" borderId="0"/>
    <xf numFmtId="226" fontId="77" fillId="45" borderId="0" applyFont="0" applyFill="0" applyBorder="0" applyAlignment="0" applyProtection="0"/>
    <xf numFmtId="227" fontId="39" fillId="0" borderId="0" applyAlignment="0" applyProtection="0"/>
    <xf numFmtId="49" fontId="49" fillId="0" borderId="0" applyNumberFormat="0" applyAlignment="0" applyProtection="0">
      <alignment horizontal="left"/>
    </xf>
    <xf numFmtId="49" fontId="78" fillId="0" borderId="17" applyNumberFormat="0" applyAlignment="0" applyProtection="0">
      <alignment horizontal="left" wrapText="1"/>
    </xf>
    <xf numFmtId="49" fontId="79" fillId="0" borderId="0" applyAlignment="0" applyProtection="0">
      <alignment horizontal="left"/>
    </xf>
    <xf numFmtId="228" fontId="37" fillId="0" borderId="0" applyFont="0" applyFill="0" applyBorder="0" applyAlignment="0" applyProtection="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1" fillId="0" borderId="0"/>
    <xf numFmtId="229" fontId="39" fillId="0" borderId="0"/>
    <xf numFmtId="230" fontId="39" fillId="0" borderId="0"/>
    <xf numFmtId="231" fontId="39" fillId="0" borderId="0"/>
    <xf numFmtId="229" fontId="39" fillId="0" borderId="12"/>
    <xf numFmtId="230" fontId="39" fillId="0" borderId="12"/>
    <xf numFmtId="230" fontId="39" fillId="0" borderId="12"/>
    <xf numFmtId="231" fontId="39" fillId="0" borderId="12"/>
    <xf numFmtId="231" fontId="39" fillId="0" borderId="12"/>
    <xf numFmtId="229" fontId="39" fillId="0" borderId="12"/>
    <xf numFmtId="229" fontId="39" fillId="0" borderId="12"/>
    <xf numFmtId="229" fontId="39" fillId="0" borderId="0"/>
    <xf numFmtId="232" fontId="39" fillId="0" borderId="0"/>
    <xf numFmtId="180" fontId="41" fillId="0" borderId="0" applyFill="0" applyBorder="0" applyAlignment="0"/>
    <xf numFmtId="233" fontId="39" fillId="0" borderId="0"/>
    <xf numFmtId="234" fontId="39" fillId="0" borderId="0"/>
    <xf numFmtId="232" fontId="39" fillId="0" borderId="12"/>
    <xf numFmtId="233" fontId="39" fillId="0" borderId="12"/>
    <xf numFmtId="233" fontId="39" fillId="0" borderId="12"/>
    <xf numFmtId="234" fontId="39" fillId="0" borderId="12"/>
    <xf numFmtId="234" fontId="39" fillId="0" borderId="12"/>
    <xf numFmtId="232" fontId="39" fillId="0" borderId="12"/>
    <xf numFmtId="232" fontId="39" fillId="0" borderId="12"/>
    <xf numFmtId="232" fontId="39" fillId="0" borderId="0"/>
    <xf numFmtId="235" fontId="39" fillId="0" borderId="0">
      <alignment horizontal="right"/>
      <protection locked="0"/>
    </xf>
    <xf numFmtId="236" fontId="39" fillId="0" borderId="0">
      <alignment horizontal="right"/>
      <protection locked="0"/>
    </xf>
    <xf numFmtId="237" fontId="39" fillId="0" borderId="0"/>
    <xf numFmtId="238" fontId="39" fillId="0" borderId="0"/>
    <xf numFmtId="239" fontId="39" fillId="0" borderId="0"/>
    <xf numFmtId="237" fontId="39" fillId="0" borderId="12"/>
    <xf numFmtId="238" fontId="39" fillId="0" borderId="12"/>
    <xf numFmtId="238" fontId="39" fillId="0" borderId="12"/>
    <xf numFmtId="239" fontId="39" fillId="0" borderId="12"/>
    <xf numFmtId="239" fontId="39" fillId="0" borderId="12"/>
    <xf numFmtId="237" fontId="39" fillId="0" borderId="12"/>
    <xf numFmtId="237" fontId="39" fillId="0" borderId="12"/>
    <xf numFmtId="237" fontId="39" fillId="0" borderId="0"/>
    <xf numFmtId="240" fontId="4" fillId="46" borderId="0"/>
    <xf numFmtId="180" fontId="4" fillId="0" borderId="0">
      <alignment vertical="center"/>
    </xf>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189" fontId="84" fillId="61" borderId="18" applyNumberFormat="0" applyAlignment="0" applyProtection="0"/>
    <xf numFmtId="189" fontId="84" fillId="61" borderId="18" applyNumberFormat="0" applyAlignment="0" applyProtection="0"/>
    <xf numFmtId="38" fontId="85" fillId="0" borderId="0" applyNumberFormat="0" applyFill="0" applyBorder="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189" fontId="87"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60" fillId="0" borderId="13">
      <alignment horizontal="center"/>
    </xf>
    <xf numFmtId="37" fontId="60" fillId="0" borderId="0">
      <alignment horizontal="center" vertical="center" wrapText="1"/>
    </xf>
    <xf numFmtId="1" fontId="88" fillId="0" borderId="20">
      <alignment vertical="top"/>
    </xf>
    <xf numFmtId="173" fontId="89" fillId="0" borderId="0" applyBorder="0">
      <alignment horizontal="right"/>
    </xf>
    <xf numFmtId="173" fontId="89" fillId="0" borderId="21" applyAlignment="0">
      <alignment horizontal="right"/>
    </xf>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38" fontId="4" fillId="0" borderId="0" applyFont="0" applyFill="0" applyBorder="0" applyAlignment="0" applyProtection="0"/>
    <xf numFmtId="204" fontId="41" fillId="0" borderId="0" applyFont="0" applyFill="0" applyBorder="0" applyAlignment="0" applyProtection="0">
      <protection locked="0"/>
    </xf>
    <xf numFmtId="40" fontId="41"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1" fillId="0" borderId="0"/>
    <xf numFmtId="242" fontId="53" fillId="0" borderId="0"/>
    <xf numFmtId="180" fontId="90" fillId="0" borderId="0" applyFont="0" applyFill="0" applyBorder="0" applyAlignment="0" applyProtection="0">
      <alignment horizontal="right"/>
    </xf>
    <xf numFmtId="243" fontId="90" fillId="0" borderId="0" applyFont="0" applyFill="0" applyBorder="0" applyAlignment="0" applyProtection="0"/>
    <xf numFmtId="180" fontId="90"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7" fillId="0" borderId="0" applyFill="0" applyBorder="0" applyProtection="0">
      <alignment horizontal="center"/>
    </xf>
    <xf numFmtId="180" fontId="91" fillId="0" borderId="0">
      <protection locked="0"/>
    </xf>
    <xf numFmtId="249" fontId="4" fillId="0" borderId="0" applyBorder="0"/>
    <xf numFmtId="250" fontId="49" fillId="0" borderId="0" applyBorder="0"/>
    <xf numFmtId="251" fontId="4" fillId="0" borderId="0" applyFill="0" applyBorder="0">
      <alignment horizontal="left"/>
    </xf>
    <xf numFmtId="180" fontId="92" fillId="0" borderId="0" applyNumberFormat="0" applyAlignment="0">
      <alignment horizontal="left"/>
    </xf>
    <xf numFmtId="37" fontId="4" fillId="80" borderId="0" applyFont="0" applyBorder="0" applyAlignment="0" applyProtection="0"/>
    <xf numFmtId="193" fontId="46" fillId="80" borderId="0" applyFont="0" applyBorder="0" applyAlignment="0" applyProtection="0"/>
    <xf numFmtId="39" fontId="46" fillId="80" borderId="0" applyFont="0" applyBorder="0" applyAlignment="0" applyProtection="0"/>
    <xf numFmtId="252" fontId="93" fillId="0" borderId="0"/>
    <xf numFmtId="253" fontId="41" fillId="0" borderId="0" applyFont="0" applyFill="0" applyBorder="0" applyAlignment="0" applyProtection="0">
      <protection locked="0"/>
    </xf>
    <xf numFmtId="254" fontId="41" fillId="0" borderId="0" applyFont="0" applyFill="0" applyBorder="0" applyAlignment="0" applyProtection="0">
      <protection locked="0"/>
    </xf>
    <xf numFmtId="255" fontId="4" fillId="0" borderId="0">
      <alignment horizontal="right"/>
    </xf>
    <xf numFmtId="180" fontId="90"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90"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4" fillId="81" borderId="0" applyAlignment="0" applyProtection="0">
      <alignment vertical="center"/>
    </xf>
    <xf numFmtId="259" fontId="40" fillId="46" borderId="15">
      <alignment horizontal="right"/>
    </xf>
    <xf numFmtId="260" fontId="37" fillId="0" borderId="0" applyFont="0" applyFill="0" applyBorder="0" applyAlignment="0" applyProtection="0"/>
    <xf numFmtId="229" fontId="39" fillId="45" borderId="22">
      <protection locked="0"/>
    </xf>
    <xf numFmtId="230" fontId="39" fillId="45" borderId="22">
      <protection locked="0"/>
    </xf>
    <xf numFmtId="231" fontId="39" fillId="45" borderId="22">
      <protection locked="0"/>
    </xf>
    <xf numFmtId="229" fontId="39" fillId="45" borderId="22">
      <protection locked="0"/>
    </xf>
    <xf numFmtId="232" fontId="39" fillId="45" borderId="22">
      <protection locked="0"/>
    </xf>
    <xf numFmtId="233" fontId="39" fillId="45" borderId="22">
      <protection locked="0"/>
    </xf>
    <xf numFmtId="234" fontId="39" fillId="45" borderId="22">
      <protection locked="0"/>
    </xf>
    <xf numFmtId="232" fontId="39" fillId="45" borderId="22">
      <protection locked="0"/>
    </xf>
    <xf numFmtId="235" fontId="39" fillId="37" borderId="22">
      <alignment horizontal="right"/>
      <protection locked="0"/>
    </xf>
    <xf numFmtId="236" fontId="39" fillId="37" borderId="22">
      <alignment horizontal="right"/>
      <protection locked="0"/>
    </xf>
    <xf numFmtId="0" fontId="39" fillId="82" borderId="22">
      <alignment horizontal="left"/>
      <protection locked="0"/>
    </xf>
    <xf numFmtId="49" fontId="39" fillId="38" borderId="22">
      <alignment horizontal="left" vertical="top" wrapText="1"/>
      <protection locked="0"/>
    </xf>
    <xf numFmtId="237" fontId="39" fillId="45" borderId="22">
      <protection locked="0"/>
    </xf>
    <xf numFmtId="238" fontId="39" fillId="45" borderId="22">
      <protection locked="0"/>
    </xf>
    <xf numFmtId="239" fontId="39" fillId="45" borderId="22">
      <protection locked="0"/>
    </xf>
    <xf numFmtId="237" fontId="39" fillId="45" borderId="22">
      <protection locked="0"/>
    </xf>
    <xf numFmtId="49" fontId="39" fillId="38" borderId="22">
      <alignment horizontal="left"/>
      <protection locked="0"/>
    </xf>
    <xf numFmtId="261" fontId="39"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90" fillId="0" borderId="0" applyFont="0" applyFill="0" applyBorder="0" applyAlignment="0" applyProtection="0"/>
    <xf numFmtId="264" fontId="4" fillId="0" borderId="0" applyFont="0" applyFill="0" applyBorder="0" applyAlignment="0" applyProtection="0"/>
    <xf numFmtId="180" fontId="90" fillId="0" borderId="0" applyFont="0" applyFill="0" applyBorder="0" applyAlignment="0" applyProtection="0"/>
    <xf numFmtId="180" fontId="89"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3" fillId="0" borderId="0">
      <alignment horizontal="right"/>
    </xf>
    <xf numFmtId="207" fontId="53" fillId="0" borderId="0">
      <alignment horizontal="right"/>
      <protection locked="0"/>
    </xf>
    <xf numFmtId="207" fontId="53" fillId="0" borderId="0"/>
    <xf numFmtId="269" fontId="53" fillId="0" borderId="0">
      <alignment horizontal="right"/>
      <protection locked="0"/>
    </xf>
    <xf numFmtId="207" fontId="54" fillId="0" borderId="0"/>
    <xf numFmtId="270" fontId="49"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1" fillId="46" borderId="0" applyNumberFormat="0" applyFont="0" applyBorder="0" applyAlignment="0" applyProtection="0"/>
    <xf numFmtId="254" fontId="37" fillId="0" borderId="0" applyFill="0" applyBorder="0" applyProtection="0">
      <alignment horizontal="center"/>
    </xf>
    <xf numFmtId="253" fontId="37" fillId="0" borderId="0">
      <alignment horizontal="center"/>
    </xf>
    <xf numFmtId="254" fontId="37" fillId="0" borderId="0" applyFill="0" applyBorder="0" applyProtection="0">
      <alignment horizontal="center"/>
    </xf>
    <xf numFmtId="251" fontId="95" fillId="0" borderId="0">
      <alignment horizontal="center"/>
    </xf>
    <xf numFmtId="180" fontId="90" fillId="0" borderId="24" applyNumberFormat="0" applyFont="0" applyFill="0" applyAlignment="0" applyProtection="0"/>
    <xf numFmtId="210" fontId="96" fillId="0" borderId="25"/>
    <xf numFmtId="211" fontId="53" fillId="0" borderId="0"/>
    <xf numFmtId="38" fontId="45" fillId="0" borderId="0" applyFont="0" applyFill="0" applyBorder="0" applyAlignment="0" applyProtection="0"/>
    <xf numFmtId="180" fontId="97" fillId="0" borderId="0" applyFont="0" applyFill="0" applyBorder="0" applyAlignment="0" applyProtection="0"/>
    <xf numFmtId="180" fontId="98" fillId="0" borderId="0" applyNumberFormat="0" applyAlignment="0">
      <alignment horizontal="left"/>
    </xf>
    <xf numFmtId="272" fontId="40" fillId="0" borderId="0"/>
    <xf numFmtId="273" fontId="40" fillId="0" borderId="0"/>
    <xf numFmtId="274" fontId="40" fillId="0" borderId="0"/>
    <xf numFmtId="275" fontId="40" fillId="0" borderId="0"/>
    <xf numFmtId="276" fontId="40" fillId="0" borderId="0"/>
    <xf numFmtId="277" fontId="40" fillId="0" borderId="0"/>
    <xf numFmtId="189" fontId="45"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9" fontId="101" fillId="0" borderId="0" applyNumberFormat="0" applyFill="0" applyBorder="0" applyAlignment="0" applyProtection="0"/>
    <xf numFmtId="0" fontId="37" fillId="79" borderId="0" applyNumberFormat="0" applyFont="0" applyBorder="0" applyAlignment="0" applyProtection="0"/>
    <xf numFmtId="0" fontId="37" fillId="79" borderId="0" applyNumberFormat="0" applyFont="0" applyBorder="0" applyAlignment="0" applyProtection="0"/>
    <xf numFmtId="0" fontId="102" fillId="0" borderId="0" applyNumberFormat="0" applyFill="0" applyBorder="0" applyAlignment="0" applyProtection="0"/>
    <xf numFmtId="281" fontId="103" fillId="0" borderId="0" applyFill="0" applyBorder="0"/>
    <xf numFmtId="15" fontId="13" fillId="0" borderId="0" applyFill="0" applyBorder="0" applyProtection="0">
      <alignment horizontal="center"/>
    </xf>
    <xf numFmtId="0" fontId="37" fillId="20" borderId="0" applyNumberFormat="0" applyFont="0" applyBorder="0" applyAlignment="0" applyProtection="0"/>
    <xf numFmtId="0" fontId="37" fillId="20" borderId="0" applyNumberFormat="0" applyFont="0" applyBorder="0" applyAlignment="0" applyProtection="0"/>
    <xf numFmtId="282" fontId="104" fillId="0" borderId="0" applyFill="0" applyBorder="0" applyProtection="0"/>
    <xf numFmtId="283" fontId="14" fillId="61" borderId="4" applyAlignment="0" applyProtection="0"/>
    <xf numFmtId="283" fontId="14" fillId="61" borderId="4" applyAlignment="0" applyProtection="0"/>
    <xf numFmtId="284" fontId="105" fillId="0" borderId="0" applyNumberFormat="0" applyFill="0" applyBorder="0" applyAlignment="0" applyProtection="0"/>
    <xf numFmtId="284" fontId="106" fillId="0" borderId="0" applyNumberFormat="0" applyFill="0" applyBorder="0" applyAlignment="0" applyProtection="0"/>
    <xf numFmtId="15" fontId="102" fillId="45" borderId="22">
      <alignment horizontal="center"/>
      <protection locked="0"/>
    </xf>
    <xf numFmtId="285" fontId="102" fillId="45" borderId="22" applyAlignment="0">
      <protection locked="0"/>
    </xf>
    <xf numFmtId="286" fontId="102"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28" borderId="0" applyNumberFormat="0" applyFont="0" applyBorder="0" applyAlignment="0" applyProtection="0"/>
    <xf numFmtId="0" fontId="37"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7" fillId="84" borderId="28" applyNumberFormat="0" applyBorder="0" applyAlignment="0">
      <alignment horizontal="centerContinuous" vertical="center"/>
      <protection locked="0"/>
    </xf>
    <xf numFmtId="180" fontId="91" fillId="0" borderId="0">
      <protection locked="0"/>
    </xf>
    <xf numFmtId="251" fontId="108" fillId="0" borderId="0"/>
    <xf numFmtId="251" fontId="108" fillId="0" borderId="0"/>
    <xf numFmtId="180" fontId="109" fillId="0" borderId="0"/>
    <xf numFmtId="180" fontId="110" fillId="0" borderId="0" applyFill="0" applyBorder="0" applyProtection="0">
      <alignment horizontal="left"/>
    </xf>
    <xf numFmtId="4" fontId="111" fillId="0" borderId="0">
      <protection locked="0"/>
    </xf>
    <xf numFmtId="0" fontId="94" fillId="19" borderId="0" applyAlignment="0" applyProtection="0">
      <alignment horizontal="right" vertical="center"/>
    </xf>
    <xf numFmtId="252" fontId="112" fillId="0" borderId="0"/>
    <xf numFmtId="273" fontId="40" fillId="0" borderId="29"/>
    <xf numFmtId="291" fontId="40" fillId="46" borderId="15">
      <alignment horizontal="right"/>
    </xf>
    <xf numFmtId="292" fontId="4" fillId="0" borderId="0" applyFont="0" applyFill="0" applyBorder="0" applyAlignment="0" applyProtection="0"/>
    <xf numFmtId="293" fontId="113" fillId="0" borderId="0" applyFont="0" applyFill="0" applyBorder="0" applyAlignment="0" applyProtection="0"/>
    <xf numFmtId="294" fontId="4" fillId="0" borderId="0" applyFont="0" applyFill="0" applyBorder="0" applyAlignment="0" applyProtection="0"/>
    <xf numFmtId="295" fontId="113"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189" fontId="115" fillId="57" borderId="0" applyNumberFormat="0" applyBorder="0" applyAlignment="0" applyProtection="0"/>
    <xf numFmtId="2" fontId="116" fillId="50" borderId="15" applyProtection="0">
      <alignment horizontal="left"/>
      <protection locked="0"/>
    </xf>
    <xf numFmtId="38" fontId="49" fillId="46" borderId="0" applyNumberFormat="0" applyBorder="0" applyAlignment="0" applyProtection="0"/>
    <xf numFmtId="0" fontId="4" fillId="61" borderId="0" applyNumberFormat="0" applyFont="0" applyBorder="0" applyAlignment="0" applyProtection="0"/>
    <xf numFmtId="296" fontId="89" fillId="36" borderId="30" applyNumberFormat="0" applyFont="0" applyAlignment="0"/>
    <xf numFmtId="180" fontId="90" fillId="0" borderId="0" applyFont="0" applyFill="0" applyBorder="0" applyAlignment="0" applyProtection="0">
      <alignment horizontal="right"/>
    </xf>
    <xf numFmtId="180" fontId="117" fillId="0" borderId="0" applyProtection="0">
      <alignment horizontal="right"/>
    </xf>
    <xf numFmtId="180" fontId="74" fillId="0" borderId="31" applyNumberFormat="0" applyAlignment="0" applyProtection="0">
      <alignment horizontal="left" vertical="center"/>
    </xf>
    <xf numFmtId="180" fontId="74" fillId="0" borderId="32">
      <alignment horizontal="left" vertical="center"/>
    </xf>
    <xf numFmtId="2" fontId="70" fillId="76" borderId="0" applyAlignment="0">
      <alignment horizontal="right"/>
      <protection locked="0"/>
    </xf>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189" fontId="120" fillId="0" borderId="34"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189" fontId="123" fillId="0" borderId="35"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189" fontId="126" fillId="0" borderId="36" applyNumberFormat="0" applyFill="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89" fontId="126" fillId="0" borderId="0" applyNumberFormat="0" applyFill="0" applyBorder="0" applyAlignment="0" applyProtection="0"/>
    <xf numFmtId="180" fontId="37" fillId="0" borderId="0">
      <protection locked="0"/>
    </xf>
    <xf numFmtId="180" fontId="37" fillId="0" borderId="0">
      <protection locked="0"/>
    </xf>
    <xf numFmtId="297" fontId="127" fillId="0" borderId="0">
      <alignment horizontal="right"/>
    </xf>
    <xf numFmtId="298" fontId="57" fillId="0" borderId="0" applyAlignment="0">
      <alignment horizontal="right"/>
      <protection hidden="1"/>
    </xf>
    <xf numFmtId="180" fontId="102" fillId="0" borderId="37" applyNumberFormat="0" applyFill="0" applyAlignment="0" applyProtection="0"/>
    <xf numFmtId="204" fontId="128"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89" fontId="132"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9" fontId="136" fillId="0" borderId="0" applyNumberFormat="0" applyFill="0" applyBorder="0" applyAlignment="0" applyProtection="0">
      <alignment vertical="top"/>
      <protection locked="0"/>
    </xf>
    <xf numFmtId="180" fontId="137" fillId="0" borderId="0">
      <alignment wrapText="1"/>
    </xf>
    <xf numFmtId="10" fontId="49" fillId="36" borderId="30" applyNumberFormat="0" applyBorder="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189" fontId="140" fillId="60" borderId="38" applyNumberFormat="0" applyAlignment="0" applyProtection="0"/>
    <xf numFmtId="189" fontId="140" fillId="60" borderId="38" applyNumberFormat="0" applyAlignment="0" applyProtection="0"/>
    <xf numFmtId="0" fontId="49" fillId="0" borderId="0" applyNumberFormat="0" applyFill="0" applyBorder="0" applyAlignment="0">
      <protection locked="0"/>
    </xf>
    <xf numFmtId="0" fontId="141" fillId="34" borderId="0"/>
    <xf numFmtId="240" fontId="60" fillId="86" borderId="0">
      <protection locked="0"/>
    </xf>
    <xf numFmtId="299" fontId="37" fillId="0" borderId="0"/>
    <xf numFmtId="0" fontId="142" fillId="0" borderId="0"/>
    <xf numFmtId="38" fontId="143" fillId="0" borderId="0"/>
    <xf numFmtId="38" fontId="144" fillId="0" borderId="0"/>
    <xf numFmtId="38" fontId="145" fillId="0" borderId="0"/>
    <xf numFmtId="38" fontId="146" fillId="0" borderId="0"/>
    <xf numFmtId="0" fontId="63" fillId="0" borderId="0"/>
    <xf numFmtId="0" fontId="63" fillId="0" borderId="0"/>
    <xf numFmtId="0" fontId="63" fillId="0" borderId="0"/>
    <xf numFmtId="0" fontId="39" fillId="0" borderId="0"/>
    <xf numFmtId="0" fontId="147" fillId="0" borderId="0"/>
    <xf numFmtId="0" fontId="148" fillId="0" borderId="0">
      <alignment horizontal="center"/>
    </xf>
    <xf numFmtId="300" fontId="149" fillId="0" borderId="0" applyFont="0" applyFill="0" applyBorder="0" applyAlignment="0" applyProtection="0"/>
    <xf numFmtId="180" fontId="4" fillId="0" borderId="0" applyNumberFormat="0" applyFont="0" applyFill="0" applyBorder="0" applyProtection="0">
      <alignment horizontal="left" vertical="center"/>
    </xf>
    <xf numFmtId="168" fontId="32" fillId="2" borderId="0"/>
    <xf numFmtId="168" fontId="33" fillId="53" borderId="0"/>
    <xf numFmtId="180" fontId="49" fillId="46" borderId="0"/>
    <xf numFmtId="38" fontId="150" fillId="0" borderId="0" applyNumberFormat="0" applyFill="0" applyBorder="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189" fontId="153" fillId="0" borderId="40" applyNumberFormat="0" applyFill="0" applyAlignment="0" applyProtection="0"/>
    <xf numFmtId="0" fontId="94" fillId="87" borderId="0" applyAlignment="0" applyProtection="0">
      <alignment horizontal="right" vertical="center"/>
    </xf>
    <xf numFmtId="197" fontId="50" fillId="0" borderId="0" applyFont="0" applyFill="0" applyBorder="0" applyAlignment="0" applyProtection="0">
      <alignment horizontal="right"/>
    </xf>
    <xf numFmtId="301"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302"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40" fontId="154" fillId="0" borderId="0">
      <alignment horizontal="right"/>
    </xf>
    <xf numFmtId="37" fontId="155" fillId="0" borderId="0"/>
    <xf numFmtId="180" fontId="156"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40" fillId="0" borderId="0">
      <alignment horizontal="right"/>
    </xf>
    <xf numFmtId="180" fontId="157" fillId="0" borderId="21"/>
    <xf numFmtId="305" fontId="45" fillId="0" borderId="0" applyFont="0" applyFill="0" applyBorder="0" applyAlignment="0" applyProtection="0"/>
    <xf numFmtId="306" fontId="45"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9" fillId="36" borderId="0">
      <alignment horizontal="center"/>
    </xf>
    <xf numFmtId="308" fontId="37" fillId="0" borderId="0" applyFill="0" applyBorder="0" applyProtection="0">
      <alignment horizontal="center"/>
    </xf>
    <xf numFmtId="309" fontId="37" fillId="0" borderId="0" applyFont="0" applyFill="0" applyBorder="0" applyAlignment="0" applyProtection="0">
      <alignment horizontal="centerContinuous"/>
      <protection locked="0"/>
    </xf>
    <xf numFmtId="49" fontId="158" fillId="81" borderId="0" applyAlignment="0" applyProtection="0">
      <alignment horizontal="centerContinuous" vertical="center"/>
    </xf>
    <xf numFmtId="310" fontId="49" fillId="0" borderId="0" applyFont="0" applyFill="0" applyBorder="0" applyAlignment="0" applyProtection="0">
      <alignment horizontal="right"/>
    </xf>
    <xf numFmtId="0" fontId="77" fillId="0" borderId="0">
      <alignment horizontal="right"/>
    </xf>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189" fontId="160" fillId="18" borderId="0" applyNumberFormat="0" applyBorder="0" applyAlignment="0" applyProtection="0"/>
    <xf numFmtId="37" fontId="161" fillId="0" borderId="0"/>
    <xf numFmtId="297" fontId="162" fillId="0" borderId="0"/>
    <xf numFmtId="311" fontId="41" fillId="0" borderId="0"/>
    <xf numFmtId="311" fontId="41" fillId="0" borderId="13"/>
    <xf numFmtId="311" fontId="41" fillId="0" borderId="41"/>
    <xf numFmtId="311" fontId="41" fillId="0" borderId="0"/>
    <xf numFmtId="312" fontId="53" fillId="0" borderId="0"/>
    <xf numFmtId="313" fontId="53" fillId="0" borderId="0"/>
    <xf numFmtId="314" fontId="53" fillId="0" borderId="0"/>
    <xf numFmtId="315" fontId="49" fillId="0" borderId="0"/>
    <xf numFmtId="316" fontId="49"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1" fillId="0" borderId="41"/>
    <xf numFmtId="0" fontId="102" fillId="0" borderId="0" applyFill="0" applyBorder="0">
      <protection locked="0"/>
    </xf>
    <xf numFmtId="180" fontId="4" fillId="0" borderId="0"/>
    <xf numFmtId="180" fontId="164" fillId="0" borderId="0"/>
    <xf numFmtId="180" fontId="165" fillId="0" borderId="0"/>
    <xf numFmtId="180" fontId="166" fillId="0" borderId="0"/>
    <xf numFmtId="180" fontId="167" fillId="0" borderId="0"/>
    <xf numFmtId="180" fontId="46" fillId="0" borderId="0"/>
    <xf numFmtId="38" fontId="168"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9"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6" fillId="50" borderId="44" applyNumberFormat="0">
      <alignment vertical="center"/>
    </xf>
    <xf numFmtId="318" fontId="36" fillId="88" borderId="44" applyNumberFormat="0">
      <alignment vertical="center"/>
    </xf>
    <xf numFmtId="318" fontId="36" fillId="40" borderId="44" applyNumberFormat="0">
      <alignment vertical="center"/>
    </xf>
    <xf numFmtId="318" fontId="36" fillId="38" borderId="44" applyNumberFormat="0">
      <alignment vertical="center"/>
    </xf>
    <xf numFmtId="318" fontId="36" fillId="89" borderId="44" applyNumberFormat="0">
      <alignment vertical="center"/>
    </xf>
    <xf numFmtId="318" fontId="36" fillId="46" borderId="44" applyNumberFormat="0">
      <alignment vertical="center"/>
    </xf>
    <xf numFmtId="318" fontId="36" fillId="90" borderId="44" applyNumberFormat="0">
      <alignment vertical="center"/>
    </xf>
    <xf numFmtId="318" fontId="36" fillId="80" borderId="44" applyNumberFormat="0">
      <alignment vertical="center"/>
    </xf>
    <xf numFmtId="318" fontId="36" fillId="91" borderId="44" applyNumberFormat="0">
      <alignment vertical="center"/>
    </xf>
    <xf numFmtId="318" fontId="36" fillId="92" borderId="44" applyNumberFormat="0">
      <alignment vertical="center"/>
    </xf>
    <xf numFmtId="318" fontId="170" fillId="45" borderId="44">
      <protection locked="0"/>
    </xf>
    <xf numFmtId="318" fontId="170" fillId="37" borderId="44">
      <protection locked="0"/>
    </xf>
    <xf numFmtId="318" fontId="171" fillId="37" borderId="45" applyNumberFormat="0" applyFont="0" applyFill="0" applyAlignment="0" applyProtection="0">
      <protection locked="0"/>
    </xf>
    <xf numFmtId="318" fontId="77" fillId="0" borderId="0" applyNumberFormat="0" applyFill="0">
      <alignment horizontal="left" vertical="top"/>
    </xf>
    <xf numFmtId="0" fontId="172" fillId="93" borderId="0" applyNumberFormat="0">
      <alignment horizontal="left" vertical="center" indent="1"/>
    </xf>
    <xf numFmtId="0" fontId="173" fillId="94" borderId="0" applyNumberFormat="0">
      <alignment vertical="center"/>
    </xf>
    <xf numFmtId="0" fontId="74" fillId="46" borderId="0">
      <alignment vertical="center"/>
    </xf>
    <xf numFmtId="0" fontId="174" fillId="0" borderId="46">
      <alignment vertical="center"/>
    </xf>
    <xf numFmtId="0" fontId="35" fillId="95" borderId="30" applyNumberFormat="0" applyFont="0" applyAlignment="0">
      <alignment vertical="center"/>
    </xf>
    <xf numFmtId="0" fontId="35" fillId="45" borderId="30" applyNumberFormat="0" applyFont="0" applyAlignment="0">
      <alignment vertical="center"/>
    </xf>
    <xf numFmtId="0" fontId="35" fillId="37" borderId="30" applyNumberFormat="0" applyFont="0" applyAlignment="0">
      <alignment vertical="center"/>
    </xf>
    <xf numFmtId="0" fontId="35"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5" fillId="0" borderId="0">
      <alignment horizontal="left"/>
    </xf>
    <xf numFmtId="3" fontId="176" fillId="0" borderId="0" applyFill="0" applyBorder="0" applyAlignment="0" applyProtection="0"/>
    <xf numFmtId="180" fontId="177" fillId="12" borderId="47" applyNumberFormat="0" applyBorder="0" applyAlignment="0">
      <alignment horizontal="center"/>
      <protection hidden="1"/>
    </xf>
    <xf numFmtId="180" fontId="178" fillId="0" borderId="47" applyNumberFormat="0" applyBorder="0" applyAlignment="0">
      <alignment horizontal="center"/>
      <protection locked="0"/>
    </xf>
    <xf numFmtId="2" fontId="179" fillId="50" borderId="15">
      <alignment horizontal="left"/>
    </xf>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189" fontId="181" fillId="61" borderId="48" applyNumberFormat="0" applyAlignment="0" applyProtection="0"/>
    <xf numFmtId="189" fontId="181" fillId="61" borderId="48" applyNumberFormat="0" applyAlignment="0" applyProtection="0"/>
    <xf numFmtId="40" fontId="13" fillId="33" borderId="0">
      <alignment horizontal="right"/>
    </xf>
    <xf numFmtId="180" fontId="182" fillId="98" borderId="0">
      <alignment horizontal="center"/>
    </xf>
    <xf numFmtId="180" fontId="183" fillId="99" borderId="0"/>
    <xf numFmtId="180" fontId="184" fillId="33" borderId="0" applyBorder="0">
      <alignment horizontal="centerContinuous"/>
    </xf>
    <xf numFmtId="180" fontId="185"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7" fillId="100" borderId="0" applyNumberFormat="0" applyFont="0" applyBorder="0" applyAlignment="0"/>
    <xf numFmtId="1" fontId="186" fillId="0" borderId="0" applyProtection="0">
      <alignment horizontal="right" vertical="center"/>
    </xf>
    <xf numFmtId="193" fontId="187" fillId="0" borderId="0">
      <alignment horizontal="left"/>
    </xf>
    <xf numFmtId="320" fontId="40" fillId="0" borderId="0"/>
    <xf numFmtId="321" fontId="40" fillId="0" borderId="0"/>
    <xf numFmtId="255" fontId="4" fillId="0" borderId="0" applyFont="0" applyFill="0" applyBorder="0" applyAlignment="0" applyProtection="0"/>
    <xf numFmtId="322" fontId="4" fillId="0" borderId="0" applyFont="0" applyFill="0" applyBorder="0" applyAlignment="0" applyProtection="0"/>
    <xf numFmtId="170" fontId="41" fillId="0" borderId="0" applyFont="0" applyFill="0" applyBorder="0" applyAlignment="0" applyProtection="0">
      <protection locked="0"/>
    </xf>
    <xf numFmtId="10" fontId="41"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3"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60" fillId="80" borderId="0" applyBorder="0" applyAlignment="0">
      <protection locked="0"/>
    </xf>
    <xf numFmtId="9" fontId="53" fillId="0" borderId="0"/>
    <xf numFmtId="170" fontId="53" fillId="0" borderId="0"/>
    <xf numFmtId="10" fontId="53" fillId="0" borderId="0"/>
    <xf numFmtId="325" fontId="4" fillId="0" borderId="0" applyFont="0" applyFill="0" applyBorder="0" applyAlignment="0" applyProtection="0"/>
    <xf numFmtId="326" fontId="51" fillId="0" borderId="0"/>
    <xf numFmtId="327" fontId="51" fillId="0" borderId="0"/>
    <xf numFmtId="327" fontId="53" fillId="0" borderId="0"/>
    <xf numFmtId="328" fontId="4" fillId="0" borderId="0" applyBorder="0">
      <alignment horizontal="right"/>
    </xf>
    <xf numFmtId="329" fontId="49"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40" fillId="0" borderId="0">
      <alignment horizontal="right"/>
    </xf>
    <xf numFmtId="40" fontId="4" fillId="0" borderId="0"/>
    <xf numFmtId="1" fontId="188" fillId="46" borderId="0">
      <alignment horizontal="center"/>
    </xf>
    <xf numFmtId="18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80" fontId="189" fillId="0" borderId="21">
      <alignment horizontal="center"/>
    </xf>
    <xf numFmtId="3" fontId="45" fillId="0" borderId="0" applyFont="0" applyFill="0" applyBorder="0" applyAlignment="0" applyProtection="0"/>
    <xf numFmtId="180" fontId="45" fillId="102" borderId="0" applyNumberFormat="0" applyFont="0" applyBorder="0" applyAlignment="0" applyProtection="0"/>
    <xf numFmtId="333" fontId="40" fillId="46" borderId="0"/>
    <xf numFmtId="334" fontId="15" fillId="46" borderId="0" applyFill="0"/>
    <xf numFmtId="180" fontId="190" fillId="0" borderId="0">
      <alignment horizontal="left" indent="7"/>
    </xf>
    <xf numFmtId="180" fontId="15" fillId="0" borderId="0" applyFill="0">
      <alignment horizontal="left" indent="7"/>
    </xf>
    <xf numFmtId="334" fontId="60" fillId="0" borderId="32">
      <alignment horizontal="right"/>
    </xf>
    <xf numFmtId="180" fontId="60" fillId="0" borderId="30" applyNumberFormat="0" applyFont="0" applyBorder="0">
      <alignment horizontal="right"/>
    </xf>
    <xf numFmtId="180" fontId="191" fillId="0" borderId="0" applyFill="0"/>
    <xf numFmtId="180" fontId="60" fillId="0" borderId="0" applyFill="0"/>
    <xf numFmtId="334" fontId="12" fillId="0" borderId="32" applyFill="0"/>
    <xf numFmtId="180" fontId="4" fillId="0" borderId="0" applyNumberFormat="0" applyFont="0" applyBorder="0" applyAlignment="0"/>
    <xf numFmtId="180" fontId="192" fillId="0" borderId="0" applyFill="0">
      <alignment horizontal="left" indent="1"/>
    </xf>
    <xf numFmtId="180" fontId="12" fillId="0" borderId="0">
      <alignment horizontal="left" indent="1"/>
    </xf>
    <xf numFmtId="334" fontId="60" fillId="0" borderId="32" applyFill="0"/>
    <xf numFmtId="180" fontId="4" fillId="0" borderId="0" applyNumberFormat="0" applyFont="0" applyFill="0" applyBorder="0" applyAlignment="0"/>
    <xf numFmtId="180" fontId="191" fillId="0" borderId="0" applyFill="0">
      <alignment horizontal="left" indent="2"/>
    </xf>
    <xf numFmtId="180" fontId="60" fillId="0" borderId="0" applyFill="0">
      <alignment horizontal="left" indent="2"/>
    </xf>
    <xf numFmtId="334" fontId="12" fillId="0" borderId="32" applyFill="0"/>
    <xf numFmtId="180" fontId="4" fillId="0" borderId="0" applyNumberFormat="0" applyFont="0" applyBorder="0" applyAlignment="0"/>
    <xf numFmtId="180" fontId="192" fillId="0" borderId="0">
      <alignment horizontal="left" indent="3"/>
    </xf>
    <xf numFmtId="180" fontId="12" fillId="0" borderId="0" applyFill="0">
      <alignment horizontal="left" indent="3"/>
    </xf>
    <xf numFmtId="334" fontId="60" fillId="0" borderId="32" applyFill="0"/>
    <xf numFmtId="180" fontId="4" fillId="0" borderId="0" applyNumberFormat="0" applyFont="0" applyBorder="0" applyAlignment="0"/>
    <xf numFmtId="180" fontId="191" fillId="0" borderId="0">
      <alignment horizontal="left" indent="4"/>
    </xf>
    <xf numFmtId="180" fontId="60" fillId="0" borderId="0" applyFill="0">
      <alignment horizontal="left" indent="4"/>
    </xf>
    <xf numFmtId="334" fontId="12" fillId="0" borderId="32" applyFill="0"/>
    <xf numFmtId="180" fontId="4" fillId="0" borderId="0" applyNumberFormat="0" applyFont="0" applyBorder="0" applyAlignment="0"/>
    <xf numFmtId="180" fontId="192" fillId="0" borderId="0">
      <alignment horizontal="left" indent="5"/>
    </xf>
    <xf numFmtId="180" fontId="12" fillId="0" borderId="0" applyFill="0">
      <alignment horizontal="left" indent="5"/>
    </xf>
    <xf numFmtId="334" fontId="60" fillId="0" borderId="32" applyFill="0"/>
    <xf numFmtId="180" fontId="4" fillId="0" borderId="0" applyNumberFormat="0" applyFont="0" applyFill="0" applyBorder="0" applyAlignment="0"/>
    <xf numFmtId="180" fontId="60" fillId="0" borderId="0" applyFill="0">
      <alignment horizontal="left" indent="6"/>
    </xf>
    <xf numFmtId="335" fontId="40" fillId="46" borderId="15">
      <alignment horizontal="right"/>
    </xf>
    <xf numFmtId="0" fontId="193" fillId="0" borderId="0"/>
    <xf numFmtId="14" fontId="194"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5"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7"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98"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4" fontId="199"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9" fillId="103" borderId="0" applyNumberFormat="0" applyProtection="0">
      <alignment horizontal="left" vertical="center" indent="1"/>
    </xf>
    <xf numFmtId="4" fontId="199"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99"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99"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99"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99"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99"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99"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99"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99"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99"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99"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3" fillId="30" borderId="0" applyNumberFormat="0" applyProtection="0">
      <alignment horizontal="left" vertical="center" indent="1"/>
    </xf>
    <xf numFmtId="4" fontId="49" fillId="30" borderId="51" applyNumberFormat="0" applyProtection="0">
      <alignment horizontal="left" vertical="center" indent="1"/>
    </xf>
    <xf numFmtId="4" fontId="13" fillId="19" borderId="0" applyNumberFormat="0" applyProtection="0">
      <alignment horizontal="left" vertical="center" indent="1"/>
    </xf>
    <xf numFmtId="4" fontId="49"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9"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9"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9"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9"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9"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9"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9"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9"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9" fillId="33" borderId="53" applyNumberFormat="0">
      <protection locked="0"/>
    </xf>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200"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200"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180" fontId="49"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1" fillId="107" borderId="6" applyNumberFormat="0" applyProtection="0">
      <alignment horizontal="right" vertical="center"/>
    </xf>
    <xf numFmtId="38" fontId="202" fillId="0" borderId="56">
      <alignment horizontal="center"/>
    </xf>
    <xf numFmtId="180" fontId="203" fillId="110" borderId="0"/>
    <xf numFmtId="180" fontId="74" fillId="0" borderId="0"/>
    <xf numFmtId="38" fontId="45" fillId="0" borderId="0" applyFont="0" applyFill="0" applyBorder="0" applyAlignment="0" applyProtection="0"/>
    <xf numFmtId="40" fontId="142" fillId="0" borderId="0" applyFont="0" applyFill="0" applyBorder="0" applyAlignment="0" applyProtection="0"/>
    <xf numFmtId="317" fontId="51" fillId="111" borderId="0" applyFont="0"/>
    <xf numFmtId="180" fontId="204"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5" fillId="0" borderId="0">
      <alignment textRotation="90"/>
    </xf>
    <xf numFmtId="0" fontId="94" fillId="81" borderId="0" applyAlignment="0" applyProtection="0">
      <alignment horizontal="right" vertical="center"/>
    </xf>
    <xf numFmtId="190" fontId="54"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38" fontId="4" fillId="0" borderId="0" applyFont="0" applyFill="0" applyBorder="0" applyAlignment="0" applyProtection="0"/>
    <xf numFmtId="180" fontId="4" fillId="0" borderId="0">
      <alignment vertical="top"/>
    </xf>
    <xf numFmtId="180" fontId="206" fillId="50" borderId="0" applyNumberFormat="0" applyProtection="0">
      <alignment horizontal="center" vertical="center"/>
    </xf>
    <xf numFmtId="4" fontId="13" fillId="50" borderId="0" applyProtection="0">
      <alignment horizontal="center" vertical="center"/>
    </xf>
    <xf numFmtId="180" fontId="207" fillId="50" borderId="0" applyNumberFormat="0" applyProtection="0">
      <alignment horizontal="center" vertical="center"/>
    </xf>
    <xf numFmtId="4" fontId="15" fillId="50" borderId="0" applyProtection="0">
      <alignment horizontal="center" vertical="center"/>
    </xf>
    <xf numFmtId="180" fontId="208" fillId="113" borderId="0" applyNumberFormat="0" applyProtection="0">
      <alignment horizontal="center" vertical="center"/>
    </xf>
    <xf numFmtId="4" fontId="17" fillId="113" borderId="0" applyProtection="0">
      <alignment horizontal="center" vertical="center"/>
    </xf>
    <xf numFmtId="180" fontId="205" fillId="50" borderId="0" applyNumberFormat="0" applyProtection="0">
      <alignment horizontal="center" vertical="center"/>
    </xf>
    <xf numFmtId="4" fontId="209" fillId="50" borderId="0" applyProtection="0">
      <alignment horizontal="center" vertical="center"/>
    </xf>
    <xf numFmtId="180" fontId="210" fillId="114" borderId="0" applyNumberFormat="0" applyProtection="0">
      <alignment horizontal="center" vertical="center"/>
    </xf>
    <xf numFmtId="4" fontId="57"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7" fillId="113" borderId="0" applyNumberFormat="0" applyProtection="0">
      <alignment horizontal="center" vertical="center" wrapText="1"/>
    </xf>
    <xf numFmtId="180" fontId="211" fillId="50" borderId="0" applyNumberFormat="0" applyProtection="0">
      <alignment horizontal="center" vertical="center" wrapText="1"/>
    </xf>
    <xf numFmtId="180" fontId="11" fillId="50" borderId="0" applyNumberFormat="0" applyProtection="0">
      <alignment horizontal="center" vertical="center" wrapText="1"/>
    </xf>
    <xf numFmtId="4" fontId="212" fillId="50" borderId="0" applyProtection="0">
      <alignment horizontal="center" vertical="top" wrapText="1"/>
    </xf>
    <xf numFmtId="180" fontId="12" fillId="50" borderId="0" applyNumberFormat="0" applyProtection="0">
      <alignment horizontal="center" vertical="center" wrapText="1"/>
    </xf>
    <xf numFmtId="4" fontId="213" fillId="50" borderId="0" applyProtection="0">
      <alignment horizontal="center" vertical="top" wrapText="1"/>
    </xf>
    <xf numFmtId="180" fontId="137" fillId="113" borderId="0" applyNumberFormat="0" applyProtection="0">
      <alignment horizontal="center" vertical="center" wrapText="1"/>
    </xf>
    <xf numFmtId="4" fontId="214" fillId="113" borderId="0" applyProtection="0">
      <alignment horizontal="center" vertical="top" wrapText="1"/>
    </xf>
    <xf numFmtId="180" fontId="211" fillId="50" borderId="0" applyNumberFormat="0" applyProtection="0">
      <alignment horizontal="center" vertical="center" wrapText="1"/>
    </xf>
    <xf numFmtId="4" fontId="215" fillId="50" borderId="0" applyProtection="0">
      <alignment horizontal="center" vertical="top" wrapText="1"/>
    </xf>
    <xf numFmtId="180" fontId="183" fillId="114" borderId="0" applyNumberFormat="0" applyProtection="0">
      <alignment horizontal="center" vertical="center" wrapText="1"/>
    </xf>
    <xf numFmtId="4" fontId="216" fillId="114" borderId="0" applyProtection="0">
      <alignment horizontal="center" vertical="top" wrapText="1"/>
    </xf>
    <xf numFmtId="180" fontId="11" fillId="104" borderId="0" applyNumberFormat="0" applyProtection="0">
      <alignment horizontal="center" vertical="center" wrapText="1"/>
    </xf>
    <xf numFmtId="4" fontId="212" fillId="104" borderId="0" applyProtection="0">
      <alignment horizontal="center" vertical="top" wrapText="1"/>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80" fontId="217" fillId="0" borderId="0"/>
    <xf numFmtId="180" fontId="218" fillId="40" borderId="0"/>
    <xf numFmtId="180" fontId="219" fillId="0" borderId="0">
      <alignment horizontal="left" vertical="center"/>
    </xf>
    <xf numFmtId="252" fontId="74" fillId="0" borderId="0"/>
    <xf numFmtId="180" fontId="103" fillId="0" borderId="0"/>
    <xf numFmtId="180" fontId="74" fillId="0" borderId="0">
      <alignment horizontal="center"/>
    </xf>
    <xf numFmtId="37" fontId="60" fillId="0" borderId="57" applyNumberFormat="0"/>
    <xf numFmtId="40" fontId="4" fillId="0" borderId="0" applyBorder="0">
      <alignment horizontal="right"/>
    </xf>
    <xf numFmtId="37" fontId="60" fillId="0" borderId="57" applyNumberFormat="0"/>
    <xf numFmtId="40" fontId="220" fillId="0" borderId="0" applyBorder="0">
      <alignment horizontal="right"/>
    </xf>
    <xf numFmtId="0" fontId="221"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2" fillId="46" borderId="9">
      <protection locked="0"/>
    </xf>
    <xf numFmtId="0" fontId="212" fillId="46" borderId="9">
      <protection locked="0"/>
    </xf>
    <xf numFmtId="180" fontId="222" fillId="0" borderId="0" applyBorder="0" applyProtection="0">
      <alignment vertical="center"/>
    </xf>
    <xf numFmtId="180" fontId="222" fillId="0" borderId="13" applyBorder="0" applyProtection="0">
      <alignment horizontal="right" vertical="center"/>
    </xf>
    <xf numFmtId="180" fontId="223" fillId="115" borderId="0" applyBorder="0" applyProtection="0">
      <alignment horizontal="centerContinuous" vertical="center"/>
    </xf>
    <xf numFmtId="180" fontId="223" fillId="114" borderId="13" applyBorder="0" applyProtection="0">
      <alignment horizontal="centerContinuous" vertical="center"/>
    </xf>
    <xf numFmtId="180" fontId="224" fillId="0" borderId="0"/>
    <xf numFmtId="180" fontId="165" fillId="0" borderId="0"/>
    <xf numFmtId="180" fontId="225" fillId="0" borderId="0" applyFill="0" applyBorder="0" applyProtection="0">
      <alignment horizontal="left"/>
    </xf>
    <xf numFmtId="180" fontId="110" fillId="0" borderId="14" applyFill="0" applyBorder="0" applyProtection="0">
      <alignment horizontal="left" vertical="top"/>
    </xf>
    <xf numFmtId="180" fontId="226" fillId="0" borderId="0">
      <alignment horizontal="centerContinuous"/>
    </xf>
    <xf numFmtId="49" fontId="227" fillId="0" borderId="0"/>
    <xf numFmtId="49" fontId="37" fillId="0" borderId="0" applyFont="0" applyFill="0" applyBorder="0" applyAlignment="0" applyProtection="0"/>
    <xf numFmtId="180" fontId="228" fillId="0" borderId="0"/>
    <xf numFmtId="49" fontId="37" fillId="0" borderId="0" applyFont="0" applyFill="0" applyBorder="0" applyAlignment="0" applyProtection="0"/>
    <xf numFmtId="180" fontId="229" fillId="0" borderId="0"/>
    <xf numFmtId="0" fontId="89" fillId="83" borderId="0" applyAlignment="0" applyProtection="0"/>
    <xf numFmtId="0" fontId="49" fillId="83" borderId="0" applyAlignment="0" applyProtection="0">
      <alignment horizontal="left"/>
    </xf>
    <xf numFmtId="0" fontId="49" fillId="83" borderId="0" applyAlignment="0" applyProtection="0">
      <alignment horizontal="left" indent="1"/>
    </xf>
    <xf numFmtId="0" fontId="49" fillId="83" borderId="0" applyAlignment="0" applyProtection="0">
      <alignment horizontal="left" vertical="center" indent="2"/>
    </xf>
    <xf numFmtId="340" fontId="74" fillId="0" borderId="0" applyFont="0" applyFill="0" applyBorder="0" applyAlignment="0" applyProtection="0"/>
    <xf numFmtId="0" fontId="230" fillId="0" borderId="0">
      <alignment horizontal="center"/>
    </xf>
    <xf numFmtId="15" fontId="230"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1"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1" fillId="0" borderId="0" applyNumberFormat="0" applyFill="0" applyBorder="0" applyAlignment="0" applyProtection="0"/>
    <xf numFmtId="0" fontId="4" fillId="0" borderId="0" applyNumberFormat="0" applyFont="0" applyFill="0" applyBorder="0" applyAlignment="0" applyProtection="0"/>
    <xf numFmtId="180" fontId="232" fillId="36" borderId="0">
      <alignment horizontal="right"/>
    </xf>
    <xf numFmtId="173" fontId="178" fillId="0" borderId="0"/>
    <xf numFmtId="180" fontId="233" fillId="0" borderId="0"/>
    <xf numFmtId="341" fontId="234" fillId="0" borderId="0"/>
    <xf numFmtId="193" fontId="4" fillId="0" borderId="57" applyNumberFormat="0" applyFont="0" applyFill="0" applyAlignment="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5" fillId="0" borderId="60" applyNumberFormat="0" applyFill="0" applyAlignment="0" applyProtection="0"/>
    <xf numFmtId="189" fontId="235" fillId="0" borderId="60" applyNumberFormat="0" applyFill="0" applyAlignment="0" applyProtection="0"/>
    <xf numFmtId="0" fontId="4" fillId="0" borderId="0" applyNumberFormat="0" applyFont="0" applyFill="0" applyBorder="0" applyAlignment="0" applyProtection="0"/>
    <xf numFmtId="37" fontId="60" fillId="0" borderId="61" applyNumberFormat="0" applyFill="0"/>
    <xf numFmtId="315" fontId="88" fillId="0" borderId="62" applyAlignment="0"/>
    <xf numFmtId="316" fontId="88" fillId="0" borderId="62" applyAlignment="0"/>
    <xf numFmtId="173" fontId="47" fillId="0" borderId="62"/>
    <xf numFmtId="342" fontId="50" fillId="0" borderId="0" applyFont="0" applyFill="0" applyBorder="0" applyAlignment="0" applyProtection="0">
      <alignment horizontal="right"/>
    </xf>
    <xf numFmtId="180" fontId="236" fillId="0" borderId="0">
      <alignment horizontal="fill"/>
    </xf>
    <xf numFmtId="37" fontId="49" fillId="45" borderId="0" applyNumberFormat="0" applyBorder="0" applyAlignment="0" applyProtection="0"/>
    <xf numFmtId="37" fontId="49" fillId="0" borderId="0"/>
    <xf numFmtId="37" fontId="49" fillId="46" borderId="0" applyNumberFormat="0" applyBorder="0" applyAlignment="0" applyProtection="0"/>
    <xf numFmtId="3" fontId="128" fillId="0" borderId="37" applyProtection="0"/>
    <xf numFmtId="4" fontId="47" fillId="0" borderId="0">
      <protection locked="0"/>
    </xf>
    <xf numFmtId="343" fontId="188" fillId="46" borderId="14" applyBorder="0">
      <alignment horizontal="right" vertical="center"/>
      <protection locked="0"/>
    </xf>
    <xf numFmtId="180" fontId="4" fillId="0" borderId="0">
      <alignment vertical="top"/>
    </xf>
    <xf numFmtId="180" fontId="237" fillId="0" borderId="0" applyFont="0" applyFill="0" applyBorder="0" applyAlignment="0" applyProtection="0"/>
    <xf numFmtId="245" fontId="113" fillId="0" borderId="0" applyFont="0" applyFill="0" applyBorder="0" applyAlignment="0" applyProtection="0"/>
    <xf numFmtId="344" fontId="113" fillId="0" borderId="0" applyFont="0" applyFill="0" applyBorder="0" applyAlignment="0" applyProtection="0"/>
    <xf numFmtId="345" fontId="113" fillId="0" borderId="0" applyFont="0" applyFill="0" applyBorder="0" applyAlignment="0" applyProtection="0"/>
    <xf numFmtId="204" fontId="49" fillId="0" borderId="0"/>
    <xf numFmtId="180" fontId="238" fillId="0" borderId="0"/>
    <xf numFmtId="346" fontId="4" fillId="0" borderId="0" applyFont="0" applyFill="0" applyBorder="0" applyAlignment="0" applyProtection="0"/>
    <xf numFmtId="256" fontId="4" fillId="0" borderId="0" applyFont="0" applyFill="0" applyBorder="0" applyAlignment="0" applyProtection="0"/>
    <xf numFmtId="0" fontId="239"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9"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cellStyleXfs>
  <cellXfs count="1000">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0" fillId="47" borderId="0" xfId="0" applyFill="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8"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28" xfId="90" applyFont="1" applyFill="1" applyBorder="1" applyAlignment="1">
      <alignment horizontal="left"/>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5" fillId="47" borderId="14" xfId="90" applyFont="1" applyFill="1" applyBorder="1" applyAlignment="1">
      <alignment horizontal="left"/>
    </xf>
    <xf numFmtId="0" fontId="27" fillId="47" borderId="15" xfId="75" applyFont="1" applyFill="1" applyBorder="1" applyAlignment="1" applyProtection="1"/>
    <xf numFmtId="0" fontId="25" fillId="47" borderId="1" xfId="90" applyFont="1" applyFill="1" applyBorder="1" applyAlignment="1">
      <alignment horizontal="left"/>
    </xf>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1" fillId="47" borderId="28" xfId="90" applyFont="1" applyFill="1" applyBorder="1" applyAlignment="1">
      <alignment horizontal="left"/>
    </xf>
    <xf numFmtId="0" fontId="30" fillId="47" borderId="57" xfId="90" applyFont="1" applyFill="1" applyBorder="1" applyAlignment="1">
      <alignment horizontal="left"/>
    </xf>
    <xf numFmtId="0" fontId="31" fillId="47" borderId="14" xfId="90" applyFont="1" applyFill="1" applyBorder="1" applyAlignment="1">
      <alignment horizontal="left"/>
    </xf>
    <xf numFmtId="0" fontId="31" fillId="47" borderId="1"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9" fontId="0" fillId="0" borderId="72" xfId="0" applyNumberForma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25" fillId="47" borderId="0" xfId="90" applyNumberFormat="1" applyFont="1" applyFill="1" applyBorder="1" applyAlignment="1">
      <alignment horizontal="left" indent="1"/>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9" fillId="47" borderId="0" xfId="92" applyFill="1" applyAlignment="1">
      <alignment wrapText="1"/>
    </xf>
    <xf numFmtId="0" fontId="0" fillId="47" borderId="0" xfId="0" applyFill="1" applyAlignment="1">
      <alignment wrapText="1"/>
    </xf>
    <xf numFmtId="0" fontId="27" fillId="47" borderId="94" xfId="75" applyFont="1" applyFill="1" applyBorder="1" applyAlignment="1" applyProtection="1"/>
    <xf numFmtId="0" fontId="25" fillId="47" borderId="95" xfId="90" applyFont="1" applyFill="1" applyBorder="1" applyAlignment="1">
      <alignment horizontal="left"/>
    </xf>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7" xfId="90" applyFont="1" applyFill="1" applyBorder="1" applyAlignment="1">
      <alignment horizontal="left"/>
    </xf>
    <xf numFmtId="0" fontId="25" fillId="47" borderId="94" xfId="90" applyFont="1" applyFill="1" applyBorder="1" applyAlignment="1">
      <alignment horizontal="left"/>
    </xf>
    <xf numFmtId="0" fontId="27" fillId="47" borderId="98" xfId="75" applyFont="1" applyFill="1" applyBorder="1" applyAlignment="1" applyProtection="1"/>
    <xf numFmtId="0" fontId="240" fillId="0" borderId="0" xfId="90" applyFont="1" applyFill="1" applyBorder="1" applyAlignment="1">
      <alignment horizontal="left"/>
    </xf>
    <xf numFmtId="0" fontId="241" fillId="0" borderId="0" xfId="0" applyFont="1" applyFill="1"/>
    <xf numFmtId="0" fontId="242" fillId="0" borderId="94" xfId="75" applyFont="1" applyFill="1" applyBorder="1" applyAlignment="1" applyProtection="1"/>
    <xf numFmtId="0" fontId="242"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1" fillId="47" borderId="97" xfId="90" applyFont="1" applyFill="1" applyBorder="1" applyAlignment="1">
      <alignment horizontal="left"/>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3" fillId="0" borderId="0" xfId="0" applyNumberFormat="1" applyFont="1" applyFill="1" applyBorder="1" applyAlignment="1">
      <alignment vertical="center"/>
    </xf>
    <xf numFmtId="0" fontId="0" fillId="47" borderId="0" xfId="0" applyFill="1" applyBorder="1" applyAlignment="1">
      <alignment wrapText="1"/>
    </xf>
    <xf numFmtId="0" fontId="0" fillId="47" borderId="15" xfId="0" applyFill="1" applyBorder="1" applyAlignment="1">
      <alignment wrapText="1"/>
    </xf>
    <xf numFmtId="0" fontId="0" fillId="47" borderId="94" xfId="0" applyFill="1" applyBorder="1" applyAlignment="1">
      <alignment wrapText="1"/>
    </xf>
    <xf numFmtId="0" fontId="0" fillId="47" borderId="98" xfId="0" applyFill="1" applyBorder="1" applyAlignment="1">
      <alignment wrapText="1"/>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4" fillId="0" borderId="66" xfId="0" applyFont="1" applyBorder="1" applyAlignment="1">
      <alignment horizontal="center"/>
    </xf>
    <xf numFmtId="0" fontId="244" fillId="0" borderId="69" xfId="0" applyFont="1" applyBorder="1" applyAlignment="1">
      <alignment horizontal="center"/>
    </xf>
    <xf numFmtId="0" fontId="244"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5"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5" fillId="47" borderId="114" xfId="90" applyFont="1" applyFill="1" applyBorder="1" applyAlignment="1">
      <alignment horizontal="left"/>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5" fillId="47" borderId="25" xfId="90" applyNumberFormat="1" applyFont="1" applyFill="1" applyBorder="1" applyAlignment="1">
      <alignment horizontal="left" indent="1"/>
    </xf>
    <xf numFmtId="0" fontId="26" fillId="47" borderId="115" xfId="75" applyFont="1" applyFill="1" applyBorder="1" applyAlignment="1" applyProtection="1"/>
    <xf numFmtId="0" fontId="244" fillId="117" borderId="0" xfId="0" applyFont="1" applyFill="1" applyAlignment="1">
      <alignment horizontal="left" vertical="top"/>
    </xf>
    <xf numFmtId="0" fontId="244"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4"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25" fillId="47" borderId="25" xfId="90" applyFont="1" applyFill="1" applyBorder="1" applyAlignment="1">
      <alignment horizontal="left" indent="1"/>
    </xf>
    <xf numFmtId="0" fontId="25" fillId="47" borderId="0" xfId="90" applyFont="1" applyFill="1" applyBorder="1" applyAlignment="1">
      <alignment horizontal="left" indent="1"/>
    </xf>
    <xf numFmtId="0" fontId="25" fillId="47" borderId="94" xfId="90" applyFont="1" applyFill="1" applyBorder="1" applyAlignment="1">
      <alignment horizontal="left" indent="1"/>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0" fontId="0" fillId="47" borderId="57" xfId="0" applyFill="1" applyBorder="1" applyAlignment="1">
      <alignment wrapText="1"/>
    </xf>
    <xf numFmtId="0" fontId="0" fillId="47" borderId="115" xfId="0" applyFill="1" applyBorder="1" applyAlignment="1">
      <alignment wrapText="1"/>
    </xf>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4"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4"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4"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4"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4" fillId="117" borderId="0" xfId="0" applyFont="1" applyFill="1"/>
    <xf numFmtId="0" fontId="244" fillId="117" borderId="0" xfId="0" applyFont="1" applyFill="1" applyAlignment="1">
      <alignment horizontal="left" indent="1"/>
    </xf>
    <xf numFmtId="0" fontId="244"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4" fillId="117" borderId="0" xfId="0" applyFont="1" applyFill="1" applyAlignment="1">
      <alignment vertical="top"/>
    </xf>
    <xf numFmtId="0" fontId="244"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4"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0" fillId="47" borderId="0" xfId="0" applyFill="1" applyAlignment="1">
      <alignment horizontal="left" indent="1"/>
    </xf>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6" fillId="0" borderId="77" xfId="7" applyFont="1" applyFill="1" applyBorder="1" applyAlignment="1">
      <alignment horizontal="center" vertical="center" wrapText="1"/>
    </xf>
    <xf numFmtId="0" fontId="246"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172" fontId="5" fillId="52" borderId="65" xfId="1" applyNumberFormat="1" applyFont="1" applyFill="1" applyBorder="1" applyProtection="1"/>
    <xf numFmtId="172" fontId="5" fillId="52" borderId="65" xfId="75" applyNumberFormat="1" applyFont="1" applyFill="1" applyBorder="1" applyProtection="1"/>
    <xf numFmtId="172" fontId="5" fillId="52" borderId="66" xfId="75"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49" fontId="5" fillId="38" borderId="77" xfId="77" applyNumberFormat="1" applyFont="1" applyFill="1" applyBorder="1" applyProtection="1"/>
    <xf numFmtId="349" fontId="5" fillId="38" borderId="78" xfId="77" applyNumberFormat="1" applyFont="1" applyFill="1" applyBorder="1" applyProtection="1"/>
    <xf numFmtId="0" fontId="0" fillId="47" borderId="25" xfId="0" applyFill="1" applyBorder="1" applyAlignment="1">
      <alignment horizontal="left" indent="1"/>
    </xf>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4" fillId="0" borderId="0" xfId="0" applyFont="1" applyFill="1" applyAlignment="1">
      <alignment horizontal="left" indent="1"/>
    </xf>
    <xf numFmtId="0" fontId="244" fillId="0" borderId="0" xfId="0" applyFont="1" applyFill="1" applyAlignment="1">
      <alignment wrapText="1"/>
    </xf>
    <xf numFmtId="0" fontId="244"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40" fillId="46" borderId="121" xfId="48236" applyNumberFormat="1" applyFont="1" applyFill="1" applyBorder="1" applyAlignment="1">
      <alignment horizontal="center" vertical="top" wrapText="1"/>
    </xf>
    <xf numFmtId="0" fontId="240" fillId="46" borderId="121" xfId="48236" applyFont="1" applyFill="1" applyBorder="1" applyAlignment="1">
      <alignment vertical="top" wrapText="1"/>
    </xf>
    <xf numFmtId="0" fontId="240"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6" fillId="51" borderId="76" xfId="2" applyNumberFormat="1" applyFont="1" applyFill="1" applyBorder="1" applyAlignment="1">
      <alignment horizontal="right" vertical="center"/>
    </xf>
    <xf numFmtId="172" fontId="6" fillId="51" borderId="78" xfId="2" applyNumberFormat="1" applyFont="1" applyFill="1" applyBorder="1" applyAlignment="1">
      <alignment horizontal="right" vertical="center"/>
    </xf>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172" fontId="0" fillId="51" borderId="76" xfId="0" applyNumberFormat="1" applyFont="1" applyFill="1" applyBorder="1" applyAlignment="1">
      <alignment horizontal="right" vertical="center"/>
    </xf>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47" fillId="47" borderId="94" xfId="90" applyNumberFormat="1" applyFont="1" applyFill="1" applyBorder="1" applyAlignment="1">
      <alignment horizontal="left" indent="1"/>
    </xf>
    <xf numFmtId="0" fontId="0" fillId="3" borderId="0" xfId="0" applyFont="1" applyFill="1" applyAlignment="1">
      <alignment horizontal="left" vertical="top" indent="1"/>
    </xf>
    <xf numFmtId="0" fontId="0" fillId="3" borderId="0" xfId="0" applyFont="1" applyFill="1" applyAlignment="1">
      <alignment horizontal="left" vertical="top" wrapText="1" indent="1"/>
    </xf>
    <xf numFmtId="168" fontId="248" fillId="3" borderId="0" xfId="0" applyNumberFormat="1" applyFont="1" applyFill="1" applyBorder="1" applyAlignment="1">
      <alignment horizontal="left" vertical="center"/>
    </xf>
    <xf numFmtId="168" fontId="5" fillId="3" borderId="0" xfId="0" applyNumberFormat="1" applyFont="1" applyFill="1" applyBorder="1" applyAlignment="1">
      <alignment horizontal="left" vertical="center" wrapText="1" indent="1"/>
    </xf>
    <xf numFmtId="0" fontId="0" fillId="3" borderId="0" xfId="0" applyFont="1" applyFill="1" applyAlignment="1">
      <alignment horizontal="left" vertical="top" indent="1"/>
    </xf>
    <xf numFmtId="350" fontId="0" fillId="0" borderId="0" xfId="0" applyNumberFormat="1" applyAlignment="1">
      <alignment horizontal="left" vertical="top"/>
    </xf>
    <xf numFmtId="172" fontId="0" fillId="0" borderId="0" xfId="0" applyNumberFormat="1" applyFont="1" applyFill="1" applyBorder="1" applyAlignment="1">
      <alignment horizontal="right"/>
    </xf>
    <xf numFmtId="172" fontId="0" fillId="53" borderId="0" xfId="0" applyNumberFormat="1" applyFill="1" applyAlignment="1">
      <alignment horizontal="left" vertical="top"/>
    </xf>
    <xf numFmtId="0" fontId="0" fillId="3" borderId="0" xfId="0" applyFont="1" applyFill="1" applyAlignment="1">
      <alignment horizontal="left" vertical="top"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5"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48238">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3" xfId="404"/>
    <cellStyle name="% 2 2 3 2" xfId="405"/>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3" xfId="668"/>
    <cellStyle name="% 4 4" xfId="669"/>
    <cellStyle name="% 4 5" xfId="670"/>
    <cellStyle name="% 4 6" xfId="671"/>
    <cellStyle name="% 4 7" xfId="672"/>
    <cellStyle name="% 4 8" xfId="673"/>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3" xfId="79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Rollover FBPQ (Capex)" xfId="842"/>
    <cellStyle name="%_Non formula" xfId="843"/>
    <cellStyle name="%_Opex Consolidation v0.4" xfId="844"/>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_1.5 Opex Reconciliation NG" xfId="910"/>
    <cellStyle name="%_VR Pensions Opex tables" xfId="911"/>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8 GSO Capex RRP (detail)" xfId="92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post TIC 1 Jun" xfId="998"/>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_0910 GSO Capex RRP - Final (Detail) v2 220710" xfId="1013"/>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May-10 BP10+ v5" xfId="1071"/>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2" xfId="1232"/>
    <cellStyle name="=C:\WINNT\SYSTEM32\COMMAND.COM 12 2" xfId="1233"/>
    <cellStyle name="=C:\WINNT\SYSTEM32\COMMAND.COM 13" xfId="1234"/>
    <cellStyle name="=C:\WINNT\SYSTEM32\COMMAND.COM 14" xfId="1235"/>
    <cellStyle name="=C:\WINNT\SYSTEM32\COMMAND.COM 15" xfId="1236"/>
    <cellStyle name="=C:\WINNT\SYSTEM32\COMMAND.COM 16" xfId="1237"/>
    <cellStyle name="=C:\WINNT\SYSTEM32\COMMAND.COM 17" xfId="1238"/>
    <cellStyle name="=C:\WINNT\SYSTEM32\COMMAND.COM 18" xfId="1239"/>
    <cellStyle name="=C:\WINNT\SYSTEM32\COMMAND.COM 19" xfId="1240"/>
    <cellStyle name="=C:\WINNT\SYSTEM32\COMMAND.COM 2" xfId="1241"/>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4" xfId="1292"/>
    <cellStyle name="=C:\WINNT\SYSTEM32\COMMAND.COM 2 5" xfId="1293"/>
    <cellStyle name="=C:\WINNT\SYSTEM32\COMMAND.COM 2 6" xfId="1294"/>
    <cellStyle name="=C:\WINNT\SYSTEM32\COMMAND.COM 2 7" xfId="1295"/>
    <cellStyle name="=C:\WINNT\SYSTEM32\COMMAND.COM 2 8" xfId="1296"/>
    <cellStyle name="=C:\WINNT\SYSTEM32\COMMAND.COM 2 9" xfId="1297"/>
    <cellStyle name="=C:\WINNT\SYSTEM32\COMMAND.COM 20" xfId="1298"/>
    <cellStyle name="=C:\WINNT\SYSTEM32\COMMAND.COM 21" xfId="1299"/>
    <cellStyle name="=C:\WINNT\SYSTEM32\COMMAND.COM 22" xfId="1300"/>
    <cellStyle name="=C:\WINNT\SYSTEM32\COMMAND.COM 23" xfId="1301"/>
    <cellStyle name="=C:\WINNT\SYSTEM32\COMMAND.COM 24" xfId="1302"/>
    <cellStyle name="=C:\WINNT\SYSTEM32\COMMAND.COM 25" xfId="1303"/>
    <cellStyle name="=C:\WINNT\SYSTEM32\COMMAND.COM 26" xfId="1304"/>
    <cellStyle name="=C:\WINNT\SYSTEM32\COMMAND.COM 27" xfId="1305"/>
    <cellStyle name="=C:\WINNT\SYSTEM32\COMMAND.COM 28" xfId="1306"/>
    <cellStyle name="=C:\WINNT\SYSTEM32\COMMAND.COM 29" xfId="130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1" xfId="1316"/>
    <cellStyle name="=C:\WINNT\SYSTEM32\COMMAND.COM 32" xfId="1317"/>
    <cellStyle name="=C:\WINNT\SYSTEM32\COMMAND.COM 33" xfId="1318"/>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8" xfId="1581"/>
    <cellStyle name="=C:\WINNT\SYSTEM32\COMMAND.COM 9" xfId="1582"/>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3" xfId="1669"/>
    <cellStyle name="20% - Accent1 3 2" xfId="1670"/>
    <cellStyle name="20% - Accent1 3 3" xfId="1671"/>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3" xfId="1699"/>
    <cellStyle name="20% - Accent2 3 2" xfId="1700"/>
    <cellStyle name="20% - Accent2 3 3" xfId="1701"/>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3" xfId="1729"/>
    <cellStyle name="20% - Accent3 3 2" xfId="1730"/>
    <cellStyle name="20% - Accent3 3 3" xfId="1731"/>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3" xfId="1759"/>
    <cellStyle name="20% - Accent4 3 2" xfId="1760"/>
    <cellStyle name="20% - Accent4 3 3" xfId="1761"/>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3" xfId="1789"/>
    <cellStyle name="20% - Accent5 3 2" xfId="1790"/>
    <cellStyle name="20% - Accent5 3 3" xfId="1791"/>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3" xfId="1819"/>
    <cellStyle name="20% - Accent6 3 2" xfId="1820"/>
    <cellStyle name="20% - Accent6 3 3" xfId="1821"/>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3" xfId="1855"/>
    <cellStyle name="40% - Accent1 3 2" xfId="1856"/>
    <cellStyle name="40% - Accent1 3 3" xfId="1857"/>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3" xfId="1885"/>
    <cellStyle name="40% - Accent2 3 2" xfId="1886"/>
    <cellStyle name="40% - Accent2 3 3" xfId="1887"/>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3" xfId="1915"/>
    <cellStyle name="40% - Accent3 3 2" xfId="1916"/>
    <cellStyle name="40% - Accent3 3 3" xfId="1917"/>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3" xfId="1945"/>
    <cellStyle name="40% - Accent4 3 2" xfId="1946"/>
    <cellStyle name="40% - Accent4 3 3" xfId="1947"/>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3" xfId="1975"/>
    <cellStyle name="40% - Accent5 3 2" xfId="1976"/>
    <cellStyle name="40% - Accent5 3 3" xfId="1977"/>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3" xfId="2005"/>
    <cellStyle name="40% - Accent6 3 2" xfId="2006"/>
    <cellStyle name="40% - Accent6 3 3" xfId="2007"/>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3" xfId="2035"/>
    <cellStyle name="60% - Accent1 3 2" xfId="2036"/>
    <cellStyle name="60% - Accent1 3 3" xfId="2037"/>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3" xfId="2065"/>
    <cellStyle name="60% - Accent2 3 2" xfId="2066"/>
    <cellStyle name="60% - Accent2 3 3" xfId="2067"/>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3" xfId="2095"/>
    <cellStyle name="60% - Accent3 3 2" xfId="2096"/>
    <cellStyle name="60% - Accent3 3 3" xfId="2097"/>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3" xfId="2125"/>
    <cellStyle name="60% - Accent4 3 2" xfId="2126"/>
    <cellStyle name="60% - Accent4 3 3" xfId="2127"/>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3" xfId="2155"/>
    <cellStyle name="60% - Accent5 3 2" xfId="2156"/>
    <cellStyle name="60% - Accent5 3 3" xfId="2157"/>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3" xfId="2185"/>
    <cellStyle name="60% - Accent6 3 2" xfId="2186"/>
    <cellStyle name="60% - Accent6 3 3" xfId="2187"/>
    <cellStyle name="60% - Accent6 4" xfId="2188"/>
    <cellStyle name="60% - Accent6 5" xfId="2189"/>
    <cellStyle name="60% - Accent6 6" xfId="2190"/>
    <cellStyle name="60% - Accent6 7" xfId="2191"/>
    <cellStyle name="aaa" xfId="2192"/>
    <cellStyle name="Accent1 - 20%" xfId="11"/>
    <cellStyle name="Accent1 - 20% 2" xfId="2193"/>
    <cellStyle name="Accent1 - 40%" xfId="12"/>
    <cellStyle name="Accent1 - 40% 2" xfId="2194"/>
    <cellStyle name="Accent1 - 60%" xfId="13"/>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3" xfId="2218"/>
    <cellStyle name="Accent1 3 2" xfId="2219"/>
    <cellStyle name="Accent1 3 3" xfId="2220"/>
    <cellStyle name="Accent1 4" xfId="2221"/>
    <cellStyle name="Accent1 5" xfId="2222"/>
    <cellStyle name="Accent1 6" xfId="2223"/>
    <cellStyle name="Accent1 7" xfId="2224"/>
    <cellStyle name="Accent2 - 20%" xfId="14"/>
    <cellStyle name="Accent2 - 20% 2" xfId="2225"/>
    <cellStyle name="Accent2 - 40%" xfId="15"/>
    <cellStyle name="Accent2 - 40% 2" xfId="2226"/>
    <cellStyle name="Accent2 - 60%" xfId="16"/>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3" xfId="2250"/>
    <cellStyle name="Accent2 3 2" xfId="2251"/>
    <cellStyle name="Accent2 3 3" xfId="2252"/>
    <cellStyle name="Accent2 4" xfId="2253"/>
    <cellStyle name="Accent2 5" xfId="2254"/>
    <cellStyle name="Accent2 6" xfId="2255"/>
    <cellStyle name="Accent2 7" xfId="2256"/>
    <cellStyle name="Accent3 - 20%" xfId="17"/>
    <cellStyle name="Accent3 - 20% 2" xfId="2257"/>
    <cellStyle name="Accent3 - 40%" xfId="18"/>
    <cellStyle name="Accent3 - 40% 2" xfId="2258"/>
    <cellStyle name="Accent3 - 60%" xfId="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3" xfId="2282"/>
    <cellStyle name="Accent3 3 2" xfId="2283"/>
    <cellStyle name="Accent3 3 3" xfId="2284"/>
    <cellStyle name="Accent3 4" xfId="2285"/>
    <cellStyle name="Accent3 5" xfId="2286"/>
    <cellStyle name="Accent3 6" xfId="2287"/>
    <cellStyle name="Accent3 7" xfId="2288"/>
    <cellStyle name="Accent4 - 20%" xfId="20"/>
    <cellStyle name="Accent4 - 20% 2" xfId="2289"/>
    <cellStyle name="Accent4 - 40%" xfId="21"/>
    <cellStyle name="Accent4 - 40% 2" xfId="2290"/>
    <cellStyle name="Accent4 - 60%" xfId="22"/>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3" xfId="2314"/>
    <cellStyle name="Accent4 3 2" xfId="2315"/>
    <cellStyle name="Accent4 3 3" xfId="2316"/>
    <cellStyle name="Accent4 4" xfId="2317"/>
    <cellStyle name="Accent4 5" xfId="2318"/>
    <cellStyle name="Accent4 6" xfId="2319"/>
    <cellStyle name="Accent4 7" xfId="2320"/>
    <cellStyle name="Accent5 - 20%" xfId="23"/>
    <cellStyle name="Accent5 - 20% 2" xfId="2321"/>
    <cellStyle name="Accent5 - 40%" xfId="24"/>
    <cellStyle name="Accent5 - 40% 2" xfId="2322"/>
    <cellStyle name="Accent5 - 60%" xfId="25"/>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3" xfId="2346"/>
    <cellStyle name="Accent5 3 2" xfId="2347"/>
    <cellStyle name="Accent5 3 3" xfId="2348"/>
    <cellStyle name="Accent5 4" xfId="2349"/>
    <cellStyle name="Accent5 5" xfId="2350"/>
    <cellStyle name="Accent5 6" xfId="2351"/>
    <cellStyle name="Accent5 7" xfId="2352"/>
    <cellStyle name="Accent6 - 20%" xfId="26"/>
    <cellStyle name="Accent6 - 20% 2" xfId="2353"/>
    <cellStyle name="Accent6 - 40%" xfId="27"/>
    <cellStyle name="Accent6 - 40% 2" xfId="2354"/>
    <cellStyle name="Accent6 - 60%" xfId="28"/>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3" xfId="2378"/>
    <cellStyle name="Accent6 3 2" xfId="2379"/>
    <cellStyle name="Accent6 3 3" xfId="2380"/>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7" xfId="2470"/>
    <cellStyle name="Bad 2 8" xfId="2471"/>
    <cellStyle name="Bad 2 9" xfId="2472"/>
    <cellStyle name="Bad 3" xfId="2473"/>
    <cellStyle name="Bad 3 10" xfId="2474"/>
    <cellStyle name="Bad 3 11" xfId="2475"/>
    <cellStyle name="Bad 3 12" xfId="2476"/>
    <cellStyle name="Bad 3 13" xfId="2477"/>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3" xfId="2590"/>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0" xfId="2604"/>
    <cellStyle name="Calculation 2 2 31" xfId="2605"/>
    <cellStyle name="Calculation 2 2 32" xfId="2606"/>
    <cellStyle name="Calculation 2 2 4" xfId="2607"/>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3" xfId="2636"/>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0" xfId="2650"/>
    <cellStyle name="Calculation 2 3 31" xfId="2651"/>
    <cellStyle name="Calculation 2 3 32" xfId="2652"/>
    <cellStyle name="Calculation 2 3 4" xfId="2653"/>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3" xfId="2679"/>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0" xfId="2693"/>
    <cellStyle name="Calculation 2 4 31" xfId="2694"/>
    <cellStyle name="Calculation 2 4 32" xfId="2695"/>
    <cellStyle name="Calculation 2 4 4" xfId="2696"/>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0" xfId="2729"/>
    <cellStyle name="Calculation 2 5 31" xfId="2730"/>
    <cellStyle name="Calculation 2 5 32" xfId="2731"/>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9" xfId="2779"/>
    <cellStyle name="Calculation 2 9 2" xfId="2780"/>
    <cellStyle name="Calculation 3" xfId="2781"/>
    <cellStyle name="Calculation 3 2" xfId="2782"/>
    <cellStyle name="Calculation 3 2 2" xfId="2783"/>
    <cellStyle name="Calculation 3 3" xfId="2784"/>
    <cellStyle name="Calculation 3 3 2" xfId="2785"/>
    <cellStyle name="Calculation 3 4" xfId="2786"/>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3" xfId="2819"/>
    <cellStyle name="Check Cell 3 2" xfId="2820"/>
    <cellStyle name="Check Cell 3 3" xfId="2821"/>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2]" xfId="2851"/>
    <cellStyle name="Comma [3]" xfId="2852"/>
    <cellStyle name="Comma 0" xfId="2853"/>
    <cellStyle name="Comma 0*" xfId="2854"/>
    <cellStyle name="Comma 0_Model_Sep_2_02" xfId="2855"/>
    <cellStyle name="Comma 10" xfId="2856"/>
    <cellStyle name="Comma 11" xfId="2857"/>
    <cellStyle name="Comma 12" xfId="2858"/>
    <cellStyle name="Comma 13" xfId="2859"/>
    <cellStyle name="Comma 14" xfId="2860"/>
    <cellStyle name="Comma 15" xfId="2861"/>
    <cellStyle name="Comma 17" xfId="2862"/>
    <cellStyle name="Comma 18" xfId="2863"/>
    <cellStyle name="Comma 2" xfId="2"/>
    <cellStyle name="Comma 2 10" xfId="2864"/>
    <cellStyle name="Comma 2 10 10" xfId="2865"/>
    <cellStyle name="Comma 2 10 11" xfId="2866"/>
    <cellStyle name="Comma 2 10 12" xfId="2867"/>
    <cellStyle name="Comma 2 10 2" xfId="2868"/>
    <cellStyle name="Comma 2 10 2 2" xfId="2869"/>
    <cellStyle name="Comma 2 10 2 3" xfId="2870"/>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0" xfId="2903"/>
    <cellStyle name="Comma 2 121" xfId="2904"/>
    <cellStyle name="Comma 2 122" xfId="2905"/>
    <cellStyle name="Comma 2 123" xfId="2906"/>
    <cellStyle name="Comma 2 124" xfId="2907"/>
    <cellStyle name="Comma 2 125" xfId="2908"/>
    <cellStyle name="Comma 2 126" xfId="2909"/>
    <cellStyle name="Comma 2 13" xfId="2910"/>
    <cellStyle name="Comma 2 14" xfId="2911"/>
    <cellStyle name="Comma 2 15" xfId="2912"/>
    <cellStyle name="Comma 2 16" xfId="2913"/>
    <cellStyle name="Comma 2 17" xfId="2914"/>
    <cellStyle name="Comma 2 18" xfId="2915"/>
    <cellStyle name="Comma 2 19" xfId="2916"/>
    <cellStyle name="Comma 2 2" xfId="6"/>
    <cellStyle name="Comma 2 2 10" xfId="2917"/>
    <cellStyle name="Comma 2 2 11" xfId="2918"/>
    <cellStyle name="Comma 2 2 12" xfId="2919"/>
    <cellStyle name="Comma 2 2 13" xfId="2920"/>
    <cellStyle name="Comma 2 2 14" xfId="2921"/>
    <cellStyle name="Comma 2 2 15" xfId="2922"/>
    <cellStyle name="Comma 2 2 16" xfId="2923"/>
    <cellStyle name="Comma 2 2 17" xfId="2924"/>
    <cellStyle name="Comma 2 2 18" xfId="2925"/>
    <cellStyle name="Comma 2 2 19" xfId="2926"/>
    <cellStyle name="Comma 2 2 2" xfId="2927"/>
    <cellStyle name="Comma 2 2 2 10" xfId="2928"/>
    <cellStyle name="Comma 2 2 2 11" xfId="2929"/>
    <cellStyle name="Comma 2 2 2 12" xfId="2930"/>
    <cellStyle name="Comma 2 2 2 13" xfId="2931"/>
    <cellStyle name="Comma 2 2 2 14" xfId="2932"/>
    <cellStyle name="Comma 2 2 2 15" xfId="2933"/>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3" xfId="3021"/>
    <cellStyle name="Comma 2 2 2 2 5" xfId="3022"/>
    <cellStyle name="Comma 2 2 2 2 5 2" xfId="3023"/>
    <cellStyle name="Comma 2 2 2 2 5 2 2" xfId="3024"/>
    <cellStyle name="Comma 2 2 2 2 6" xfId="3025"/>
    <cellStyle name="Comma 2 2 2 2 7" xfId="3026"/>
    <cellStyle name="Comma 2 2 2 2 7 2" xfId="3027"/>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0" xfId="3055"/>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0" xfId="3123"/>
    <cellStyle name="Comma 2 2 50 2" xfId="3124"/>
    <cellStyle name="Comma 2 2 50 2 2" xfId="3125"/>
    <cellStyle name="Comma 2 2 51" xfId="3126"/>
    <cellStyle name="Comma 2 2 52" xfId="3127"/>
    <cellStyle name="Comma 2 2 52 2" xfId="3128"/>
    <cellStyle name="Comma 2 2 6" xfId="3129"/>
    <cellStyle name="Comma 2 2 7" xfId="3130"/>
    <cellStyle name="Comma 2 2 8" xfId="3131"/>
    <cellStyle name="Comma 2 2 9" xfId="3132"/>
    <cellStyle name="Comma 2 2_3.1.2 DB Pension Detail" xfId="3133"/>
    <cellStyle name="Comma 2 20" xfId="3134"/>
    <cellStyle name="Comma 2 21" xfId="3135"/>
    <cellStyle name="Comma 2 22" xfId="313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2" xfId="3163"/>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2" xfId="3189"/>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3" xfId="3458"/>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2" xfId="3472"/>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4" xfId="3482"/>
    <cellStyle name="Comma 3 2 5" xfId="3483"/>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3" xfId="3498"/>
    <cellStyle name="Comma 3 3 4" xfId="3499"/>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2" xfId="4126"/>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9" xfId="4135"/>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2" xfId="30"/>
    <cellStyle name="Emphasis 3" xfId="31"/>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3" xfId="4274"/>
    <cellStyle name="Explanatory Text 3 2" xfId="4275"/>
    <cellStyle name="Explanatory Text 3 3" xfId="4276"/>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3" xfId="4357"/>
    <cellStyle name="Good 3 2" xfId="4358"/>
    <cellStyle name="Good 3 3" xfId="4359"/>
    <cellStyle name="Good 4" xfId="4360"/>
    <cellStyle name="Good 5" xfId="4361"/>
    <cellStyle name="Good 6" xfId="4362"/>
    <cellStyle name="Good 7" xfId="4363"/>
    <cellStyle name="gray text cells" xfId="4364"/>
    <cellStyle name="Grey" xfId="4365"/>
    <cellStyle name="GreyOrWhite" xfId="4366"/>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3" xfId="4396"/>
    <cellStyle name="Heading 1 3 2" xfId="4397"/>
    <cellStyle name="Heading 1 3 3" xfId="439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3" xfId="4426"/>
    <cellStyle name="Heading 2 3 2" xfId="4427"/>
    <cellStyle name="Heading 2 3 3" xfId="4428"/>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3" xfId="4456"/>
    <cellStyle name="Heading 3 3 2" xfId="4457"/>
    <cellStyle name="Heading 3 3 3" xfId="4458"/>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3" xfId="4486"/>
    <cellStyle name="Heading 4 3 2" xfId="4487"/>
    <cellStyle name="Heading 4 3 3" xfId="4488"/>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3" xfId="4589"/>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0" xfId="4603"/>
    <cellStyle name="Input 2 2 31" xfId="4604"/>
    <cellStyle name="Input 2 2 32" xfId="4605"/>
    <cellStyle name="Input 2 2 4" xfId="4606"/>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3" xfId="4635"/>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0" xfId="4649"/>
    <cellStyle name="Input 2 3 31" xfId="4650"/>
    <cellStyle name="Input 2 3 32" xfId="4651"/>
    <cellStyle name="Input 2 3 4" xfId="4652"/>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3" xfId="467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0" xfId="4692"/>
    <cellStyle name="Input 2 4 31" xfId="4693"/>
    <cellStyle name="Input 2 4 32" xfId="4694"/>
    <cellStyle name="Input 2 4 4" xfId="4695"/>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0" xfId="4728"/>
    <cellStyle name="Input 2 5 31" xfId="4729"/>
    <cellStyle name="Input 2 5 32" xfId="4730"/>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3" xfId="4749"/>
    <cellStyle name="Input 2 6 3 2" xfId="4750"/>
    <cellStyle name="Input 2 6 3 2 2" xfId="4751"/>
    <cellStyle name="Input 2 6 3 2 2 2" xfId="4752"/>
    <cellStyle name="Input 2 6 3 2 3" xfId="4753"/>
    <cellStyle name="Input 2 6 3 3" xfId="4754"/>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7" xfId="4764"/>
    <cellStyle name="Input 2 7 2" xfId="4765"/>
    <cellStyle name="Input 2 7 2 2" xfId="4766"/>
    <cellStyle name="Input 2 7 2 2 2" xfId="4767"/>
    <cellStyle name="Input 2 7 2 2 3" xfId="4768"/>
    <cellStyle name="Input 2 7 2 3" xfId="4769"/>
    <cellStyle name="Input 2 7 3" xfId="4770"/>
    <cellStyle name="Input 2 8" xfId="4771"/>
    <cellStyle name="Input 2 8 2" xfId="4772"/>
    <cellStyle name="Input 2 8 2 2" xfId="4773"/>
    <cellStyle name="Input 2 8 2 2 2" xfId="4774"/>
    <cellStyle name="Input 2 8 2 2 3" xfId="4775"/>
    <cellStyle name="Input 2 8 2 3" xfId="4776"/>
    <cellStyle name="Input 2 8 3" xfId="4777"/>
    <cellStyle name="Input 2 9" xfId="4778"/>
    <cellStyle name="Input 2 9 2" xfId="4779"/>
    <cellStyle name="Input 3" xfId="4780"/>
    <cellStyle name="Input 3 2" xfId="4781"/>
    <cellStyle name="Input 3 2 2" xfId="4782"/>
    <cellStyle name="Input 3 3" xfId="4783"/>
    <cellStyle name="Input 3 3 2" xfId="4784"/>
    <cellStyle name="Input 3 4" xfId="4785"/>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3" xfId="4838"/>
    <cellStyle name="Linked Cell 3 2" xfId="4839"/>
    <cellStyle name="Linked Cell 3 3" xfId="4840"/>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3" xfId="4914"/>
    <cellStyle name="Neutral 3 2" xfId="4915"/>
    <cellStyle name="Neutral 3 3" xfId="4916"/>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0" xfId="7097"/>
    <cellStyle name="Normal 2 14" xfId="7098"/>
    <cellStyle name="Normal 2 15" xfId="7099"/>
    <cellStyle name="Normal 2 16" xfId="7100"/>
    <cellStyle name="Normal 2 17" xfId="7101"/>
    <cellStyle name="Normal 2 18" xfId="7102"/>
    <cellStyle name="Normal 2 19" xfId="7103"/>
    <cellStyle name="Normal 2 2" xfId="4"/>
    <cellStyle name="Normal 2 2 10" xfId="7104"/>
    <cellStyle name="Normal 2 2 10 10" xfId="7105"/>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0" xfId="7128"/>
    <cellStyle name="Normal 2 2 121" xfId="7129"/>
    <cellStyle name="Normal 2 2 122" xfId="7130"/>
    <cellStyle name="Normal 2 2 123" xfId="7131"/>
    <cellStyle name="Normal 2 2 13" xfId="7132"/>
    <cellStyle name="Normal 2 2 14" xfId="7133"/>
    <cellStyle name="Normal 2 2 15" xfId="7134"/>
    <cellStyle name="Normal 2 2 16" xfId="7135"/>
    <cellStyle name="Normal 2 2 17" xfId="7136"/>
    <cellStyle name="Normal 2 2 18" xfId="7137"/>
    <cellStyle name="Normal 2 2 19" xfId="7138"/>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2" xfId="7158"/>
    <cellStyle name="Normal 2 2 2 13" xfId="7159"/>
    <cellStyle name="Normal 2 2 2 14" xfId="7160"/>
    <cellStyle name="Normal 2 2 2 15" xfId="7161"/>
    <cellStyle name="Normal 2 2 2 16" xfId="7162"/>
    <cellStyle name="Normal 2 2 2 17" xfId="7163"/>
    <cellStyle name="Normal 2 2 2 18" xfId="7164"/>
    <cellStyle name="Normal 2 2 2 19" xfId="7165"/>
    <cellStyle name="Normal 2 2 2 2" xfId="7166"/>
    <cellStyle name="Normal 2 2 2 2 10" xfId="7167"/>
    <cellStyle name="Normal 2 2 2 2 11" xfId="7168"/>
    <cellStyle name="Normal 2 2 2 2 12" xfId="7169"/>
    <cellStyle name="Normal 2 2 2 2 13" xfId="7170"/>
    <cellStyle name="Normal 2 2 2 2 14" xfId="7171"/>
    <cellStyle name="Normal 2 2 2 2 15" xfId="7172"/>
    <cellStyle name="Normal 2 2 2 2 16" xfId="7173"/>
    <cellStyle name="Normal 2 2 2 2 17" xfId="7174"/>
    <cellStyle name="Normal 2 2 2 2 18" xfId="7175"/>
    <cellStyle name="Normal 2 2 2 2 19" xfId="7176"/>
    <cellStyle name="Normal 2 2 2 2 2" xfId="7177"/>
    <cellStyle name="Normal 2 2 2 2 2 10" xfId="7178"/>
    <cellStyle name="Normal 2 2 2 2 2 11" xfId="7179"/>
    <cellStyle name="Normal 2 2 2 2 2 12" xfId="7180"/>
    <cellStyle name="Normal 2 2 2 2 2 13" xfId="7181"/>
    <cellStyle name="Normal 2 2 2 2 2 14" xfId="7182"/>
    <cellStyle name="Normal 2 2 2 2 2 15" xfId="7183"/>
    <cellStyle name="Normal 2 2 2 2 2 16" xfId="7184"/>
    <cellStyle name="Normal 2 2 2 2 2 17" xfId="7185"/>
    <cellStyle name="Normal 2 2 2 2 2 18" xfId="7186"/>
    <cellStyle name="Normal 2 2 2 2 2 19" xfId="7187"/>
    <cellStyle name="Normal 2 2 2 2 2 2" xfId="7188"/>
    <cellStyle name="Normal 2 2 2 2 2 2 10" xfId="7189"/>
    <cellStyle name="Normal 2 2 2 2 2 2 11" xfId="7190"/>
    <cellStyle name="Normal 2 2 2 2 2 2 12" xfId="7191"/>
    <cellStyle name="Normal 2 2 2 2 2 2 13" xfId="7192"/>
    <cellStyle name="Normal 2 2 2 2 2 2 14" xfId="7193"/>
    <cellStyle name="Normal 2 2 2 2 2 2 15" xfId="7194"/>
    <cellStyle name="Normal 2 2 2 2 2 2 16" xfId="7195"/>
    <cellStyle name="Normal 2 2 2 2 2 2 17" xfId="7196"/>
    <cellStyle name="Normal 2 2 2 2 2 2 18" xfId="7197"/>
    <cellStyle name="Normal 2 2 2 2 2 2 19" xfId="7198"/>
    <cellStyle name="Normal 2 2 2 2 2 2 2" xfId="7199"/>
    <cellStyle name="Normal 2 2 2 2 2 2 2 10" xfId="7200"/>
    <cellStyle name="Normal 2 2 2 2 2 2 2 11" xfId="7201"/>
    <cellStyle name="Normal 2 2 2 2 2 2 2 12" xfId="7202"/>
    <cellStyle name="Normal 2 2 2 2 2 2 2 13" xfId="7203"/>
    <cellStyle name="Normal 2 2 2 2 2 2 2 14" xfId="7204"/>
    <cellStyle name="Normal 2 2 2 2 2 2 2 15" xfId="7205"/>
    <cellStyle name="Normal 2 2 2 2 2 2 2 16" xfId="7206"/>
    <cellStyle name="Normal 2 2 2 2 2 2 2 17" xfId="7207"/>
    <cellStyle name="Normal 2 2 2 2 2 2 2 18" xfId="7208"/>
    <cellStyle name="Normal 2 2 2 2 2 2 2 19" xfId="7209"/>
    <cellStyle name="Normal 2 2 2 2 2 2 2 2" xfId="7210"/>
    <cellStyle name="Normal 2 2 2 2 2 2 2 2 10" xfId="7211"/>
    <cellStyle name="Normal 2 2 2 2 2 2 2 2 11" xfId="7212"/>
    <cellStyle name="Normal 2 2 2 2 2 2 2 2 12" xfId="7213"/>
    <cellStyle name="Normal 2 2 2 2 2 2 2 2 13" xfId="7214"/>
    <cellStyle name="Normal 2 2 2 2 2 2 2 2 14" xfId="7215"/>
    <cellStyle name="Normal 2 2 2 2 2 2 2 2 15" xfId="7216"/>
    <cellStyle name="Normal 2 2 2 2 2 2 2 2 16" xfId="7217"/>
    <cellStyle name="Normal 2 2 2 2 2 2 2 2 17" xfId="7218"/>
    <cellStyle name="Normal 2 2 2 2 2 2 2 2 18" xfId="7219"/>
    <cellStyle name="Normal 2 2 2 2 2 2 2 2 19" xfId="7220"/>
    <cellStyle name="Normal 2 2 2 2 2 2 2 2 2" xfId="7221"/>
    <cellStyle name="Normal 2 2 2 2 2 2 2 2 2 10" xfId="7222"/>
    <cellStyle name="Normal 2 2 2 2 2 2 2 2 2 11" xfId="7223"/>
    <cellStyle name="Normal 2 2 2 2 2 2 2 2 2 12" xfId="7224"/>
    <cellStyle name="Normal 2 2 2 2 2 2 2 2 2 13" xfId="7225"/>
    <cellStyle name="Normal 2 2 2 2 2 2 2 2 2 14" xfId="7226"/>
    <cellStyle name="Normal 2 2 2 2 2 2 2 2 2 15" xfId="7227"/>
    <cellStyle name="Normal 2 2 2 2 2 2 2 2 2 16" xfId="7228"/>
    <cellStyle name="Normal 2 2 2 2 2 2 2 2 2 17" xfId="7229"/>
    <cellStyle name="Normal 2 2 2 2 2 2 2 2 2 18" xfId="7230"/>
    <cellStyle name="Normal 2 2 2 2 2 2 2 2 2 2" xfId="7231"/>
    <cellStyle name="Normal 2 2 2 2 2 2 2 2 2 3" xfId="7232"/>
    <cellStyle name="Normal 2 2 2 2 2 2 2 2 2 4" xfId="7233"/>
    <cellStyle name="Normal 2 2 2 2 2 2 2 2 2 5" xfId="7234"/>
    <cellStyle name="Normal 2 2 2 2 2 2 2 2 2 6" xfId="7235"/>
    <cellStyle name="Normal 2 2 2 2 2 2 2 2 2 7" xfId="7236"/>
    <cellStyle name="Normal 2 2 2 2 2 2 2 2 2 8" xfId="7237"/>
    <cellStyle name="Normal 2 2 2 2 2 2 2 2 2 9" xfId="7238"/>
    <cellStyle name="Normal 2 2 2 2 2 2 2 2 3" xfId="7239"/>
    <cellStyle name="Normal 2 2 2 2 2 2 2 2 4" xfId="7240"/>
    <cellStyle name="Normal 2 2 2 2 2 2 2 2 5" xfId="7241"/>
    <cellStyle name="Normal 2 2 2 2 2 2 2 2 6" xfId="7242"/>
    <cellStyle name="Normal 2 2 2 2 2 2 2 2 7" xfId="7243"/>
    <cellStyle name="Normal 2 2 2 2 2 2 2 2 8" xfId="7244"/>
    <cellStyle name="Normal 2 2 2 2 2 2 2 2 9" xfId="7245"/>
    <cellStyle name="Normal 2 2 2 2 2 2 2 2_ELEC SAP FCST UPLOAD" xfId="7246"/>
    <cellStyle name="Normal 2 2 2 2 2 2 2 20" xfId="7247"/>
    <cellStyle name="Normal 2 2 2 2 2 2 2 21" xfId="7248"/>
    <cellStyle name="Normal 2 2 2 2 2 2 2 22" xfId="7249"/>
    <cellStyle name="Normal 2 2 2 2 2 2 2 3" xfId="7250"/>
    <cellStyle name="Normal 2 2 2 2 2 2 2 4" xfId="7251"/>
    <cellStyle name="Normal 2 2 2 2 2 2 2 5" xfId="7252"/>
    <cellStyle name="Normal 2 2 2 2 2 2 2 6" xfId="7253"/>
    <cellStyle name="Normal 2 2 2 2 2 2 2 7" xfId="7254"/>
    <cellStyle name="Normal 2 2 2 2 2 2 2 8" xfId="7255"/>
    <cellStyle name="Normal 2 2 2 2 2 2 2 9" xfId="7256"/>
    <cellStyle name="Normal 2 2 2 2 2 2 2_ELEC SAP FCST UPLOAD" xfId="7257"/>
    <cellStyle name="Normal 2 2 2 2 2 2 20" xfId="7258"/>
    <cellStyle name="Normal 2 2 2 2 2 2 21" xfId="7259"/>
    <cellStyle name="Normal 2 2 2 2 2 2 22" xfId="7260"/>
    <cellStyle name="Normal 2 2 2 2 2 2 3" xfId="7261"/>
    <cellStyle name="Normal 2 2 2 2 2 2 3 2" xfId="7262"/>
    <cellStyle name="Normal 2 2 2 2 2 2 3 3" xfId="7263"/>
    <cellStyle name="Normal 2 2 2 2 2 2 3_ELEC SAP FCST UPLOAD" xfId="7264"/>
    <cellStyle name="Normal 2 2 2 2 2 2 4" xfId="7265"/>
    <cellStyle name="Normal 2 2 2 2 2 2 5" xfId="7266"/>
    <cellStyle name="Normal 2 2 2 2 2 2 6" xfId="7267"/>
    <cellStyle name="Normal 2 2 2 2 2 2 7" xfId="7268"/>
    <cellStyle name="Normal 2 2 2 2 2 2 8" xfId="7269"/>
    <cellStyle name="Normal 2 2 2 2 2 2 9" xfId="7270"/>
    <cellStyle name="Normal 2 2 2 2 2 2_ELEC SAP FCST UPLOAD" xfId="7271"/>
    <cellStyle name="Normal 2 2 2 2 2 20" xfId="7272"/>
    <cellStyle name="Normal 2 2 2 2 2 21" xfId="7273"/>
    <cellStyle name="Normal 2 2 2 2 2 22" xfId="7274"/>
    <cellStyle name="Normal 2 2 2 2 2 23" xfId="7275"/>
    <cellStyle name="Normal 2 2 2 2 2 3" xfId="7276"/>
    <cellStyle name="Normal 2 2 2 2 2 3 2" xfId="7277"/>
    <cellStyle name="Normal 2 2 2 2 2 3 3" xfId="7278"/>
    <cellStyle name="Normal 2 2 2 2 2 3_ELEC SAP FCST UPLOAD" xfId="7279"/>
    <cellStyle name="Normal 2 2 2 2 2 4" xfId="7280"/>
    <cellStyle name="Normal 2 2 2 2 2 5" xfId="7281"/>
    <cellStyle name="Normal 2 2 2 2 2 6" xfId="7282"/>
    <cellStyle name="Normal 2 2 2 2 2 7" xfId="7283"/>
    <cellStyle name="Normal 2 2 2 2 2 8" xfId="7284"/>
    <cellStyle name="Normal 2 2 2 2 2 9" xfId="7285"/>
    <cellStyle name="Normal 2 2 2 2 2_ELEC SAP FCST UPLOAD" xfId="7286"/>
    <cellStyle name="Normal 2 2 2 2 20" xfId="7287"/>
    <cellStyle name="Normal 2 2 2 2 21" xfId="7288"/>
    <cellStyle name="Normal 2 2 2 2 22" xfId="7289"/>
    <cellStyle name="Normal 2 2 2 2 23" xfId="7290"/>
    <cellStyle name="Normal 2 2 2 2 24" xfId="7291"/>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3" xfId="7300"/>
    <cellStyle name="Normal 2 2 2 2 3 2_ELEC SAP FCST UPLOAD" xfId="7301"/>
    <cellStyle name="Normal 2 2 2 2 3 3" xfId="7302"/>
    <cellStyle name="Normal 2 2 2 2 3 4" xfId="7303"/>
    <cellStyle name="Normal 2 2 2 2 3 5" xfId="7304"/>
    <cellStyle name="Normal 2 2 2 2 3 6" xfId="730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3" xfId="7319"/>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9" xfId="7386"/>
    <cellStyle name="Normal 2 2 2 2_ELEC SAP FCST UPLOAD" xfId="7387"/>
    <cellStyle name="Normal 2 2 2 20" xfId="7388"/>
    <cellStyle name="Normal 2 2 2 21" xfId="7389"/>
    <cellStyle name="Normal 2 2 2 22" xfId="7390"/>
    <cellStyle name="Normal 2 2 2 23" xfId="7391"/>
    <cellStyle name="Normal 2 2 2 24" xfId="7392"/>
    <cellStyle name="Normal 2 2 2 25" xfId="7393"/>
    <cellStyle name="Normal 2 2 2 26" xfId="7394"/>
    <cellStyle name="Normal 2 2 2 27" xfId="7395"/>
    <cellStyle name="Normal 2 2 2 28" xfId="7396"/>
    <cellStyle name="Normal 2 2 2 29" xfId="7397"/>
    <cellStyle name="Normal 2 2 2 3" xfId="7398"/>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3" xfId="7413"/>
    <cellStyle name="Normal 2 2 2 4 2 2_ELEC SAP FCST UPLOAD" xfId="7414"/>
    <cellStyle name="Normal 2 2 2 4 2 3" xfId="7415"/>
    <cellStyle name="Normal 2 2 2 4 2 4" xfId="7416"/>
    <cellStyle name="Normal 2 2 2 4 2 5" xfId="7417"/>
    <cellStyle name="Normal 2 2 2 4 2 6" xfId="7418"/>
    <cellStyle name="Normal 2 2 2 4 2_ELEC SAP FCST UPLOAD" xfId="7419"/>
    <cellStyle name="Normal 2 2 2 4 3" xfId="7420"/>
    <cellStyle name="Normal 2 2 2 4 3 2" xfId="7421"/>
    <cellStyle name="Normal 2 2 2 4 3 3" xfId="7422"/>
    <cellStyle name="Normal 2 2 2 4 3_ELEC SAP FCST UPLOAD" xfId="7423"/>
    <cellStyle name="Normal 2 2 2 4 4" xfId="7424"/>
    <cellStyle name="Normal 2 2 2 4 5" xfId="7425"/>
    <cellStyle name="Normal 2 2 2 4 6" xfId="7426"/>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3" xfId="7440"/>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9" xfId="7482"/>
    <cellStyle name="Normal 2 2 2_3.1.2 DB Pension Detail" xfId="7483"/>
    <cellStyle name="Normal 2 2 20" xfId="7484"/>
    <cellStyle name="Normal 2 2 21" xfId="7485"/>
    <cellStyle name="Normal 2 2 22" xfId="7486"/>
    <cellStyle name="Normal 2 2 23" xfId="7487"/>
    <cellStyle name="Normal 2 2 24" xfId="7488"/>
    <cellStyle name="Normal 2 2 25" xfId="7489"/>
    <cellStyle name="Normal 2 2 26" xfId="74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3" xfId="756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3" xfId="7578"/>
    <cellStyle name="Normal 2 2 3 2 2 2 4" xfId="7579"/>
    <cellStyle name="Normal 2 2 3 2 2 2 5" xfId="7580"/>
    <cellStyle name="Normal 2 2 3 2 2 2 6" xfId="758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3" xfId="7589"/>
    <cellStyle name="Normal 2 2 3 2 2 3 2" xfId="7590"/>
    <cellStyle name="Normal 2 2 3 2 2 3 3" xfId="7591"/>
    <cellStyle name="Normal 2 2 3 2 2 3_ELEC SAP FCST UPLOAD" xfId="7592"/>
    <cellStyle name="Normal 2 2 3 2 2 4" xfId="7593"/>
    <cellStyle name="Normal 2 2 3 2 2 5" xfId="7594"/>
    <cellStyle name="Normal 2 2 3 2 2 6" xfId="7595"/>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3" xfId="7604"/>
    <cellStyle name="Normal 2 2 3 2 3 2" xfId="7605"/>
    <cellStyle name="Normal 2 2 3 2 3 3" xfId="7606"/>
    <cellStyle name="Normal 2 2 3 2 3_ELEC SAP FCST UPLOAD" xfId="7607"/>
    <cellStyle name="Normal 2 2 3 2 4" xfId="7608"/>
    <cellStyle name="Normal 2 2 3 2 5" xfId="7609"/>
    <cellStyle name="Normal 2 2 3 2 6" xfId="7610"/>
    <cellStyle name="Normal 2 2 3 2 7" xfId="7611"/>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3" xfId="7628"/>
    <cellStyle name="Normal 2 2 3 3 2_ELEC SAP FCST UPLOAD" xfId="7629"/>
    <cellStyle name="Normal 2 2 3 3 3" xfId="7630"/>
    <cellStyle name="Normal 2 2 3 3 4" xfId="7631"/>
    <cellStyle name="Normal 2 2 3 3 5" xfId="7632"/>
    <cellStyle name="Normal 2 2 3 3 6" xfId="7633"/>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3" xfId="7647"/>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3" xfId="7777"/>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3" xfId="7788"/>
    <cellStyle name="Normal 2 2 4 2 4" xfId="7789"/>
    <cellStyle name="Normal 2 2 4 2 5" xfId="7790"/>
    <cellStyle name="Normal 2 2 4 2 6" xfId="7791"/>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3" xfId="780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1" xfId="8535"/>
    <cellStyle name="Normal 2 22" xfId="8536"/>
    <cellStyle name="Normal 2 23" xfId="8537"/>
    <cellStyle name="Normal 2 24" xfId="8538"/>
    <cellStyle name="Normal 2 25" xfId="8539"/>
    <cellStyle name="Normal 2 26" xfId="8540"/>
    <cellStyle name="Normal 2 27" xfId="8541"/>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3" xfId="8617"/>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3" xfId="8628"/>
    <cellStyle name="Normal 2 3 2 2 2 4" xfId="8629"/>
    <cellStyle name="Normal 2 3 2 2 2 5" xfId="8630"/>
    <cellStyle name="Normal 2 3 2 2 2 6" xfId="8631"/>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3" xfId="8648"/>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3" xfId="8766"/>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3" xfId="8902"/>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3" xfId="11447"/>
    <cellStyle name="Normal 23 3 4" xfId="11448"/>
    <cellStyle name="Normal 23 3 5" xfId="11449"/>
    <cellStyle name="Normal 23 3 6" xfId="11450"/>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3" xfId="12212"/>
    <cellStyle name="Normal 3 10 4" xfId="12213"/>
    <cellStyle name="Normal 3 10 5" xfId="12214"/>
    <cellStyle name="Normal 3 10 6" xfId="12215"/>
    <cellStyle name="Normal 3 10 7" xfId="12216"/>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4" xfId="12253"/>
    <cellStyle name="Normal 3 15" xfId="12254"/>
    <cellStyle name="Normal 3 16" xfId="12255"/>
    <cellStyle name="Normal 3 17" xfId="12256"/>
    <cellStyle name="Normal 3 18" xfId="12257"/>
    <cellStyle name="Normal 3 19" xfId="12258"/>
    <cellStyle name="Normal 3 2" xfId="89"/>
    <cellStyle name="Normal 3 2 10" xfId="12259"/>
    <cellStyle name="Normal 3 2 11" xfId="12260"/>
    <cellStyle name="Normal 3 2 12" xfId="12261"/>
    <cellStyle name="Normal 3 2 13" xfId="12262"/>
    <cellStyle name="Normal 3 2 14" xfId="12263"/>
    <cellStyle name="Normal 3 2 15" xfId="12264"/>
    <cellStyle name="Normal 3 2 16" xfId="1226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8" xfId="12377"/>
    <cellStyle name="Normal 3 2 9" xfId="12378"/>
    <cellStyle name="Normal 3 2_3.1.2 DB Pension Detail" xfId="12379"/>
    <cellStyle name="Normal 3 20" xfId="1238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3" xfId="14789"/>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3" xfId="14800"/>
    <cellStyle name="Normal 4 2 2 2 4" xfId="14801"/>
    <cellStyle name="Normal 4 2 2 2 5" xfId="14802"/>
    <cellStyle name="Normal 4 2 2 2 6" xfId="14803"/>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3" xfId="14811"/>
    <cellStyle name="Normal 4 2 2 3 2" xfId="14812"/>
    <cellStyle name="Normal 4 2 2 3 3" xfId="14813"/>
    <cellStyle name="Normal 4 2 2 3_ELEC SAP FCST UPLOAD" xfId="14814"/>
    <cellStyle name="Normal 4 2 2 4" xfId="14815"/>
    <cellStyle name="Normal 4 2 2 5" xfId="14816"/>
    <cellStyle name="Normal 4 2 2 6" xfId="14817"/>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3" xfId="99"/>
    <cellStyle name="Normal 4 2 3 2" xfId="14826"/>
    <cellStyle name="Normal 4 2 3 3" xfId="14827"/>
    <cellStyle name="Normal 4 2 3_ELEC SAP FCST UPLOAD" xfId="14828"/>
    <cellStyle name="Normal 4 2 4" xfId="14829"/>
    <cellStyle name="Normal 4 2 5" xfId="14830"/>
    <cellStyle name="Normal 4 2 6" xfId="14831"/>
    <cellStyle name="Normal 4 2 7" xfId="1483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3" xfId="14849"/>
    <cellStyle name="Normal 4 3 2_ELEC SAP FCST UPLOAD" xfId="14850"/>
    <cellStyle name="Normal 4 3 3" xfId="14851"/>
    <cellStyle name="Normal 4 3 4" xfId="14852"/>
    <cellStyle name="Normal 4 3 5" xfId="14853"/>
    <cellStyle name="Normal 4 3 6" xfId="14854"/>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3" xfId="16117"/>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3" xfId="16128"/>
    <cellStyle name="Normal 5 2 4" xfId="16129"/>
    <cellStyle name="Normal 5 2 5" xfId="16130"/>
    <cellStyle name="Normal 5 2 6" xfId="16131"/>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37"/>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8" xfId="17020"/>
    <cellStyle name="Normal 7 80" xfId="17021"/>
    <cellStyle name="Normal 7 9" xfId="17022"/>
    <cellStyle name="Normal 70" xfId="48236"/>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ál_Cost_Baseline v1.1" xfId="18122"/>
    <cellStyle name="Normal_Opex Tables 2 2 2" xfId="85"/>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3" xfId="18147"/>
    <cellStyle name="Note 2 2 2 3 2" xfId="18148"/>
    <cellStyle name="Note 2 2 2 4" xfId="18149"/>
    <cellStyle name="Note 2 2 2 4 2" xfId="18150"/>
    <cellStyle name="Note 2 2 2 5" xfId="18151"/>
    <cellStyle name="Note 2 2 3" xfId="18152"/>
    <cellStyle name="Note 2 2 3 2" xfId="18153"/>
    <cellStyle name="Note 2 2 3 2 2" xfId="18154"/>
    <cellStyle name="Note 2 2 3 2 2 2" xfId="18155"/>
    <cellStyle name="Note 2 2 3 2 3" xfId="18156"/>
    <cellStyle name="Note 2 2 3 3" xfId="18157"/>
    <cellStyle name="Note 2 2 4" xfId="18158"/>
    <cellStyle name="Note 2 2 4 2" xfId="18159"/>
    <cellStyle name="Note 2 2 5" xfId="18160"/>
    <cellStyle name="Note 2 2 5 2" xfId="18161"/>
    <cellStyle name="Note 2 2 6" xfId="18162"/>
    <cellStyle name="Note 2 2 6 2" xfId="18163"/>
    <cellStyle name="Note 2 2 6 2 2" xfId="18164"/>
    <cellStyle name="Note 2 2 6 3" xfId="18165"/>
    <cellStyle name="Note 2 2 7" xfId="18166"/>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3" xfId="18179"/>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3" xfId="18193"/>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3" xfId="18207"/>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0" xfId="18256"/>
    <cellStyle name="Note 2 91" xfId="18257"/>
    <cellStyle name="Note 2 92" xfId="18258"/>
    <cellStyle name="Note 2 93" xfId="18259"/>
    <cellStyle name="Note 2 94" xfId="18260"/>
    <cellStyle name="Note 3" xfId="18261"/>
    <cellStyle name="Note 3 2" xfId="18262"/>
    <cellStyle name="Note 3 2 2" xfId="18263"/>
    <cellStyle name="Note 3 3" xfId="18264"/>
    <cellStyle name="Note 3 3 2" xfId="18265"/>
    <cellStyle name="Note 3 4" xfId="1826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3" xfId="18327"/>
    <cellStyle name="Output 2 2 2 3 2" xfId="18328"/>
    <cellStyle name="Output 2 2 2 4" xfId="18329"/>
    <cellStyle name="Output 2 2 2 4 2" xfId="18330"/>
    <cellStyle name="Output 2 2 2 5" xfId="18331"/>
    <cellStyle name="Output 2 2 3" xfId="18332"/>
    <cellStyle name="Output 2 2 3 2" xfId="18333"/>
    <cellStyle name="Output 2 2 3 2 2" xfId="18334"/>
    <cellStyle name="Output 2 2 3 2 2 2" xfId="18335"/>
    <cellStyle name="Output 2 2 3 2 3" xfId="18336"/>
    <cellStyle name="Output 2 2 3 3" xfId="18337"/>
    <cellStyle name="Output 2 2 4" xfId="18338"/>
    <cellStyle name="Output 2 2 4 2" xfId="18339"/>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3" xfId="18359"/>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3" xfId="18376"/>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5" xfId="18386"/>
    <cellStyle name="Output 2 5 2" xfId="18387"/>
    <cellStyle name="Output 2 5 2 2" xfId="18388"/>
    <cellStyle name="Output 2 5 2 2 2" xfId="18389"/>
    <cellStyle name="Output 2 5 2 3" xfId="18390"/>
    <cellStyle name="Output 2 5 3" xfId="18391"/>
    <cellStyle name="Output 2 6" xfId="18392"/>
    <cellStyle name="Output 2 6 2" xfId="18393"/>
    <cellStyle name="Output 2 7" xfId="18394"/>
    <cellStyle name="Output 2 7 2" xfId="18395"/>
    <cellStyle name="Output 2 8" xfId="18396"/>
    <cellStyle name="Output 2 9" xfId="18397"/>
    <cellStyle name="Output 3" xfId="18398"/>
    <cellStyle name="Output 3 2" xfId="18399"/>
    <cellStyle name="Output 3 2 2" xfId="18400"/>
    <cellStyle name="Output 3 3" xfId="18401"/>
    <cellStyle name="Output 3 3 2" xfId="18402"/>
    <cellStyle name="Output 3 4" xfId="18403"/>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3" xfId="18944"/>
    <cellStyle name="Percent 13 2" xfId="18945"/>
    <cellStyle name="Percent 13 3" xfId="18946"/>
    <cellStyle name="Percent 13 4" xfId="18947"/>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5"/>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4"/>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3" xfId="45513"/>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0" xfId="45525"/>
    <cellStyle name="SAPBEXaggData 31" xfId="45526"/>
    <cellStyle name="SAPBEXaggData 32" xfId="45527"/>
    <cellStyle name="SAPBEXaggData 4" xfId="45528"/>
    <cellStyle name="SAPBEXaggData 5" xfId="45529"/>
    <cellStyle name="SAPBEXaggData 6" xfId="45530"/>
    <cellStyle name="SAPBEXaggData 7" xfId="45531"/>
    <cellStyle name="SAPBEXaggData 8" xfId="45532"/>
    <cellStyle name="SAPBEXaggData 9" xfId="45533"/>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3" xfId="4554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0" xfId="45559"/>
    <cellStyle name="SAPBEXaggDataEmph 31" xfId="45560"/>
    <cellStyle name="SAPBEXaggDataEmph 32" xfId="45561"/>
    <cellStyle name="SAPBEXaggDataEmph 4" xfId="45562"/>
    <cellStyle name="SAPBEXaggDataEmph 5" xfId="45563"/>
    <cellStyle name="SAPBEXaggDataEmph 6" xfId="45564"/>
    <cellStyle name="SAPBEXaggDataEmph 7" xfId="45565"/>
    <cellStyle name="SAPBEXaggDataEmph 8" xfId="45566"/>
    <cellStyle name="SAPBEXaggDataEmph 9" xfId="45567"/>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3" xfId="45581"/>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0" xfId="45593"/>
    <cellStyle name="SAPBEXaggItem 31" xfId="45594"/>
    <cellStyle name="SAPBEXaggItem 32" xfId="45595"/>
    <cellStyle name="SAPBEXaggItem 4" xfId="45596"/>
    <cellStyle name="SAPBEXaggItem 5" xfId="45597"/>
    <cellStyle name="SAPBEXaggItem 6" xfId="45598"/>
    <cellStyle name="SAPBEXaggItem 7" xfId="45599"/>
    <cellStyle name="SAPBEXaggItem 8" xfId="45600"/>
    <cellStyle name="SAPBEXaggItem 9" xfId="45601"/>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3" xfId="45615"/>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0" xfId="45627"/>
    <cellStyle name="SAPBEXaggItemX 31" xfId="45628"/>
    <cellStyle name="SAPBEXaggItemX 32" xfId="45629"/>
    <cellStyle name="SAPBEXaggItemX 4" xfId="45630"/>
    <cellStyle name="SAPBEXaggItemX 5" xfId="45631"/>
    <cellStyle name="SAPBEXaggItemX 6" xfId="45632"/>
    <cellStyle name="SAPBEXaggItemX 7" xfId="45633"/>
    <cellStyle name="SAPBEXaggItemX 8" xfId="45634"/>
    <cellStyle name="SAPBEXaggItemX 9" xfId="45635"/>
    <cellStyle name="SAPBEXchaText" xfId="37"/>
    <cellStyle name="SAPBEXchaText 2" xfId="45636"/>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3" xfId="45650"/>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0" xfId="45662"/>
    <cellStyle name="SAPBEXexcBad7 31" xfId="45663"/>
    <cellStyle name="SAPBEXexcBad7 32" xfId="45664"/>
    <cellStyle name="SAPBEXexcBad7 4" xfId="45665"/>
    <cellStyle name="SAPBEXexcBad7 5" xfId="45666"/>
    <cellStyle name="SAPBEXexcBad7 6" xfId="45667"/>
    <cellStyle name="SAPBEXexcBad7 7" xfId="45668"/>
    <cellStyle name="SAPBEXexcBad7 8" xfId="45669"/>
    <cellStyle name="SAPBEXexcBad7 9" xfId="45670"/>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3" xfId="45684"/>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0" xfId="45696"/>
    <cellStyle name="SAPBEXexcBad8 31" xfId="45697"/>
    <cellStyle name="SAPBEXexcBad8 32" xfId="45698"/>
    <cellStyle name="SAPBEXexcBad8 4" xfId="45699"/>
    <cellStyle name="SAPBEXexcBad8 5" xfId="45700"/>
    <cellStyle name="SAPBEXexcBad8 6" xfId="45701"/>
    <cellStyle name="SAPBEXexcBad8 7" xfId="45702"/>
    <cellStyle name="SAPBEXexcBad8 8" xfId="45703"/>
    <cellStyle name="SAPBEXexcBad8 9" xfId="45704"/>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3" xfId="45718"/>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0" xfId="45730"/>
    <cellStyle name="SAPBEXexcBad9 31" xfId="45731"/>
    <cellStyle name="SAPBEXexcBad9 32" xfId="45732"/>
    <cellStyle name="SAPBEXexcBad9 4" xfId="45733"/>
    <cellStyle name="SAPBEXexcBad9 5" xfId="45734"/>
    <cellStyle name="SAPBEXexcBad9 6" xfId="45735"/>
    <cellStyle name="SAPBEXexcBad9 7" xfId="45736"/>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3" xfId="45752"/>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0" xfId="45764"/>
    <cellStyle name="SAPBEXexcCritical4 31" xfId="45765"/>
    <cellStyle name="SAPBEXexcCritical4 32" xfId="45766"/>
    <cellStyle name="SAPBEXexcCritical4 4" xfId="45767"/>
    <cellStyle name="SAPBEXexcCritical4 5" xfId="45768"/>
    <cellStyle name="SAPBEXexcCritical4 6" xfId="45769"/>
    <cellStyle name="SAPBEXexcCritical4 7" xfId="45770"/>
    <cellStyle name="SAPBEXexcCritical4 8" xfId="45771"/>
    <cellStyle name="SAPBEXexcCritical4 9" xfId="45772"/>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3" xfId="45786"/>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0" xfId="45798"/>
    <cellStyle name="SAPBEXexcCritical5 31" xfId="45799"/>
    <cellStyle name="SAPBEXexcCritical5 32" xfId="45800"/>
    <cellStyle name="SAPBEXexcCritical5 4" xfId="45801"/>
    <cellStyle name="SAPBEXexcCritical5 5" xfId="45802"/>
    <cellStyle name="SAPBEXexcCritical5 6" xfId="45803"/>
    <cellStyle name="SAPBEXexcCritical5 7" xfId="45804"/>
    <cellStyle name="SAPBEXexcCritical5 8" xfId="45805"/>
    <cellStyle name="SAPBEXexcCritical5 9" xfId="45806"/>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3" xfId="45820"/>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0" xfId="45832"/>
    <cellStyle name="SAPBEXexcCritical6 31" xfId="45833"/>
    <cellStyle name="SAPBEXexcCritical6 32" xfId="45834"/>
    <cellStyle name="SAPBEXexcCritical6 4" xfId="45835"/>
    <cellStyle name="SAPBEXexcCritical6 5" xfId="45836"/>
    <cellStyle name="SAPBEXexcCritical6 6" xfId="45837"/>
    <cellStyle name="SAPBEXexcCritical6 7" xfId="45838"/>
    <cellStyle name="SAPBEXexcCritical6 8" xfId="45839"/>
    <cellStyle name="SAPBEXexcCritical6 9" xfId="45840"/>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3" xfId="45854"/>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0" xfId="45866"/>
    <cellStyle name="SAPBEXexcGood1 31" xfId="45867"/>
    <cellStyle name="SAPBEXexcGood1 32" xfId="45868"/>
    <cellStyle name="SAPBEXexcGood1 4" xfId="45869"/>
    <cellStyle name="SAPBEXexcGood1 5" xfId="45870"/>
    <cellStyle name="SAPBEXexcGood1 6" xfId="45871"/>
    <cellStyle name="SAPBEXexcGood1 7" xfId="45872"/>
    <cellStyle name="SAPBEXexcGood1 8" xfId="45873"/>
    <cellStyle name="SAPBEXexcGood1 9" xfId="45874"/>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3" xfId="4588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0" xfId="45900"/>
    <cellStyle name="SAPBEXexcGood2 31" xfId="45901"/>
    <cellStyle name="SAPBEXexcGood2 32" xfId="45902"/>
    <cellStyle name="SAPBEXexcGood2 4" xfId="45903"/>
    <cellStyle name="SAPBEXexcGood2 5" xfId="45904"/>
    <cellStyle name="SAPBEXexcGood2 6" xfId="45905"/>
    <cellStyle name="SAPBEXexcGood2 7" xfId="45906"/>
    <cellStyle name="SAPBEXexcGood2 8" xfId="45907"/>
    <cellStyle name="SAPBEXexcGood2 9" xfId="45908"/>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3" xfId="45922"/>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0" xfId="45934"/>
    <cellStyle name="SAPBEXexcGood3 31" xfId="45935"/>
    <cellStyle name="SAPBEXexcGood3 32" xfId="45936"/>
    <cellStyle name="SAPBEXexcGood3 4" xfId="45937"/>
    <cellStyle name="SAPBEXexcGood3 5" xfId="45938"/>
    <cellStyle name="SAPBEXexcGood3 6" xfId="45939"/>
    <cellStyle name="SAPBEXexcGood3 7" xfId="45940"/>
    <cellStyle name="SAPBEXexcGood3 8" xfId="45941"/>
    <cellStyle name="SAPBEXexcGood3 9" xfId="45942"/>
    <cellStyle name="SAPBEXexcGood3_SGN 10a Business Plan 2010v14 used for CF model v2" xfId="45943"/>
    <cellStyle name="SAPBEXfilterDrill" xfId="47"/>
    <cellStyle name="SAPBEXfilterDrill 2" xfId="45944"/>
    <cellStyle name="SAPBEXfilterDrill_SGN 10a Business Plan 2010v14 used for CF model v2" xfId="45945"/>
    <cellStyle name="SAPBEXfilterItem" xfId="48"/>
    <cellStyle name="SAPBEXfilterItem 2" xfId="45946"/>
    <cellStyle name="SAPBEXfilterItem_SGN 10a Business Plan 2010v14 used for CF model v2" xfId="45947"/>
    <cellStyle name="SAPBEXfilterText" xfId="49"/>
    <cellStyle name="SAPBEXfilterText 2" xfId="4594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3" xfId="45962"/>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0" xfId="45974"/>
    <cellStyle name="SAPBEXformats 31" xfId="45975"/>
    <cellStyle name="SAPBEXformats 32" xfId="45976"/>
    <cellStyle name="SAPBEXformats 4" xfId="45977"/>
    <cellStyle name="SAPBEXformats 5" xfId="45978"/>
    <cellStyle name="SAPBEXformats 6" xfId="45979"/>
    <cellStyle name="SAPBEXformats 7" xfId="45980"/>
    <cellStyle name="SAPBEXformats 8" xfId="45981"/>
    <cellStyle name="SAPBEXformats 9" xfId="45982"/>
    <cellStyle name="SAPBEXformats_SGN 10a Business Plan 2010v14 used for CF model v2" xfId="45983"/>
    <cellStyle name="SAPBEXheaderItem" xfId="51"/>
    <cellStyle name="SAPBEXheaderItem 2" xfId="45984"/>
    <cellStyle name="SAPBEXheaderItem_0910 GSO Capex RRP - Final (Detail) v2 220710" xfId="45985"/>
    <cellStyle name="SAPBEXheaderText" xfId="52"/>
    <cellStyle name="SAPBEXheaderText 2" xfId="45986"/>
    <cellStyle name="SAPBEXheaderText_0910 GSO Capex RRP - Final (Detail) v2 220710" xfId="45987"/>
    <cellStyle name="SAPBEXHLevel0" xfId="53"/>
    <cellStyle name="SAPBEXHLevel0 10" xfId="45988"/>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3" xfId="46011"/>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0" xfId="46024"/>
    <cellStyle name="SAPBEXHLevel0 2 31" xfId="46025"/>
    <cellStyle name="SAPBEXHLevel0 2 32" xfId="46026"/>
    <cellStyle name="SAPBEXHLevel0 2 4" xfId="46027"/>
    <cellStyle name="SAPBEXHLevel0 2 4 2" xfId="46028"/>
    <cellStyle name="SAPBEXHLevel0 2 5" xfId="46029"/>
    <cellStyle name="SAPBEXHLevel0 2 5 2" xfId="46030"/>
    <cellStyle name="SAPBEXHLevel0 2 6" xfId="46031"/>
    <cellStyle name="SAPBEXHLevel0 2 6 2" xfId="46032"/>
    <cellStyle name="SAPBEXHLevel0 2 7" xfId="46033"/>
    <cellStyle name="SAPBEXHLevel0 2 7 2" xfId="4603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3" xfId="46050"/>
    <cellStyle name="SAPBEXHLevel0 30" xfId="46051"/>
    <cellStyle name="SAPBEXHLevel0 31" xfId="46052"/>
    <cellStyle name="SAPBEXHLevel0 32" xfId="46053"/>
    <cellStyle name="SAPBEXHLevel0 33" xfId="46054"/>
    <cellStyle name="SAPBEXHLevel0 4" xfId="46055"/>
    <cellStyle name="SAPBEXHLevel0 4 2" xfId="46056"/>
    <cellStyle name="SAPBEXHLevel0 5" xfId="46057"/>
    <cellStyle name="SAPBEXHLevel0 5 2" xfId="46058"/>
    <cellStyle name="SAPBEXHLevel0 6" xfId="46059"/>
    <cellStyle name="SAPBEXHLevel0 6 2" xfId="46060"/>
    <cellStyle name="SAPBEXHLevel0 7" xfId="46061"/>
    <cellStyle name="SAPBEXHLevel0 7 2" xfId="46062"/>
    <cellStyle name="SAPBEXHLevel0 8" xfId="46063"/>
    <cellStyle name="SAPBEXHLevel0 8 2" xfId="46064"/>
    <cellStyle name="SAPBEXHLevel0 9" xfId="46065"/>
    <cellStyle name="SAPBEXHLevel0 9 2" xfId="46066"/>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3" xfId="46091"/>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0" xfId="46104"/>
    <cellStyle name="SAPBEXHLevel0X 2 31" xfId="46105"/>
    <cellStyle name="SAPBEXHLevel0X 2 32" xfId="46106"/>
    <cellStyle name="SAPBEXHLevel0X 2 4" xfId="46107"/>
    <cellStyle name="SAPBEXHLevel0X 2 4 2" xfId="46108"/>
    <cellStyle name="SAPBEXHLevel0X 2 5" xfId="46109"/>
    <cellStyle name="SAPBEXHLevel0X 2 5 2" xfId="46110"/>
    <cellStyle name="SAPBEXHLevel0X 2 6" xfId="46111"/>
    <cellStyle name="SAPBEXHLevel0X 2 6 2" xfId="46112"/>
    <cellStyle name="SAPBEXHLevel0X 2 7" xfId="46113"/>
    <cellStyle name="SAPBEXHLevel0X 2 7 2" xfId="46114"/>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2" xfId="46129"/>
    <cellStyle name="SAPBEXHLevel0X 3 3" xfId="46130"/>
    <cellStyle name="SAPBEXHLevel0X 30" xfId="46131"/>
    <cellStyle name="SAPBEXHLevel0X 31" xfId="46132"/>
    <cellStyle name="SAPBEXHLevel0X 32" xfId="46133"/>
    <cellStyle name="SAPBEXHLevel0X 33" xfId="46134"/>
    <cellStyle name="SAPBEXHLevel0X 4" xfId="46135"/>
    <cellStyle name="SAPBEXHLevel0X 4 2" xfId="46136"/>
    <cellStyle name="SAPBEXHLevel0X 5" xfId="46137"/>
    <cellStyle name="SAPBEXHLevel0X 5 2" xfId="46138"/>
    <cellStyle name="SAPBEXHLevel0X 6" xfId="46139"/>
    <cellStyle name="SAPBEXHLevel0X 6 2" xfId="46140"/>
    <cellStyle name="SAPBEXHLevel0X 7" xfId="46141"/>
    <cellStyle name="SAPBEXHLevel0X 7 2" xfId="46142"/>
    <cellStyle name="SAPBEXHLevel0X 8" xfId="46143"/>
    <cellStyle name="SAPBEXHLevel0X 8 2" xfId="46144"/>
    <cellStyle name="SAPBEXHLevel0X 9" xfId="46145"/>
    <cellStyle name="SAPBEXHLevel0X 9 2" xfId="46146"/>
    <cellStyle name="SAPBEXHLevel0X_0910 GSO Capex RRP - Final (Detail) v2 220710" xfId="46147"/>
    <cellStyle name="SAPBEXHLevel1" xfId="55"/>
    <cellStyle name="SAPBEXHLevel1 10" xfId="4614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3" xfId="46171"/>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0" xfId="46184"/>
    <cellStyle name="SAPBEXHLevel1 2 31" xfId="46185"/>
    <cellStyle name="SAPBEXHLevel1 2 32" xfId="46186"/>
    <cellStyle name="SAPBEXHLevel1 2 4" xfId="46187"/>
    <cellStyle name="SAPBEXHLevel1 2 4 2" xfId="46188"/>
    <cellStyle name="SAPBEXHLevel1 2 5" xfId="46189"/>
    <cellStyle name="SAPBEXHLevel1 2 5 2" xfId="46190"/>
    <cellStyle name="SAPBEXHLevel1 2 6" xfId="46191"/>
    <cellStyle name="SAPBEXHLevel1 2 6 2" xfId="46192"/>
    <cellStyle name="SAPBEXHLevel1 2 7" xfId="46193"/>
    <cellStyle name="SAPBEXHLevel1 2 7 2" xfId="46194"/>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3" xfId="46210"/>
    <cellStyle name="SAPBEXHLevel1 30" xfId="46211"/>
    <cellStyle name="SAPBEXHLevel1 31" xfId="46212"/>
    <cellStyle name="SAPBEXHLevel1 32" xfId="46213"/>
    <cellStyle name="SAPBEXHLevel1 33" xfId="46214"/>
    <cellStyle name="SAPBEXHLevel1 4" xfId="46215"/>
    <cellStyle name="SAPBEXHLevel1 4 2" xfId="46216"/>
    <cellStyle name="SAPBEXHLevel1 5" xfId="46217"/>
    <cellStyle name="SAPBEXHLevel1 5 2" xfId="46218"/>
    <cellStyle name="SAPBEXHLevel1 6" xfId="46219"/>
    <cellStyle name="SAPBEXHLevel1 6 2" xfId="46220"/>
    <cellStyle name="SAPBEXHLevel1 7" xfId="46221"/>
    <cellStyle name="SAPBEXHLevel1 7 2" xfId="46222"/>
    <cellStyle name="SAPBEXHLevel1 8" xfId="46223"/>
    <cellStyle name="SAPBEXHLevel1 8 2" xfId="46224"/>
    <cellStyle name="SAPBEXHLevel1 9" xfId="46225"/>
    <cellStyle name="SAPBEXHLevel1 9 2" xfId="46226"/>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3" xfId="4625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0" xfId="46264"/>
    <cellStyle name="SAPBEXHLevel1X 2 31" xfId="46265"/>
    <cellStyle name="SAPBEXHLevel1X 2 32" xfId="46266"/>
    <cellStyle name="SAPBEXHLevel1X 2 4" xfId="46267"/>
    <cellStyle name="SAPBEXHLevel1X 2 4 2" xfId="46268"/>
    <cellStyle name="SAPBEXHLevel1X 2 5" xfId="46269"/>
    <cellStyle name="SAPBEXHLevel1X 2 5 2" xfId="46270"/>
    <cellStyle name="SAPBEXHLevel1X 2 6" xfId="46271"/>
    <cellStyle name="SAPBEXHLevel1X 2 6 2" xfId="46272"/>
    <cellStyle name="SAPBEXHLevel1X 2 7" xfId="46273"/>
    <cellStyle name="SAPBEXHLevel1X 2 7 2" xfId="46274"/>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2" xfId="46289"/>
    <cellStyle name="SAPBEXHLevel1X 3 3" xfId="46290"/>
    <cellStyle name="SAPBEXHLevel1X 30" xfId="46291"/>
    <cellStyle name="SAPBEXHLevel1X 31" xfId="46292"/>
    <cellStyle name="SAPBEXHLevel1X 32" xfId="46293"/>
    <cellStyle name="SAPBEXHLevel1X 33" xfId="46294"/>
    <cellStyle name="SAPBEXHLevel1X 4" xfId="46295"/>
    <cellStyle name="SAPBEXHLevel1X 4 2" xfId="46296"/>
    <cellStyle name="SAPBEXHLevel1X 5" xfId="46297"/>
    <cellStyle name="SAPBEXHLevel1X 5 2" xfId="46298"/>
    <cellStyle name="SAPBEXHLevel1X 6" xfId="46299"/>
    <cellStyle name="SAPBEXHLevel1X 6 2" xfId="46300"/>
    <cellStyle name="SAPBEXHLevel1X 7" xfId="46301"/>
    <cellStyle name="SAPBEXHLevel1X 7 2" xfId="46302"/>
    <cellStyle name="SAPBEXHLevel1X 8" xfId="46303"/>
    <cellStyle name="SAPBEXHLevel1X 8 2" xfId="46304"/>
    <cellStyle name="SAPBEXHLevel1X 9" xfId="46305"/>
    <cellStyle name="SAPBEXHLevel1X 9 2" xfId="46306"/>
    <cellStyle name="SAPBEXHLevel1X_0910 GSO Capex RRP - Final (Detail) v2 220710" xfId="46307"/>
    <cellStyle name="SAPBEXHLevel2" xfId="57"/>
    <cellStyle name="SAPBEXHLevel2 10" xfId="46308"/>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3" xfId="4633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0" xfId="46344"/>
    <cellStyle name="SAPBEXHLevel2 2 31" xfId="46345"/>
    <cellStyle name="SAPBEXHLevel2 2 32" xfId="46346"/>
    <cellStyle name="SAPBEXHLevel2 2 4" xfId="46347"/>
    <cellStyle name="SAPBEXHLevel2 2 4 2" xfId="46348"/>
    <cellStyle name="SAPBEXHLevel2 2 5" xfId="46349"/>
    <cellStyle name="SAPBEXHLevel2 2 5 2" xfId="46350"/>
    <cellStyle name="SAPBEXHLevel2 2 6" xfId="46351"/>
    <cellStyle name="SAPBEXHLevel2 2 6 2" xfId="46352"/>
    <cellStyle name="SAPBEXHLevel2 2 7" xfId="46353"/>
    <cellStyle name="SAPBEXHLevel2 2 7 2" xfId="46354"/>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3" xfId="46370"/>
    <cellStyle name="SAPBEXHLevel2 30" xfId="46371"/>
    <cellStyle name="SAPBEXHLevel2 31" xfId="46372"/>
    <cellStyle name="SAPBEXHLevel2 32" xfId="46373"/>
    <cellStyle name="SAPBEXHLevel2 33" xfId="46374"/>
    <cellStyle name="SAPBEXHLevel2 4" xfId="46375"/>
    <cellStyle name="SAPBEXHLevel2 4 2" xfId="46376"/>
    <cellStyle name="SAPBEXHLevel2 5" xfId="46377"/>
    <cellStyle name="SAPBEXHLevel2 5 2" xfId="46378"/>
    <cellStyle name="SAPBEXHLevel2 6" xfId="46379"/>
    <cellStyle name="SAPBEXHLevel2 6 2" xfId="46380"/>
    <cellStyle name="SAPBEXHLevel2 7" xfId="46381"/>
    <cellStyle name="SAPBEXHLevel2 7 2" xfId="46382"/>
    <cellStyle name="SAPBEXHLevel2 8" xfId="46383"/>
    <cellStyle name="SAPBEXHLevel2 8 2" xfId="46384"/>
    <cellStyle name="SAPBEXHLevel2 9" xfId="46385"/>
    <cellStyle name="SAPBEXHLevel2 9 2" xfId="46386"/>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3" xfId="46411"/>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0" xfId="46424"/>
    <cellStyle name="SAPBEXHLevel2X 2 31" xfId="46425"/>
    <cellStyle name="SAPBEXHLevel2X 2 32" xfId="46426"/>
    <cellStyle name="SAPBEXHLevel2X 2 4" xfId="46427"/>
    <cellStyle name="SAPBEXHLevel2X 2 4 2" xfId="46428"/>
    <cellStyle name="SAPBEXHLevel2X 2 5" xfId="46429"/>
    <cellStyle name="SAPBEXHLevel2X 2 5 2" xfId="46430"/>
    <cellStyle name="SAPBEXHLevel2X 2 6" xfId="46431"/>
    <cellStyle name="SAPBEXHLevel2X 2 6 2" xfId="46432"/>
    <cellStyle name="SAPBEXHLevel2X 2 7" xfId="46433"/>
    <cellStyle name="SAPBEXHLevel2X 2 7 2" xfId="46434"/>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2" xfId="46449"/>
    <cellStyle name="SAPBEXHLevel2X 3 3" xfId="46450"/>
    <cellStyle name="SAPBEXHLevel2X 30" xfId="46451"/>
    <cellStyle name="SAPBEXHLevel2X 31" xfId="46452"/>
    <cellStyle name="SAPBEXHLevel2X 32" xfId="46453"/>
    <cellStyle name="SAPBEXHLevel2X 33" xfId="46454"/>
    <cellStyle name="SAPBEXHLevel2X 4" xfId="46455"/>
    <cellStyle name="SAPBEXHLevel2X 4 2" xfId="46456"/>
    <cellStyle name="SAPBEXHLevel2X 5" xfId="46457"/>
    <cellStyle name="SAPBEXHLevel2X 5 2" xfId="46458"/>
    <cellStyle name="SAPBEXHLevel2X 6" xfId="46459"/>
    <cellStyle name="SAPBEXHLevel2X 6 2" xfId="46460"/>
    <cellStyle name="SAPBEXHLevel2X 7" xfId="46461"/>
    <cellStyle name="SAPBEXHLevel2X 7 2" xfId="46462"/>
    <cellStyle name="SAPBEXHLevel2X 8" xfId="46463"/>
    <cellStyle name="SAPBEXHLevel2X 8 2" xfId="46464"/>
    <cellStyle name="SAPBEXHLevel2X 9" xfId="46465"/>
    <cellStyle name="SAPBEXHLevel2X 9 2" xfId="46466"/>
    <cellStyle name="SAPBEXHLevel2X_0910 GSO Capex RRP - Final (Detail) v2 220710" xfId="46467"/>
    <cellStyle name="SAPBEXHLevel3" xfId="59"/>
    <cellStyle name="SAPBEXHLevel3 10" xfId="46468"/>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3" xfId="46491"/>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0" xfId="46504"/>
    <cellStyle name="SAPBEXHLevel3 2 31" xfId="46505"/>
    <cellStyle name="SAPBEXHLevel3 2 32" xfId="46506"/>
    <cellStyle name="SAPBEXHLevel3 2 4" xfId="46507"/>
    <cellStyle name="SAPBEXHLevel3 2 4 2" xfId="46508"/>
    <cellStyle name="SAPBEXHLevel3 2 5" xfId="46509"/>
    <cellStyle name="SAPBEXHLevel3 2 5 2" xfId="46510"/>
    <cellStyle name="SAPBEXHLevel3 2 6" xfId="46511"/>
    <cellStyle name="SAPBEXHLevel3 2 6 2" xfId="46512"/>
    <cellStyle name="SAPBEXHLevel3 2 7" xfId="46513"/>
    <cellStyle name="SAPBEXHLevel3 2 7 2" xfId="46514"/>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3" xfId="46530"/>
    <cellStyle name="SAPBEXHLevel3 30" xfId="46531"/>
    <cellStyle name="SAPBEXHLevel3 31" xfId="46532"/>
    <cellStyle name="SAPBEXHLevel3 32" xfId="46533"/>
    <cellStyle name="SAPBEXHLevel3 33" xfId="46534"/>
    <cellStyle name="SAPBEXHLevel3 4" xfId="46535"/>
    <cellStyle name="SAPBEXHLevel3 4 2" xfId="46536"/>
    <cellStyle name="SAPBEXHLevel3 5" xfId="46537"/>
    <cellStyle name="SAPBEXHLevel3 5 2" xfId="46538"/>
    <cellStyle name="SAPBEXHLevel3 6" xfId="46539"/>
    <cellStyle name="SAPBEXHLevel3 6 2" xfId="46540"/>
    <cellStyle name="SAPBEXHLevel3 7" xfId="46541"/>
    <cellStyle name="SAPBEXHLevel3 7 2" xfId="46542"/>
    <cellStyle name="SAPBEXHLevel3 8" xfId="46543"/>
    <cellStyle name="SAPBEXHLevel3 8 2" xfId="46544"/>
    <cellStyle name="SAPBEXHLevel3 9" xfId="46545"/>
    <cellStyle name="SAPBEXHLevel3 9 2" xfId="46546"/>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3" xfId="46571"/>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0" xfId="46584"/>
    <cellStyle name="SAPBEXHLevel3X 2 31" xfId="46585"/>
    <cellStyle name="SAPBEXHLevel3X 2 32" xfId="46586"/>
    <cellStyle name="SAPBEXHLevel3X 2 4" xfId="46587"/>
    <cellStyle name="SAPBEXHLevel3X 2 4 2" xfId="46588"/>
    <cellStyle name="SAPBEXHLevel3X 2 5" xfId="46589"/>
    <cellStyle name="SAPBEXHLevel3X 2 5 2" xfId="46590"/>
    <cellStyle name="SAPBEXHLevel3X 2 6" xfId="46591"/>
    <cellStyle name="SAPBEXHLevel3X 2 6 2" xfId="46592"/>
    <cellStyle name="SAPBEXHLevel3X 2 7" xfId="46593"/>
    <cellStyle name="SAPBEXHLevel3X 2 7 2" xfId="46594"/>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2" xfId="46609"/>
    <cellStyle name="SAPBEXHLevel3X 3 3" xfId="46610"/>
    <cellStyle name="SAPBEXHLevel3X 30" xfId="46611"/>
    <cellStyle name="SAPBEXHLevel3X 31" xfId="46612"/>
    <cellStyle name="SAPBEXHLevel3X 32" xfId="46613"/>
    <cellStyle name="SAPBEXHLevel3X 33" xfId="46614"/>
    <cellStyle name="SAPBEXHLevel3X 4" xfId="46615"/>
    <cellStyle name="SAPBEXHLevel3X 4 2" xfId="46616"/>
    <cellStyle name="SAPBEXHLevel3X 5" xfId="46617"/>
    <cellStyle name="SAPBEXHLevel3X 5 2" xfId="46618"/>
    <cellStyle name="SAPBEXHLevel3X 6" xfId="46619"/>
    <cellStyle name="SAPBEXHLevel3X 6 2" xfId="46620"/>
    <cellStyle name="SAPBEXHLevel3X 7" xfId="46621"/>
    <cellStyle name="SAPBEXHLevel3X 7 2" xfId="46622"/>
    <cellStyle name="SAPBEXHLevel3X 8" xfId="46623"/>
    <cellStyle name="SAPBEXHLevel3X 8 2" xfId="46624"/>
    <cellStyle name="SAPBEXHLevel3X 9" xfId="46625"/>
    <cellStyle name="SAPBEXHLevel3X 9 2" xfId="46626"/>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2" xfId="46872"/>
    <cellStyle name="SAPBEXinputData 3 2 2 2" xfId="46873"/>
    <cellStyle name="SAPBEXinputData 3 2 2 3" xfId="46874"/>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3" xfId="46900"/>
    <cellStyle name="SAPBEXinputData 3 30" xfId="46901"/>
    <cellStyle name="SAPBEXinputData 3 4" xfId="46902"/>
    <cellStyle name="SAPBEXinputData 3 4 2" xfId="46903"/>
    <cellStyle name="SAPBEXinputData 3 5" xfId="46904"/>
    <cellStyle name="SAPBEXinputData 3 5 2" xfId="46905"/>
    <cellStyle name="SAPBEXinputData 3 6" xfId="46906"/>
    <cellStyle name="SAPBEXinputData 3 6 2" xfId="46907"/>
    <cellStyle name="SAPBEXinputData 3 7" xfId="46908"/>
    <cellStyle name="SAPBEXinputData 3 7 2" xfId="46909"/>
    <cellStyle name="SAPBEXinputData 3 8" xfId="46910"/>
    <cellStyle name="SAPBEXinputData 3 8 2" xfId="46911"/>
    <cellStyle name="SAPBEXinputData 3 9" xfId="46912"/>
    <cellStyle name="SAPBEXinputData 3 9 2" xfId="46913"/>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3" xfId="47072"/>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0" xfId="47084"/>
    <cellStyle name="SAPBEXItemHeader 31" xfId="47085"/>
    <cellStyle name="SAPBEXItemHeader 32" xfId="47086"/>
    <cellStyle name="SAPBEXItemHeader 4" xfId="47087"/>
    <cellStyle name="SAPBEXItemHeader 5" xfId="47088"/>
    <cellStyle name="SAPBEXItemHeader 6" xfId="47089"/>
    <cellStyle name="SAPBEXItemHeader 7" xfId="47090"/>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3" xfId="47105"/>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0" xfId="47117"/>
    <cellStyle name="SAPBEXresData 31" xfId="47118"/>
    <cellStyle name="SAPBEXresData 32" xfId="47119"/>
    <cellStyle name="SAPBEXresData 4" xfId="47120"/>
    <cellStyle name="SAPBEXresData 5" xfId="47121"/>
    <cellStyle name="SAPBEXresData 6" xfId="47122"/>
    <cellStyle name="SAPBEXresData 7" xfId="47123"/>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3" xfId="47173"/>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0" xfId="47185"/>
    <cellStyle name="SAPBEXresItem 31" xfId="47186"/>
    <cellStyle name="SAPBEXresItem 32" xfId="47187"/>
    <cellStyle name="SAPBEXresItem 4" xfId="47188"/>
    <cellStyle name="SAPBEXresItem 5" xfId="47189"/>
    <cellStyle name="SAPBEXresItem 6" xfId="47190"/>
    <cellStyle name="SAPBEXresItem 7" xfId="47191"/>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3" xfId="47207"/>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0" xfId="47219"/>
    <cellStyle name="SAPBEXresItemX 31" xfId="47220"/>
    <cellStyle name="SAPBEXresItemX 32" xfId="47221"/>
    <cellStyle name="SAPBEXresItemX 4" xfId="47222"/>
    <cellStyle name="SAPBEXresItemX 5" xfId="47223"/>
    <cellStyle name="SAPBEXresItemX 6" xfId="47224"/>
    <cellStyle name="SAPBEXresItemX 7" xfId="47225"/>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3" xfId="47240"/>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0" xfId="47252"/>
    <cellStyle name="SAPBEXstdData 31" xfId="47253"/>
    <cellStyle name="SAPBEXstdData 32" xfId="47254"/>
    <cellStyle name="SAPBEXstdData 4" xfId="47255"/>
    <cellStyle name="SAPBEXstdData 5" xfId="47256"/>
    <cellStyle name="SAPBEXstdData 6" xfId="47257"/>
    <cellStyle name="SAPBEXstdData 7" xfId="47258"/>
    <cellStyle name="SAPBEXstdData 8" xfId="47259"/>
    <cellStyle name="SAPBEXstdData 9" xfId="47260"/>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3" xfId="47274"/>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0" xfId="47286"/>
    <cellStyle name="SAPBEXstdDataEmph 31" xfId="47287"/>
    <cellStyle name="SAPBEXstdDataEmph 32" xfId="47288"/>
    <cellStyle name="SAPBEXstdDataEmph 4" xfId="47289"/>
    <cellStyle name="SAPBEXstdDataEmph 5" xfId="47290"/>
    <cellStyle name="SAPBEXstdDataEmph 6" xfId="47291"/>
    <cellStyle name="SAPBEXstdDataEmph 7" xfId="47292"/>
    <cellStyle name="SAPBEXstdDataEmph 8" xfId="47293"/>
    <cellStyle name="SAPBEXstdDataEmph 9" xfId="4729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3" xfId="47308"/>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0" xfId="47320"/>
    <cellStyle name="SAPBEXstdItem 31" xfId="47321"/>
    <cellStyle name="SAPBEXstdItem 32" xfId="47322"/>
    <cellStyle name="SAPBEXstdItem 4" xfId="47323"/>
    <cellStyle name="SAPBEXstdItem 5" xfId="47324"/>
    <cellStyle name="SAPBEXstdItem 6" xfId="47325"/>
    <cellStyle name="SAPBEXstdItem 7" xfId="47326"/>
    <cellStyle name="SAPBEXstdItem 8" xfId="47327"/>
    <cellStyle name="SAPBEXstdItem 9" xfId="47328"/>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3" xfId="4734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0" xfId="47354"/>
    <cellStyle name="SAPBEXstdItemX 31" xfId="47355"/>
    <cellStyle name="SAPBEXstdItemX 32" xfId="47356"/>
    <cellStyle name="SAPBEXstdItemX 4" xfId="47357"/>
    <cellStyle name="SAPBEXstdItemX 5" xfId="47358"/>
    <cellStyle name="SAPBEXstdItemX 6" xfId="47359"/>
    <cellStyle name="SAPBEXstdItemX 7" xfId="47360"/>
    <cellStyle name="SAPBEXstdItemX 8" xfId="47361"/>
    <cellStyle name="SAPBEXstdItemX 9" xfId="47362"/>
    <cellStyle name="SAPBEXtitle" xfId="70"/>
    <cellStyle name="SAPBEXtitle 2" xfId="47363"/>
    <cellStyle name="SAPBEXtitle 2 2" xfId="47364"/>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3" xfId="47596"/>
    <cellStyle name="SAPBEXundefined 2 3" xfId="47597"/>
    <cellStyle name="SAPBEXundefined 2 3 2" xfId="47598"/>
    <cellStyle name="SAPBEXundefined 2 4" xfId="47599"/>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3" xfId="47612"/>
    <cellStyle name="SAPBEXundefined 30" xfId="47613"/>
    <cellStyle name="SAPBEXundefined 31" xfId="47614"/>
    <cellStyle name="SAPBEXundefined 32" xfId="47615"/>
    <cellStyle name="SAPBEXundefined 4" xfId="47616"/>
    <cellStyle name="SAPBEXundefined 4 2" xfId="47617"/>
    <cellStyle name="SAPBEXundefined 5" xfId="47618"/>
    <cellStyle name="SAPBEXundefined 6" xfId="47619"/>
    <cellStyle name="SAPBEXundefined 7" xfId="47620"/>
    <cellStyle name="SAPBEXundefined 8" xfId="47621"/>
    <cellStyle name="SAPBEXundefined 9" xfId="47622"/>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2" xfId="47897"/>
    <cellStyle name="Total 1 2 2 2 2" xfId="47898"/>
    <cellStyle name="Total 1 2 2 2 3" xfId="47899"/>
    <cellStyle name="Total 1 2 2 3" xfId="47900"/>
    <cellStyle name="Total 1 2 2 3 2" xfId="47901"/>
    <cellStyle name="Total 1 2 2 3 3" xfId="47902"/>
    <cellStyle name="Total 1 2 2 4" xfId="47903"/>
    <cellStyle name="Total 1 2 2 4 2" xfId="47904"/>
    <cellStyle name="Total 1 2 2 4 3" xfId="47905"/>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3" xfId="47923"/>
    <cellStyle name="Total 1 2 30" xfId="47924"/>
    <cellStyle name="Total 1 2 4" xfId="47925"/>
    <cellStyle name="Total 1 2 4 2" xfId="47926"/>
    <cellStyle name="Total 1 2 4 3" xfId="47927"/>
    <cellStyle name="Total 1 2 5" xfId="47928"/>
    <cellStyle name="Total 1 2 5 2" xfId="47929"/>
    <cellStyle name="Total 1 2 5 3" xfId="47930"/>
    <cellStyle name="Total 1 2 6" xfId="47931"/>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3" xfId="48145"/>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3" xfId="48158"/>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5" xfId="48179"/>
    <cellStyle name="Total 2 6" xfId="48180"/>
    <cellStyle name="Total 2 7" xfId="48181"/>
    <cellStyle name="Total 2 8" xfId="48182"/>
    <cellStyle name="Total 2 9" xfId="48183"/>
    <cellStyle name="Total 3" xfId="48184"/>
    <cellStyle name="Total 3 2" xfId="48185"/>
    <cellStyle name="Total 3 3" xfId="48186"/>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Yellow" xfId="48233"/>
  </cellStyles>
  <dxfs count="63">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ssets.publishing.service.gov.uk/government/uploads/system/uploads/attachment_data/file/801759/PU797_Forecast_for_the_UK_Economy_May_2019_cover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sheetView>
  </sheetViews>
  <sheetFormatPr defaultRowHeight="12.75"/>
  <cols>
    <col min="1" max="1" width="8.375" customWidth="1"/>
    <col min="2" max="2" width="27.125" customWidth="1"/>
    <col min="3" max="6" width="14.125" customWidth="1"/>
    <col min="7" max="7" width="14.125" style="222" customWidth="1"/>
    <col min="8" max="11" width="14.125" customWidth="1"/>
  </cols>
  <sheetData>
    <row r="1" spans="1:11" s="32" customFormat="1" ht="20.25">
      <c r="A1" s="30" t="s">
        <v>306</v>
      </c>
      <c r="B1" s="28"/>
      <c r="C1" s="28"/>
      <c r="D1" s="264"/>
      <c r="E1" s="265"/>
      <c r="F1" s="28"/>
      <c r="G1" s="574"/>
      <c r="H1" s="28"/>
      <c r="I1" s="28"/>
      <c r="J1" s="28"/>
      <c r="K1" s="28"/>
    </row>
    <row r="2" spans="1:11" s="32" customFormat="1" ht="20.25">
      <c r="A2" s="30" t="str">
        <f>'RFPR cover'!C5</f>
        <v>NPgY</v>
      </c>
      <c r="B2" s="28"/>
      <c r="C2" s="28"/>
      <c r="D2" s="265"/>
      <c r="E2" s="265"/>
      <c r="F2" s="28"/>
      <c r="G2" s="574"/>
      <c r="H2" s="28"/>
      <c r="I2" s="28"/>
      <c r="J2" s="28"/>
      <c r="K2" s="28"/>
    </row>
    <row r="3" spans="1:11" s="32" customFormat="1" ht="20.25">
      <c r="A3" s="30">
        <f>'RFPR cover'!C7</f>
        <v>2019</v>
      </c>
      <c r="B3" s="28"/>
      <c r="C3" s="28"/>
      <c r="D3" s="265"/>
      <c r="E3" s="265"/>
      <c r="F3" s="28"/>
      <c r="G3" s="574"/>
      <c r="H3" s="28"/>
      <c r="I3" s="28"/>
      <c r="J3" s="28"/>
      <c r="K3" s="28"/>
    </row>
    <row r="4" spans="1:11" ht="14.25">
      <c r="A4" s="31"/>
      <c r="B4" s="31"/>
      <c r="C4" s="31"/>
      <c r="D4" s="31"/>
      <c r="E4" s="31"/>
      <c r="H4" s="10"/>
      <c r="I4" s="10"/>
      <c r="J4" s="10"/>
    </row>
    <row r="5" spans="1:11" ht="13.5" customHeight="1">
      <c r="A5" s="31"/>
      <c r="B5" s="78" t="s">
        <v>62</v>
      </c>
      <c r="C5" s="46" t="s">
        <v>73</v>
      </c>
      <c r="D5" s="357"/>
      <c r="E5" s="19"/>
      <c r="F5" s="11"/>
      <c r="G5" s="575" t="s">
        <v>0</v>
      </c>
      <c r="H5" s="10"/>
      <c r="I5" s="10"/>
      <c r="J5" s="10"/>
    </row>
    <row r="6" spans="1:11" ht="13.5" customHeight="1">
      <c r="A6" s="31"/>
      <c r="B6" s="78" t="s">
        <v>189</v>
      </c>
      <c r="C6" s="83" t="str">
        <f>INDEX(Data!$A$73:$A$100,MATCH($C$5,Data!$B$73:$B$100,0),0)&amp;"1"</f>
        <v>ED1</v>
      </c>
      <c r="D6" s="19"/>
      <c r="E6" s="19"/>
      <c r="F6" s="9"/>
      <c r="G6" s="575" t="s">
        <v>1</v>
      </c>
      <c r="H6" s="10"/>
      <c r="I6" s="10"/>
      <c r="J6" s="10"/>
    </row>
    <row r="7" spans="1:11" ht="25.5">
      <c r="A7" s="31"/>
      <c r="B7" s="79" t="s">
        <v>188</v>
      </c>
      <c r="C7" s="84">
        <v>2019</v>
      </c>
      <c r="D7" s="18"/>
      <c r="E7" s="19"/>
      <c r="F7" s="8"/>
      <c r="G7" s="576" t="s">
        <v>2</v>
      </c>
      <c r="H7" s="10"/>
      <c r="I7" s="10"/>
      <c r="J7" s="10"/>
    </row>
    <row r="8" spans="1:11" ht="14.25">
      <c r="A8" s="31"/>
      <c r="B8" s="78" t="s">
        <v>37</v>
      </c>
      <c r="C8" s="85">
        <v>1</v>
      </c>
      <c r="D8" s="19"/>
      <c r="E8" s="18"/>
      <c r="F8" s="7"/>
      <c r="G8" s="575" t="s">
        <v>3</v>
      </c>
      <c r="H8" s="10"/>
      <c r="I8" s="10"/>
      <c r="J8" s="10"/>
    </row>
    <row r="9" spans="1:11" ht="14.25">
      <c r="A9" s="31"/>
      <c r="B9" s="78" t="s">
        <v>38</v>
      </c>
      <c r="C9" s="86">
        <v>43677</v>
      </c>
      <c r="D9" s="18"/>
      <c r="E9" s="18"/>
      <c r="F9" s="6"/>
      <c r="G9" s="575" t="s">
        <v>4</v>
      </c>
      <c r="H9" s="10"/>
      <c r="I9" s="10"/>
      <c r="J9" s="10"/>
    </row>
    <row r="10" spans="1:11" ht="14.25">
      <c r="A10" s="31"/>
      <c r="B10" s="78" t="s">
        <v>70</v>
      </c>
      <c r="C10" s="87">
        <f>SUMIF(Data!$B$72:$B$100,C5,Data!$C$72:$C$100)</f>
        <v>0.06</v>
      </c>
      <c r="D10" s="18"/>
      <c r="E10" s="18"/>
      <c r="F10" s="5"/>
      <c r="G10" s="575" t="s">
        <v>5</v>
      </c>
      <c r="H10" s="10"/>
      <c r="I10" s="10"/>
      <c r="J10" s="10"/>
    </row>
    <row r="11" spans="1:11" ht="14.25">
      <c r="A11" s="31"/>
      <c r="B11" s="78" t="s">
        <v>71</v>
      </c>
      <c r="C11" s="88">
        <f>SUMIF(Data!$B$72:$B$100,C5,Data!$D$72:$D$100)</f>
        <v>0.55843703457782867</v>
      </c>
      <c r="D11" s="19"/>
      <c r="E11" s="19"/>
      <c r="F11" s="4"/>
      <c r="G11" s="575" t="s">
        <v>6</v>
      </c>
      <c r="H11" s="10"/>
      <c r="I11" s="10"/>
      <c r="J11" s="10"/>
    </row>
    <row r="12" spans="1:11">
      <c r="A12" s="31"/>
      <c r="B12" s="78" t="s">
        <v>115</v>
      </c>
      <c r="C12" s="87">
        <f>SUMIF(Data!$B$72:$B$100,C5,Data!$E$72:$E$100)</f>
        <v>0.65</v>
      </c>
      <c r="D12" s="18"/>
      <c r="E12" s="18"/>
      <c r="F12" s="18"/>
      <c r="G12" s="577"/>
    </row>
    <row r="13" spans="1:11">
      <c r="A13" s="31"/>
      <c r="B13" s="78" t="s">
        <v>514</v>
      </c>
      <c r="C13" s="83">
        <f>INDEX(Data!$G$73:$G$100,MATCH($C$5,Data!$B$73:$B$100,0),0)</f>
        <v>2016</v>
      </c>
      <c r="D13" s="18"/>
      <c r="E13" s="18"/>
      <c r="F13" s="77" t="s">
        <v>191</v>
      </c>
    </row>
    <row r="14" spans="1:11">
      <c r="A14" s="31"/>
      <c r="B14" s="80" t="s">
        <v>185</v>
      </c>
      <c r="C14" s="83" t="str">
        <f>INDEX(Data!$H$73:$H$100,MATCH($C$5,Data!$B$73:$B$100,0),0)</f>
        <v>£m 12/13</v>
      </c>
      <c r="D14" s="18"/>
      <c r="E14" s="18"/>
      <c r="F14" s="90">
        <v>0.1</v>
      </c>
      <c r="G14" s="577"/>
    </row>
    <row r="15" spans="1:11">
      <c r="A15" s="31"/>
      <c r="B15" s="18"/>
      <c r="C15" s="18"/>
      <c r="D15" s="18"/>
      <c r="E15" s="18"/>
      <c r="F15" s="18"/>
      <c r="G15" s="577"/>
    </row>
    <row r="85" spans="1:1">
      <c r="A85" s="213"/>
    </row>
  </sheetData>
  <sheetProtection password="DA3D" sheet="1" objects="1" scenarios="1" formatCells="0" formatColumns="0" formatRows="0"/>
  <pageMargins left="0.70866141732283472" right="0.70866141732283472" top="0.74803149606299213" bottom="0.74803149606299213" header="0.31496062992125984" footer="0.31496062992125984"/>
  <pageSetup paperSize="8" scale="6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T268"/>
  <sheetViews>
    <sheetView showGridLines="0" zoomScale="69" zoomScaleNormal="69" workbookViewId="0">
      <pane ySplit="4" topLeftCell="A5" activePane="bottomLeft" state="frozen"/>
      <selection pane="bottomLeft"/>
    </sheetView>
  </sheetViews>
  <sheetFormatPr defaultRowHeight="12.75"/>
  <cols>
    <col min="1" max="1" width="8.375" customWidth="1"/>
    <col min="2" max="2" width="35.125" customWidth="1"/>
    <col min="8" max="8" width="10.125" bestFit="1" customWidth="1"/>
    <col min="14" max="14" width="9" customWidth="1"/>
  </cols>
  <sheetData>
    <row r="1" spans="1:14" ht="20.25">
      <c r="A1" s="381" t="s">
        <v>378</v>
      </c>
      <c r="B1" s="428"/>
      <c r="C1" s="428"/>
      <c r="D1" s="428"/>
      <c r="E1" s="428"/>
      <c r="F1" s="428"/>
      <c r="G1" s="428"/>
      <c r="H1" s="428"/>
      <c r="I1" s="428"/>
      <c r="J1" s="428"/>
      <c r="K1" s="428"/>
      <c r="L1" s="428"/>
      <c r="M1" s="428"/>
      <c r="N1" s="429"/>
    </row>
    <row r="2" spans="1:14" ht="20.25">
      <c r="A2" s="125" t="str">
        <f>'RFPR cover'!C5</f>
        <v>NPgY</v>
      </c>
      <c r="B2" s="313"/>
      <c r="C2" s="313"/>
      <c r="D2" s="313"/>
      <c r="E2" s="313"/>
      <c r="F2" s="313"/>
      <c r="G2" s="313"/>
      <c r="H2" s="313"/>
      <c r="I2" s="313"/>
      <c r="J2" s="313"/>
      <c r="K2" s="313"/>
      <c r="L2" s="313"/>
      <c r="M2" s="313"/>
      <c r="N2" s="314"/>
    </row>
    <row r="3" spans="1:14" ht="20.25">
      <c r="A3" s="272">
        <f>'RFPR cover'!C7</f>
        <v>2019</v>
      </c>
      <c r="B3" s="315"/>
      <c r="C3" s="315"/>
      <c r="D3" s="315"/>
      <c r="E3" s="315"/>
      <c r="F3" s="315"/>
      <c r="G3" s="315"/>
      <c r="H3" s="315"/>
      <c r="I3" s="315"/>
      <c r="J3" s="315"/>
      <c r="K3" s="315"/>
      <c r="L3" s="315"/>
      <c r="M3" s="315"/>
      <c r="N3" s="316"/>
    </row>
    <row r="6" spans="1:14">
      <c r="A6" s="31"/>
      <c r="B6" s="21">
        <v>2018</v>
      </c>
      <c r="C6" s="20" t="s">
        <v>63</v>
      </c>
      <c r="D6" s="18"/>
      <c r="E6" s="18"/>
      <c r="F6" s="876"/>
      <c r="G6" s="18"/>
    </row>
    <row r="7" spans="1:14">
      <c r="A7" s="31"/>
      <c r="B7" s="21">
        <v>2019</v>
      </c>
      <c r="C7" s="20" t="s">
        <v>64</v>
      </c>
      <c r="D7" s="18"/>
      <c r="E7" s="18"/>
      <c r="F7" s="18"/>
      <c r="G7" s="18"/>
    </row>
    <row r="8" spans="1:14">
      <c r="A8" s="31"/>
      <c r="B8" s="21">
        <v>2020</v>
      </c>
      <c r="C8" s="20" t="s">
        <v>65</v>
      </c>
      <c r="D8" s="19"/>
      <c r="E8" s="19"/>
      <c r="F8" s="19"/>
      <c r="G8" s="19"/>
    </row>
    <row r="9" spans="1:14">
      <c r="A9" s="31"/>
      <c r="B9" s="21">
        <v>2021</v>
      </c>
      <c r="C9" s="20" t="s">
        <v>66</v>
      </c>
      <c r="D9" s="18"/>
      <c r="E9" s="18"/>
      <c r="F9" s="18"/>
      <c r="G9" s="18"/>
    </row>
    <row r="10" spans="1:14">
      <c r="A10" s="31"/>
      <c r="B10" s="21">
        <v>2022</v>
      </c>
      <c r="C10" s="20" t="s">
        <v>67</v>
      </c>
      <c r="D10" s="18"/>
      <c r="E10" s="18"/>
      <c r="F10" s="18"/>
    </row>
    <row r="11" spans="1:14">
      <c r="A11" s="31"/>
      <c r="B11" s="21">
        <v>2023</v>
      </c>
      <c r="C11" s="20" t="s">
        <v>68</v>
      </c>
      <c r="D11" s="19"/>
      <c r="E11" s="19"/>
      <c r="F11" s="19"/>
    </row>
    <row r="12" spans="1:14">
      <c r="A12" s="31"/>
      <c r="B12" s="18"/>
      <c r="C12" s="18"/>
      <c r="D12" s="18"/>
      <c r="E12" s="18"/>
      <c r="F12" s="18"/>
    </row>
    <row r="13" spans="1:14" ht="75" customHeight="1">
      <c r="A13" s="31"/>
      <c r="B13" s="578" t="s">
        <v>39</v>
      </c>
      <c r="C13" s="579" t="s">
        <v>40</v>
      </c>
      <c r="D13" s="579" t="s">
        <v>192</v>
      </c>
      <c r="E13" s="579" t="s">
        <v>41</v>
      </c>
      <c r="F13" s="579" t="s">
        <v>42</v>
      </c>
      <c r="G13" s="580" t="s">
        <v>319</v>
      </c>
    </row>
    <row r="14" spans="1:14">
      <c r="A14" s="31"/>
      <c r="B14" s="169" t="s">
        <v>74</v>
      </c>
      <c r="C14" s="177">
        <v>2010</v>
      </c>
      <c r="D14" s="170" t="str">
        <f>IF(VALUE(C14)&lt;='RFPR cover'!$C$7,"Actual","Forecast")</f>
        <v>Actual</v>
      </c>
      <c r="E14" s="393">
        <v>215.767</v>
      </c>
      <c r="F14" s="523">
        <v>221.75</v>
      </c>
      <c r="G14" s="171">
        <v>0.28000000000000003</v>
      </c>
      <c r="H14" s="877"/>
      <c r="J14" s="878"/>
    </row>
    <row r="15" spans="1:14">
      <c r="A15" s="31"/>
      <c r="B15" s="172" t="s">
        <v>75</v>
      </c>
      <c r="C15" s="178">
        <v>2011</v>
      </c>
      <c r="D15" s="173" t="str">
        <f>IF(VALUE(C15)&lt;='RFPR cover'!$C$7,"Actual","Forecast")</f>
        <v>Actual</v>
      </c>
      <c r="E15" s="394">
        <v>226.47499999999999</v>
      </c>
      <c r="F15" s="524">
        <v>233.45</v>
      </c>
      <c r="G15" s="174">
        <v>0.28000000000000003</v>
      </c>
      <c r="H15" s="877"/>
      <c r="J15" s="878"/>
    </row>
    <row r="16" spans="1:14" ht="14.25" customHeight="1">
      <c r="A16" s="31"/>
      <c r="B16" s="172" t="s">
        <v>76</v>
      </c>
      <c r="C16" s="178">
        <v>2012</v>
      </c>
      <c r="D16" s="173" t="str">
        <f>IF(VALUE(C16)&lt;='RFPR cover'!$C$7,"Actual","Forecast")</f>
        <v>Actual</v>
      </c>
      <c r="E16" s="394">
        <v>237.34200000000001</v>
      </c>
      <c r="F16" s="524">
        <v>241.65</v>
      </c>
      <c r="G16" s="174">
        <v>0.26</v>
      </c>
      <c r="H16" s="877"/>
      <c r="J16" s="878"/>
    </row>
    <row r="17" spans="2:10">
      <c r="B17" s="172" t="s">
        <v>77</v>
      </c>
      <c r="C17" s="178">
        <v>2013</v>
      </c>
      <c r="D17" s="173" t="str">
        <f>IF(VALUE(C17)&lt;='RFPR cover'!$C$7,"Actual","Forecast")</f>
        <v>Actual</v>
      </c>
      <c r="E17" s="394">
        <v>244.67500000000001</v>
      </c>
      <c r="F17" s="524">
        <v>249.1</v>
      </c>
      <c r="G17" s="174">
        <v>0.24</v>
      </c>
      <c r="H17" s="877"/>
      <c r="J17" s="878"/>
    </row>
    <row r="18" spans="2:10">
      <c r="B18" s="172" t="s">
        <v>78</v>
      </c>
      <c r="C18" s="178">
        <v>2014</v>
      </c>
      <c r="D18" s="173" t="str">
        <f>IF(VALUE(C18)&lt;='RFPR cover'!$C$7,"Actual","Forecast")</f>
        <v>Actual</v>
      </c>
      <c r="E18" s="394">
        <v>251.733</v>
      </c>
      <c r="F18" s="524">
        <v>255.25</v>
      </c>
      <c r="G18" s="174">
        <v>0.23</v>
      </c>
      <c r="H18" s="877"/>
      <c r="I18" s="543"/>
      <c r="J18" s="878"/>
    </row>
    <row r="19" spans="2:10">
      <c r="B19" s="172" t="s">
        <v>79</v>
      </c>
      <c r="C19" s="178">
        <v>2015</v>
      </c>
      <c r="D19" s="173" t="str">
        <f>IF(VALUE(C19)&lt;='RFPR cover'!$C$7,"Actual","Forecast")</f>
        <v>Actual</v>
      </c>
      <c r="E19" s="394">
        <v>256.66699999999997</v>
      </c>
      <c r="F19" s="524">
        <v>257.55</v>
      </c>
      <c r="G19" s="174">
        <v>0.21</v>
      </c>
      <c r="H19" s="877"/>
      <c r="I19" s="543"/>
      <c r="J19" s="878"/>
    </row>
    <row r="20" spans="2:10">
      <c r="B20" s="172" t="s">
        <v>80</v>
      </c>
      <c r="C20" s="178">
        <v>2016</v>
      </c>
      <c r="D20" s="173" t="str">
        <f>IF(VALUE(C20)&lt;='RFPR cover'!$C$7,"Actual","Forecast")</f>
        <v>Actual</v>
      </c>
      <c r="E20" s="394">
        <v>259.43299999999999</v>
      </c>
      <c r="F20" s="524">
        <v>261.25</v>
      </c>
      <c r="G20" s="174">
        <v>0.2</v>
      </c>
      <c r="H20" s="877"/>
      <c r="I20" s="543"/>
      <c r="J20" s="878"/>
    </row>
    <row r="21" spans="2:10">
      <c r="B21" s="172" t="s">
        <v>81</v>
      </c>
      <c r="C21" s="178">
        <v>2017</v>
      </c>
      <c r="D21" s="173" t="str">
        <f>IF(VALUE(C21)&lt;='RFPR cover'!$C$7,"Actual","Forecast")</f>
        <v>Actual</v>
      </c>
      <c r="E21" s="394">
        <v>264.99200000000002</v>
      </c>
      <c r="F21" s="524">
        <v>269.95000000000005</v>
      </c>
      <c r="G21" s="174">
        <v>0.2</v>
      </c>
      <c r="H21" s="877"/>
      <c r="I21" s="543"/>
      <c r="J21" s="878"/>
    </row>
    <row r="22" spans="2:10">
      <c r="B22" s="172" t="s">
        <v>63</v>
      </c>
      <c r="C22" s="178">
        <v>2018</v>
      </c>
      <c r="D22" s="173" t="str">
        <f>IF(VALUE(C22)&lt;='RFPR cover'!$C$7,"Actual","Forecast")</f>
        <v>Actual</v>
      </c>
      <c r="E22" s="394">
        <v>274.90800000000002</v>
      </c>
      <c r="F22" s="524">
        <v>279</v>
      </c>
      <c r="G22" s="174">
        <v>0.19</v>
      </c>
      <c r="H22" s="877"/>
      <c r="I22" s="543"/>
      <c r="J22" s="878"/>
    </row>
    <row r="23" spans="2:10">
      <c r="B23" s="526" t="s">
        <v>64</v>
      </c>
      <c r="C23" s="527">
        <v>2019</v>
      </c>
      <c r="D23" s="173" t="str">
        <f>IF(VALUE(C23)&lt;='RFPR cover'!$C$7,"Actual","Forecast")</f>
        <v>Actual</v>
      </c>
      <c r="E23" s="394">
        <v>283.30799999999999</v>
      </c>
      <c r="F23" s="524">
        <v>286.64999999999998</v>
      </c>
      <c r="G23" s="174">
        <v>0.19</v>
      </c>
      <c r="H23" s="877"/>
      <c r="J23" s="878"/>
    </row>
    <row r="24" spans="2:10">
      <c r="B24" s="526" t="s">
        <v>65</v>
      </c>
      <c r="C24" s="527">
        <v>2020</v>
      </c>
      <c r="D24" s="173" t="str">
        <f>IF(VALUE(C24)&lt;='RFPR cover'!$C$7,"Actual","Forecast")</f>
        <v>Forecast</v>
      </c>
      <c r="E24" s="525">
        <f t="shared" ref="E24:F27" si="0">E23*(1+INDEX($D$43:$J$43,0,MATCH($C24,$D$42:$J$42,0)))</f>
        <v>290.74483500000002</v>
      </c>
      <c r="F24" s="525">
        <f t="shared" si="0"/>
        <v>294.17456249999998</v>
      </c>
      <c r="G24" s="174">
        <v>0.19</v>
      </c>
      <c r="H24" s="877"/>
      <c r="J24" s="878"/>
    </row>
    <row r="25" spans="2:10">
      <c r="B25" s="526" t="s">
        <v>66</v>
      </c>
      <c r="C25" s="527">
        <v>2021</v>
      </c>
      <c r="D25" s="173" t="str">
        <f>IF(VALUE(C25)&lt;='RFPR cover'!$C$7,"Actual","Forecast")</f>
        <v>Forecast</v>
      </c>
      <c r="E25" s="525">
        <f t="shared" si="0"/>
        <v>298.81300417124999</v>
      </c>
      <c r="F25" s="525">
        <f t="shared" si="0"/>
        <v>302.33790660937495</v>
      </c>
      <c r="G25" s="174">
        <v>0.17</v>
      </c>
      <c r="H25" s="877"/>
      <c r="J25" s="878"/>
    </row>
    <row r="26" spans="2:10">
      <c r="B26" s="526" t="s">
        <v>67</v>
      </c>
      <c r="C26" s="527">
        <v>2022</v>
      </c>
      <c r="D26" s="173" t="str">
        <f>IF(VALUE(C26)&lt;='RFPR cover'!$C$7,"Actual","Forecast")</f>
        <v>Forecast</v>
      </c>
      <c r="E26" s="525">
        <f t="shared" si="0"/>
        <v>307.85209754743033</v>
      </c>
      <c r="F26" s="525">
        <f t="shared" si="0"/>
        <v>311.48362828430857</v>
      </c>
      <c r="G26" s="174">
        <v>0.17</v>
      </c>
      <c r="H26" s="877"/>
      <c r="J26" s="878"/>
    </row>
    <row r="27" spans="2:10">
      <c r="B27" s="526" t="s">
        <v>68</v>
      </c>
      <c r="C27" s="527">
        <v>2023</v>
      </c>
      <c r="D27" s="173" t="str">
        <f>IF(VALUE(C27)&lt;='RFPR cover'!$C$7,"Actual","Forecast")</f>
        <v>Forecast</v>
      </c>
      <c r="E27" s="525">
        <f t="shared" si="0"/>
        <v>317.31854954701384</v>
      </c>
      <c r="F27" s="525">
        <f t="shared" si="0"/>
        <v>321.06174985405107</v>
      </c>
      <c r="G27" s="174">
        <v>0.17</v>
      </c>
      <c r="H27" s="877"/>
      <c r="J27" s="878"/>
    </row>
    <row r="28" spans="2:10">
      <c r="B28" s="526" t="s">
        <v>205</v>
      </c>
      <c r="C28" s="527">
        <v>2024</v>
      </c>
      <c r="D28" s="173" t="str">
        <f>IF(VALUE(C28)&lt;='RFPR cover'!$C$7,"Actual","Forecast")</f>
        <v>Forecast</v>
      </c>
      <c r="E28" s="396"/>
      <c r="F28" s="396"/>
      <c r="G28" s="174">
        <v>0.17</v>
      </c>
    </row>
    <row r="29" spans="2:10">
      <c r="B29" s="526" t="s">
        <v>206</v>
      </c>
      <c r="C29" s="527">
        <v>2025</v>
      </c>
      <c r="D29" s="173" t="str">
        <f>IF(VALUE(C29)&lt;='RFPR cover'!$C$7,"Actual","Forecast")</f>
        <v>Forecast</v>
      </c>
      <c r="E29" s="396"/>
      <c r="F29" s="396"/>
      <c r="G29" s="174">
        <v>0.17</v>
      </c>
    </row>
    <row r="30" spans="2:10">
      <c r="B30" s="528" t="s">
        <v>207</v>
      </c>
      <c r="C30" s="529">
        <v>2026</v>
      </c>
      <c r="D30" s="175" t="str">
        <f>IF(VALUE(C30)&lt;='RFPR cover'!$C$7,"Actual","Forecast")</f>
        <v>Forecast</v>
      </c>
      <c r="E30" s="395"/>
      <c r="F30" s="395"/>
      <c r="G30" s="176">
        <v>0.17</v>
      </c>
    </row>
    <row r="31" spans="2:10">
      <c r="B31" s="89"/>
      <c r="C31" s="67"/>
      <c r="D31" s="67"/>
      <c r="E31" s="67"/>
      <c r="F31" s="67"/>
    </row>
    <row r="32" spans="2:10">
      <c r="B32" s="89"/>
      <c r="C32" s="361" t="str">
        <f>IF(C33&lt;='RFPR cover'!$C$7,"Actuals","Forecast")</f>
        <v>Actuals</v>
      </c>
      <c r="D32" s="362" t="str">
        <f>IF(D33&lt;='RFPR cover'!$C$7,"Actuals","Forecast")</f>
        <v>Actuals</v>
      </c>
      <c r="E32" s="362" t="str">
        <f>IF(E33&lt;='RFPR cover'!$C$7,"Actuals","Forecast")</f>
        <v>Actuals</v>
      </c>
      <c r="F32" s="362" t="str">
        <f>IF(F33&lt;='RFPR cover'!$C$7,"Actuals","Forecast")</f>
        <v>Actuals</v>
      </c>
      <c r="G32" s="362" t="str">
        <f>IF(G33&lt;='RFPR cover'!$C$7,"Actuals","Forecast")</f>
        <v>Forecast</v>
      </c>
      <c r="H32" s="362" t="str">
        <f>IF(H33&lt;='RFPR cover'!$C$7,"Actuals","Forecast")</f>
        <v>Forecast</v>
      </c>
      <c r="I32" s="362" t="str">
        <f>IF(I33&lt;='RFPR cover'!$C$7,"Actuals","Forecast")</f>
        <v>Forecast</v>
      </c>
      <c r="J32" s="363" t="str">
        <f>IF(J33&lt;='RFPR cover'!$C$7,"Actuals","Forecast")</f>
        <v>Forecast</v>
      </c>
    </row>
    <row r="33" spans="2:13" ht="15.75" customHeight="1">
      <c r="B33" s="303"/>
      <c r="C33" s="91">
        <f>'RFPR cover'!$C$13</f>
        <v>2016</v>
      </c>
      <c r="D33" s="92">
        <f t="shared" ref="D33:J33" si="1">C33+1</f>
        <v>2017</v>
      </c>
      <c r="E33" s="92">
        <f t="shared" si="1"/>
        <v>2018</v>
      </c>
      <c r="F33" s="92">
        <f t="shared" si="1"/>
        <v>2019</v>
      </c>
      <c r="G33" s="92">
        <f t="shared" si="1"/>
        <v>2020</v>
      </c>
      <c r="H33" s="92">
        <f t="shared" si="1"/>
        <v>2021</v>
      </c>
      <c r="I33" s="92">
        <f t="shared" si="1"/>
        <v>2022</v>
      </c>
      <c r="J33" s="334">
        <f t="shared" si="1"/>
        <v>2023</v>
      </c>
    </row>
    <row r="34" spans="2:13" ht="15.75" customHeight="1">
      <c r="B34" s="521" t="s">
        <v>379</v>
      </c>
      <c r="C34" s="519">
        <f>INDEX(Data!$E$14:$E$30,MATCH(C$33,Data!$C$14:$C$30,0),0)/IF('RFPR cover'!$C$6="ED1",Data!$E$17,Data!$E$14)</f>
        <v>1.0603167467048125</v>
      </c>
      <c r="D34" s="516">
        <f>INDEX(Data!$E$14:$E$30,MATCH(D$33,Data!$C$14:$C$30,0),0)/IF('RFPR cover'!$C$6="ED1",Data!$E$17,Data!$E$14)</f>
        <v>1.0830366813119445</v>
      </c>
      <c r="E34" s="516">
        <f>INDEX(Data!$E$14:$E$30,MATCH(E$33,Data!$C$14:$C$30,0),0)/IF('RFPR cover'!$C$6="ED1",Data!$E$17,Data!$E$14)</f>
        <v>1.1235639113109226</v>
      </c>
      <c r="F34" s="516">
        <f>INDEX(Data!$E$14:$E$30,MATCH(F$33,Data!$C$14:$C$30,0),0)/IF('RFPR cover'!$C$6="ED1",Data!$E$17,Data!$E$14)</f>
        <v>1.1578951670583426</v>
      </c>
      <c r="G34" s="516">
        <f>INDEX(Data!$E$14:$E$30,MATCH(G$33,Data!$C$14:$C$30,0),0)/IF('RFPR cover'!$C$6="ED1",Data!$E$17,Data!$E$14)</f>
        <v>1.1882899151936241</v>
      </c>
      <c r="H34" s="516">
        <f>INDEX(Data!$E$14:$E$30,MATCH(H$33,Data!$C$14:$C$30,0),0)/IF('RFPR cover'!$C$6="ED1",Data!$E$17,Data!$E$14)</f>
        <v>1.2212649603402472</v>
      </c>
      <c r="I34" s="517">
        <f>INDEX(Data!$E$14:$E$30,MATCH(I$33,Data!$C$14:$C$30,0),0)/IF('RFPR cover'!$C$6="ED1",Data!$E$17,Data!$E$14)</f>
        <v>1.2582082253905398</v>
      </c>
      <c r="J34" s="518">
        <f>INDEX(Data!$E$14:$E$30,MATCH(J$33,Data!$C$14:$C$30,0),0)/IF('RFPR cover'!$C$6="ED1",Data!$E$17,Data!$E$14)</f>
        <v>1.296898128321299</v>
      </c>
    </row>
    <row r="35" spans="2:13" ht="15.75" customHeight="1">
      <c r="B35" s="522" t="s">
        <v>42</v>
      </c>
      <c r="C35" s="520">
        <f>INDEX(Data!$F$14:$F$30,MATCH(C$33,Data!$C$14:$C$30,0),0)/IF('RFPR cover'!$C$6="ED1",Data!$E$17,Data!$E$14)</f>
        <v>1.0677429242873198</v>
      </c>
      <c r="D35" s="520">
        <f>INDEX(Data!$F$14:$F$30,MATCH(D$33,Data!$C$14:$C$30,0),0)/IF('RFPR cover'!$C$6="ED1",Data!$E$17,Data!$E$14)</f>
        <v>1.1033002963114336</v>
      </c>
      <c r="E35" s="520">
        <f>INDEX(Data!$F$14:$F$30,MATCH(E$33,Data!$C$14:$C$30,0),0)/IF('RFPR cover'!$C$6="ED1",Data!$E$17,Data!$E$14)</f>
        <v>1.1402881373250229</v>
      </c>
      <c r="F35" s="520">
        <f>INDEX(Data!$F$14:$F$30,MATCH(F$33,Data!$C$14:$C$30,0),0)/IF('RFPR cover'!$C$6="ED1",Data!$E$17,Data!$E$14)</f>
        <v>1.171554102380709</v>
      </c>
      <c r="G35" s="520">
        <f>INDEX(Data!$F$14:$F$30,MATCH(G$33,Data!$C$14:$C$30,0),0)/IF('RFPR cover'!$C$6="ED1",Data!$E$17,Data!$E$14)</f>
        <v>1.2023073975682026</v>
      </c>
      <c r="H35" s="520">
        <f>INDEX(Data!$F$14:$F$30,MATCH(H$33,Data!$C$14:$C$30,0),0)/IF('RFPR cover'!$C$6="ED1",Data!$E$17,Data!$E$14)</f>
        <v>1.2356714278507201</v>
      </c>
      <c r="I35" s="520">
        <f>INDEX(Data!$F$14:$F$30,MATCH(I$33,Data!$C$14:$C$30,0),0)/IF('RFPR cover'!$C$6="ED1",Data!$E$17,Data!$E$14)</f>
        <v>1.2730504885432044</v>
      </c>
      <c r="J35" s="520">
        <f>INDEX(Data!$F$14:$F$30,MATCH(J$33,Data!$C$14:$C$30,0),0)/IF('RFPR cover'!$C$6="ED1",Data!$E$17,Data!$E$14)</f>
        <v>1.312196791065908</v>
      </c>
    </row>
    <row r="36" spans="2:13">
      <c r="B36" s="522" t="s">
        <v>509</v>
      </c>
      <c r="C36" s="520">
        <f>INDEX(Data!$E$14:$E$30,MATCH(C$33,Data!$C$14:$C$30,0))/INDEX(Data!$E$14:$E$30,MATCH(C$33-1,Data!$C$14:$C$30,0))</f>
        <v>1.0107766093810269</v>
      </c>
      <c r="D36" s="520">
        <f>INDEX(Data!$E$14:$E$30,MATCH(D$33,Data!$C$14:$C$30,0))/INDEX(Data!$E$14:$E$30,MATCH(D$33-1,Data!$C$14:$C$30,0))</f>
        <v>1.0214274976583551</v>
      </c>
      <c r="E36" s="520">
        <f>INDEX(Data!$E$14:$E$30,MATCH(E$33,Data!$C$14:$C$30,0))/INDEX(Data!$E$14:$E$30,MATCH(E$33-1,Data!$C$14:$C$30,0))</f>
        <v>1.0374199975848328</v>
      </c>
      <c r="F36" s="520">
        <f>INDEX(Data!$E$14:$E$30,MATCH(F$33,Data!$C$14:$C$30,0))/INDEX(Data!$E$14:$E$30,MATCH(F$33-1,Data!$C$14:$C$30,0))</f>
        <v>1.0305556768082411</v>
      </c>
      <c r="G36" s="520">
        <f>INDEX(Data!$E$14:$E$30,MATCH(G$33,Data!$C$14:$C$30,0))/INDEX(Data!$E$14:$E$30,MATCH(G$33-1,Data!$C$14:$C$30,0))</f>
        <v>1.0262500000000001</v>
      </c>
      <c r="H36" s="520">
        <f>INDEX(Data!$E$14:$E$30,MATCH(H$33,Data!$C$14:$C$30,0))/INDEX(Data!$E$14:$E$30,MATCH(H$33-1,Data!$C$14:$C$30,0))</f>
        <v>1.0277499999999999</v>
      </c>
      <c r="I36" s="520">
        <f>INDEX(Data!$E$14:$E$30,MATCH(I$33,Data!$C$14:$C$30,0))/INDEX(Data!$E$14:$E$30,MATCH(I$33-1,Data!$C$14:$C$30,0))</f>
        <v>1.0302500000000001</v>
      </c>
      <c r="J36" s="520">
        <f>INDEX(Data!$E$14:$E$30,MATCH(J$33,Data!$C$14:$C$30,0))/INDEX(Data!$E$14:$E$30,MATCH(J$33-1,Data!$C$14:$C$30,0))</f>
        <v>1.0307500000000001</v>
      </c>
    </row>
    <row r="37" spans="2:13" ht="15.75" customHeight="1">
      <c r="B37" s="14" t="s">
        <v>275</v>
      </c>
      <c r="F37" s="543"/>
    </row>
    <row r="38" spans="2:13">
      <c r="C38" s="536" t="s">
        <v>276</v>
      </c>
      <c r="D38" s="118">
        <v>2017</v>
      </c>
      <c r="E38" s="119">
        <f t="shared" ref="E38:J38" si="2">D38+1</f>
        <v>2018</v>
      </c>
      <c r="F38" s="119">
        <f t="shared" si="2"/>
        <v>2019</v>
      </c>
      <c r="G38" s="119">
        <f t="shared" si="2"/>
        <v>2020</v>
      </c>
      <c r="H38" s="119">
        <f t="shared" si="2"/>
        <v>2021</v>
      </c>
      <c r="I38" s="119">
        <f t="shared" si="2"/>
        <v>2022</v>
      </c>
      <c r="J38" s="203">
        <f t="shared" si="2"/>
        <v>2023</v>
      </c>
      <c r="K38" s="968" t="s">
        <v>389</v>
      </c>
      <c r="L38" s="968"/>
      <c r="M38" s="968"/>
    </row>
    <row r="39" spans="2:13">
      <c r="B39" t="s">
        <v>390</v>
      </c>
      <c r="C39" s="209"/>
      <c r="D39" s="794"/>
      <c r="E39" s="598"/>
      <c r="F39" s="795">
        <v>2.5999999999999999E-2</v>
      </c>
      <c r="G39" s="795">
        <v>2.7E-2</v>
      </c>
      <c r="H39" s="795">
        <v>0.03</v>
      </c>
      <c r="I39" s="795">
        <v>3.1E-2</v>
      </c>
      <c r="J39" s="796">
        <v>0.03</v>
      </c>
      <c r="K39" s="969" t="s">
        <v>572</v>
      </c>
      <c r="L39" s="969"/>
      <c r="M39" s="969"/>
    </row>
    <row r="41" spans="2:13">
      <c r="B41" s="14" t="s">
        <v>277</v>
      </c>
    </row>
    <row r="42" spans="2:13">
      <c r="C42" s="535" t="s">
        <v>278</v>
      </c>
      <c r="D42" s="118">
        <v>2017</v>
      </c>
      <c r="E42" s="119">
        <f t="shared" ref="E42:J42" si="3">D42+1</f>
        <v>2018</v>
      </c>
      <c r="F42" s="119">
        <f t="shared" si="3"/>
        <v>2019</v>
      </c>
      <c r="G42" s="119">
        <f t="shared" si="3"/>
        <v>2020</v>
      </c>
      <c r="H42" s="119">
        <f t="shared" si="3"/>
        <v>2021</v>
      </c>
      <c r="I42" s="119">
        <f t="shared" si="3"/>
        <v>2022</v>
      </c>
      <c r="J42" s="203">
        <f t="shared" si="3"/>
        <v>2023</v>
      </c>
    </row>
    <row r="43" spans="2:13">
      <c r="B43" t="s">
        <v>279</v>
      </c>
      <c r="D43" s="597"/>
      <c r="E43" s="598"/>
      <c r="F43" s="598"/>
      <c r="G43" s="797">
        <f>(F39*0.75)+(G39*0.25)</f>
        <v>2.6249999999999999E-2</v>
      </c>
      <c r="H43" s="797">
        <f>(G39*0.75)+(H39*0.25)</f>
        <v>2.775E-2</v>
      </c>
      <c r="I43" s="797">
        <f>(H39*0.75)+(I39*0.25)</f>
        <v>3.0249999999999999E-2</v>
      </c>
      <c r="J43" s="798">
        <f>(I39*0.75)+(J39*0.25)</f>
        <v>3.075E-2</v>
      </c>
    </row>
    <row r="45" spans="2:13">
      <c r="B45" s="333" t="str">
        <f>"Selected Capitalisation rates for "&amp;'RFPR cover'!C5</f>
        <v>Selected Capitalisation rates for NPgY</v>
      </c>
      <c r="C45" s="284"/>
      <c r="D45" s="284"/>
      <c r="E45" s="284"/>
      <c r="F45" s="284"/>
      <c r="G45" s="284"/>
      <c r="H45" s="284"/>
      <c r="I45" s="284"/>
      <c r="J45" s="284"/>
      <c r="K45" s="284"/>
      <c r="L45" s="284"/>
      <c r="M45" s="298"/>
    </row>
    <row r="46" spans="2:13">
      <c r="B46" s="210"/>
      <c r="C46" s="43"/>
      <c r="D46" s="43"/>
      <c r="E46" s="43"/>
      <c r="F46" s="43"/>
      <c r="G46" s="43"/>
      <c r="H46" s="43"/>
      <c r="I46" s="43"/>
      <c r="J46" s="43"/>
      <c r="K46" s="43"/>
      <c r="L46" s="43"/>
      <c r="M46" s="211"/>
    </row>
    <row r="47" spans="2:13">
      <c r="B47" s="210"/>
      <c r="C47" s="332" t="s">
        <v>252</v>
      </c>
      <c r="D47" s="43"/>
      <c r="E47" s="43"/>
      <c r="F47" s="43"/>
      <c r="G47" s="43"/>
      <c r="H47" s="43"/>
      <c r="I47" s="43"/>
      <c r="J47" s="43"/>
      <c r="K47" s="43"/>
      <c r="L47" s="43"/>
      <c r="M47" s="211"/>
    </row>
    <row r="48" spans="2:13">
      <c r="B48" s="335" t="str">
        <f>INDEX($G$54:$G$57,MATCH(LEFT('RFPR cover'!$C$6,2),Data!$E$54:$E$57,0),0)</f>
        <v>Totex</v>
      </c>
      <c r="C48" s="331">
        <f>INDEX($F$73:$F$100,MATCH('RFPR cover'!$C$5,Data!$B$73:$B$100,0),0)</f>
        <v>0.72</v>
      </c>
      <c r="D48" s="43"/>
      <c r="E48" s="43"/>
      <c r="F48" s="43"/>
      <c r="G48" s="43"/>
      <c r="H48" s="43"/>
      <c r="I48" s="43"/>
      <c r="J48" s="43"/>
      <c r="K48" s="43"/>
      <c r="L48" s="43"/>
      <c r="M48" s="211"/>
    </row>
    <row r="49" spans="2:20">
      <c r="B49" s="336"/>
      <c r="C49" s="43"/>
      <c r="D49" s="43"/>
      <c r="E49" s="43"/>
      <c r="F49" s="43"/>
      <c r="G49" s="43"/>
      <c r="H49" s="43"/>
      <c r="I49" s="43"/>
      <c r="J49" s="43"/>
      <c r="K49" s="43"/>
      <c r="L49" s="43"/>
      <c r="M49" s="211"/>
    </row>
    <row r="50" spans="2:20">
      <c r="B50" s="336"/>
      <c r="C50" s="91">
        <v>2014</v>
      </c>
      <c r="D50" s="92">
        <f t="shared" ref="D50:J50" si="4">C50+1</f>
        <v>2015</v>
      </c>
      <c r="E50" s="92">
        <f t="shared" si="4"/>
        <v>2016</v>
      </c>
      <c r="F50" s="92">
        <f t="shared" si="4"/>
        <v>2017</v>
      </c>
      <c r="G50" s="92">
        <f t="shared" si="4"/>
        <v>2018</v>
      </c>
      <c r="H50" s="92">
        <f t="shared" si="4"/>
        <v>2019</v>
      </c>
      <c r="I50" s="92">
        <f t="shared" si="4"/>
        <v>2020</v>
      </c>
      <c r="J50" s="92">
        <f t="shared" si="4"/>
        <v>2021</v>
      </c>
      <c r="K50" s="43"/>
      <c r="L50" s="43"/>
    </row>
    <row r="51" spans="2:20">
      <c r="B51" s="335" t="str">
        <f>INDEX($J$54:$J$57,MATCH(LEFT('RFPR cover'!$C$6,2),Data!$E$54:$E$57,0),0)</f>
        <v>n/a</v>
      </c>
      <c r="C51" s="337">
        <f>IFERROR(INDEX(C$106:C$115,MATCH('RFPR cover'!$C$5,Data!$B$106:$B$115,0),0),0)</f>
        <v>0</v>
      </c>
      <c r="D51" s="319">
        <f>IFERROR(INDEX(D$106:D$115,MATCH('RFPR cover'!$C$5,Data!$B$106:$B$115,0),0),0)</f>
        <v>0</v>
      </c>
      <c r="E51" s="319">
        <f>IFERROR(INDEX(E$106:E$115,MATCH('RFPR cover'!$C$5,Data!$B$106:$B$115,0),0),0)</f>
        <v>0</v>
      </c>
      <c r="F51" s="319">
        <f>IFERROR(INDEX(F$106:F$115,MATCH('RFPR cover'!$C$5,Data!$B$106:$B$115,0),0),0)</f>
        <v>0</v>
      </c>
      <c r="G51" s="319">
        <f>IFERROR(INDEX(G$106:G$115,MATCH('RFPR cover'!$C$5,Data!$B$106:$B$115,0),0),0)</f>
        <v>0</v>
      </c>
      <c r="H51" s="319">
        <f>IFERROR(INDEX(H$106:H$115,MATCH('RFPR cover'!$C$5,Data!$B$106:$B$115,0),0),0)</f>
        <v>0</v>
      </c>
      <c r="I51" s="319">
        <f>IFERROR(INDEX(I$106:I$115,MATCH('RFPR cover'!$C$5,Data!$B$106:$B$115,0),0),0)</f>
        <v>0</v>
      </c>
      <c r="J51" s="319">
        <f>IFERROR(INDEX(J$106:J$115,MATCH('RFPR cover'!$C$5,Data!$B$106:$B$115,0),0),0)</f>
        <v>0</v>
      </c>
      <c r="K51" s="43"/>
      <c r="L51" s="43"/>
    </row>
    <row r="52" spans="2:20">
      <c r="B52" s="309"/>
      <c r="C52" s="310"/>
      <c r="D52" s="310"/>
      <c r="E52" s="310"/>
      <c r="F52" s="310"/>
      <c r="G52" s="310"/>
      <c r="H52" s="310"/>
      <c r="I52" s="310"/>
      <c r="J52" s="310"/>
      <c r="K52" s="310"/>
      <c r="L52" s="310"/>
      <c r="M52" s="311"/>
    </row>
    <row r="53" spans="2:20">
      <c r="B53" s="43"/>
      <c r="C53" s="43"/>
      <c r="D53" s="43"/>
      <c r="E53" s="43"/>
      <c r="F53" s="43"/>
      <c r="G53" s="43"/>
      <c r="H53" s="43"/>
      <c r="I53" s="43"/>
      <c r="J53" s="43"/>
      <c r="K53" s="43"/>
    </row>
    <row r="54" spans="2:20">
      <c r="B54" s="323"/>
      <c r="C54" s="323"/>
      <c r="E54" s="320" t="s">
        <v>172</v>
      </c>
      <c r="F54" s="349" t="s">
        <v>159</v>
      </c>
      <c r="G54" s="973" t="s">
        <v>253</v>
      </c>
      <c r="H54" s="974"/>
      <c r="I54" s="975"/>
      <c r="J54" s="982" t="s">
        <v>255</v>
      </c>
      <c r="K54" s="983"/>
    </row>
    <row r="55" spans="2:20">
      <c r="B55" s="323"/>
      <c r="C55" s="323"/>
      <c r="E55" s="321" t="s">
        <v>174</v>
      </c>
      <c r="F55" s="350" t="s">
        <v>184</v>
      </c>
      <c r="G55" s="976" t="s">
        <v>253</v>
      </c>
      <c r="H55" s="977"/>
      <c r="I55" s="978"/>
      <c r="J55" s="984" t="s">
        <v>255</v>
      </c>
      <c r="K55" s="985"/>
    </row>
    <row r="56" spans="2:20">
      <c r="B56" s="323"/>
      <c r="C56" s="323"/>
      <c r="E56" s="321" t="s">
        <v>173</v>
      </c>
      <c r="F56" s="350" t="s">
        <v>184</v>
      </c>
      <c r="G56" s="976" t="s">
        <v>244</v>
      </c>
      <c r="H56" s="977"/>
      <c r="I56" s="978"/>
      <c r="J56" s="984" t="s">
        <v>245</v>
      </c>
      <c r="K56" s="985"/>
    </row>
    <row r="57" spans="2:20">
      <c r="B57" s="323"/>
      <c r="C57" s="323"/>
      <c r="E57" s="322" t="s">
        <v>175</v>
      </c>
      <c r="F57" s="351" t="s">
        <v>184</v>
      </c>
      <c r="G57" s="979" t="s">
        <v>254</v>
      </c>
      <c r="H57" s="980"/>
      <c r="I57" s="981"/>
      <c r="J57" s="986" t="s">
        <v>256</v>
      </c>
      <c r="K57" s="987"/>
    </row>
    <row r="58" spans="2:20">
      <c r="B58" s="323"/>
      <c r="C58" s="323"/>
      <c r="E58" s="323"/>
      <c r="F58" s="470"/>
      <c r="G58" s="471"/>
      <c r="H58" s="471"/>
      <c r="I58" s="471"/>
      <c r="J58" s="472"/>
      <c r="K58" s="472"/>
    </row>
    <row r="59" spans="2:20">
      <c r="B59" s="473"/>
      <c r="C59" s="473"/>
      <c r="D59" s="226"/>
      <c r="E59" s="473"/>
      <c r="F59" s="474"/>
      <c r="G59" s="475"/>
      <c r="H59" s="475"/>
      <c r="I59" s="475"/>
      <c r="J59" s="476"/>
      <c r="K59" s="476"/>
      <c r="L59" s="226"/>
      <c r="M59" s="226"/>
      <c r="N59" s="226"/>
      <c r="O59" s="226"/>
      <c r="P59" s="226"/>
      <c r="Q59" s="226"/>
      <c r="R59" s="226"/>
      <c r="S59" s="226"/>
      <c r="T59" s="226"/>
    </row>
    <row r="60" spans="2:20" s="32" customFormat="1">
      <c r="B60" s="422"/>
      <c r="C60" s="422"/>
      <c r="E60" s="422"/>
      <c r="F60" s="477"/>
      <c r="G60" s="478"/>
      <c r="H60" s="478"/>
      <c r="I60" s="478"/>
      <c r="J60" s="479"/>
      <c r="K60" s="479"/>
    </row>
    <row r="61" spans="2:20">
      <c r="B61" s="469" t="s">
        <v>350</v>
      </c>
      <c r="I61" s="67"/>
    </row>
    <row r="62" spans="2:20">
      <c r="C62" s="118">
        <v>2014</v>
      </c>
      <c r="D62" s="119">
        <f t="shared" ref="D62:L62" si="5">C62+1</f>
        <v>2015</v>
      </c>
      <c r="E62" s="119">
        <f t="shared" si="5"/>
        <v>2016</v>
      </c>
      <c r="F62" s="119">
        <f t="shared" si="5"/>
        <v>2017</v>
      </c>
      <c r="G62" s="119">
        <f t="shared" si="5"/>
        <v>2018</v>
      </c>
      <c r="H62" s="119">
        <f t="shared" si="5"/>
        <v>2019</v>
      </c>
      <c r="I62" s="119">
        <f t="shared" si="5"/>
        <v>2020</v>
      </c>
      <c r="J62" s="119">
        <f t="shared" si="5"/>
        <v>2021</v>
      </c>
      <c r="K62" s="119">
        <f t="shared" si="5"/>
        <v>2022</v>
      </c>
      <c r="L62" s="203">
        <f t="shared" si="5"/>
        <v>2023</v>
      </c>
    </row>
    <row r="63" spans="2:20">
      <c r="B63" s="466" t="s">
        <v>348</v>
      </c>
      <c r="C63" s="593"/>
      <c r="D63" s="594"/>
      <c r="E63" s="464">
        <v>2.5499999999999998E-2</v>
      </c>
      <c r="F63" s="464">
        <v>2.3799999999999998E-2</v>
      </c>
      <c r="G63" s="464">
        <v>2.2200000000000001E-2</v>
      </c>
      <c r="H63" s="464">
        <v>1.9099999999999999E-2</v>
      </c>
      <c r="I63" s="464">
        <v>1.5800000000000002E-2</v>
      </c>
      <c r="J63" s="464">
        <v>1.1399999999999999E-2</v>
      </c>
      <c r="K63" s="464">
        <v>9.1999999999999998E-3</v>
      </c>
      <c r="L63" s="465">
        <v>7.1999999999999998E-3</v>
      </c>
    </row>
    <row r="64" spans="2:20">
      <c r="B64" s="467" t="s">
        <v>335</v>
      </c>
      <c r="C64" s="581"/>
      <c r="D64" s="582"/>
      <c r="E64" s="424">
        <v>2.5499999999999998E-2</v>
      </c>
      <c r="F64" s="424">
        <v>2.4199999999999999E-2</v>
      </c>
      <c r="G64" s="424">
        <v>2.29E-2</v>
      </c>
      <c r="H64" s="424">
        <v>2.0899999999999998E-2</v>
      </c>
      <c r="I64" s="424">
        <v>1.9400000000000001E-2</v>
      </c>
      <c r="J64" s="424">
        <v>1.8200000000000001E-2</v>
      </c>
      <c r="K64" s="424">
        <v>1.72E-2</v>
      </c>
      <c r="L64" s="427">
        <v>1.6299999999999999E-2</v>
      </c>
    </row>
    <row r="65" spans="1:20">
      <c r="B65" s="467" t="s">
        <v>61</v>
      </c>
      <c r="C65" s="423">
        <v>2.92E-2</v>
      </c>
      <c r="D65" s="424">
        <v>2.5000000000000001E-2</v>
      </c>
      <c r="E65" s="424">
        <v>2.1499999999999998E-2</v>
      </c>
      <c r="F65" s="424">
        <v>1.7899999999999999E-2</v>
      </c>
      <c r="G65" s="424">
        <v>1.5100000000000001E-2</v>
      </c>
      <c r="H65" s="424">
        <v>1.1599999999999999E-2</v>
      </c>
      <c r="I65" s="424">
        <v>1.0200000000000001E-2</v>
      </c>
      <c r="J65" s="424">
        <v>8.6E-3</v>
      </c>
      <c r="K65" s="595"/>
      <c r="L65" s="596"/>
    </row>
    <row r="66" spans="1:20">
      <c r="B66" s="467" t="s">
        <v>349</v>
      </c>
      <c r="C66" s="462">
        <v>2.92E-2</v>
      </c>
      <c r="D66" s="463">
        <v>2.7199999999999998E-2</v>
      </c>
      <c r="E66" s="463">
        <v>2.5499999999999998E-2</v>
      </c>
      <c r="F66" s="463">
        <v>2.3800000000000002E-2</v>
      </c>
      <c r="G66" s="463">
        <v>2.2200000000000001E-2</v>
      </c>
      <c r="H66" s="463">
        <v>1.9099999999999999E-2</v>
      </c>
      <c r="I66" s="463">
        <v>1.5800000000000002E-2</v>
      </c>
      <c r="J66" s="463">
        <v>1.1399999999999999E-2</v>
      </c>
      <c r="K66" s="582"/>
      <c r="L66" s="583"/>
    </row>
    <row r="67" spans="1:20">
      <c r="B67" s="467" t="s">
        <v>173</v>
      </c>
      <c r="C67" s="423">
        <v>2.92E-2</v>
      </c>
      <c r="D67" s="424">
        <v>2.7199999999999998E-2</v>
      </c>
      <c r="E67" s="424">
        <v>2.5499999999999998E-2</v>
      </c>
      <c r="F67" s="424">
        <v>2.3800000000000002E-2</v>
      </c>
      <c r="G67" s="424">
        <v>2.2200000000000001E-2</v>
      </c>
      <c r="H67" s="463">
        <v>1.9099999999999999E-2</v>
      </c>
      <c r="I67" s="463">
        <v>1.5800000000000002E-2</v>
      </c>
      <c r="J67" s="463">
        <v>1.1399999999999999E-2</v>
      </c>
      <c r="K67" s="582"/>
      <c r="L67" s="583"/>
    </row>
    <row r="68" spans="1:20">
      <c r="B68" s="468" t="s">
        <v>175</v>
      </c>
      <c r="C68" s="425">
        <v>2.92E-2</v>
      </c>
      <c r="D68" s="426">
        <v>2.7199999999999998E-2</v>
      </c>
      <c r="E68" s="426">
        <v>2.5499999999999998E-2</v>
      </c>
      <c r="F68" s="426">
        <v>2.3800000000000002E-2</v>
      </c>
      <c r="G68" s="426">
        <v>2.2200000000000001E-2</v>
      </c>
      <c r="H68" s="426">
        <v>1.9099999999999999E-2</v>
      </c>
      <c r="I68" s="426">
        <v>1.5800000000000002E-2</v>
      </c>
      <c r="J68" s="426">
        <v>1.1399999999999999E-2</v>
      </c>
      <c r="K68" s="584"/>
      <c r="L68" s="585"/>
    </row>
    <row r="69" spans="1:20">
      <c r="I69" s="67"/>
    </row>
    <row r="70" spans="1:20">
      <c r="H70" s="67"/>
      <c r="K70" s="43"/>
      <c r="L70" s="43"/>
      <c r="M70" s="43"/>
      <c r="N70" s="43"/>
      <c r="O70" s="43"/>
      <c r="P70" s="43"/>
      <c r="Q70" s="43"/>
      <c r="R70" s="43"/>
      <c r="S70" s="43"/>
      <c r="T70" s="43"/>
    </row>
    <row r="71" spans="1:20" ht="38.25">
      <c r="B71" s="22"/>
      <c r="C71" s="74" t="s">
        <v>251</v>
      </c>
      <c r="D71" s="75" t="s">
        <v>212</v>
      </c>
      <c r="E71" s="75" t="s">
        <v>72</v>
      </c>
      <c r="F71" s="75" t="s">
        <v>274</v>
      </c>
      <c r="G71" s="75" t="s">
        <v>116</v>
      </c>
      <c r="H71" s="76" t="s">
        <v>186</v>
      </c>
      <c r="I71" s="348" t="s">
        <v>269</v>
      </c>
      <c r="J71" s="348" t="s">
        <v>486</v>
      </c>
      <c r="K71" s="970" t="s">
        <v>344</v>
      </c>
      <c r="L71" s="971"/>
      <c r="M71" s="971"/>
      <c r="N71" s="971"/>
      <c r="O71" s="971"/>
      <c r="P71" s="971"/>
      <c r="Q71" s="971"/>
      <c r="R71" s="971"/>
      <c r="S71" s="971"/>
      <c r="T71" s="972"/>
    </row>
    <row r="72" spans="1:20">
      <c r="A72" s="352" t="s">
        <v>189</v>
      </c>
      <c r="B72" s="68" t="s">
        <v>69</v>
      </c>
      <c r="C72" s="324"/>
      <c r="D72" s="70"/>
      <c r="E72" s="69"/>
      <c r="F72" s="69"/>
      <c r="G72" s="70"/>
      <c r="H72" s="71"/>
      <c r="I72" s="71"/>
      <c r="J72" s="449"/>
      <c r="K72" s="450">
        <v>2014</v>
      </c>
      <c r="L72" s="451">
        <f t="shared" ref="L72:T72" si="6">K72+1</f>
        <v>2015</v>
      </c>
      <c r="M72" s="451">
        <f t="shared" si="6"/>
        <v>2016</v>
      </c>
      <c r="N72" s="451">
        <f t="shared" si="6"/>
        <v>2017</v>
      </c>
      <c r="O72" s="451">
        <f t="shared" si="6"/>
        <v>2018</v>
      </c>
      <c r="P72" s="451">
        <f t="shared" si="6"/>
        <v>2019</v>
      </c>
      <c r="Q72" s="451">
        <f t="shared" si="6"/>
        <v>2020</v>
      </c>
      <c r="R72" s="451">
        <f t="shared" si="6"/>
        <v>2021</v>
      </c>
      <c r="S72" s="451">
        <f t="shared" si="6"/>
        <v>2022</v>
      </c>
      <c r="T72" s="452">
        <f t="shared" si="6"/>
        <v>2023</v>
      </c>
    </row>
    <row r="73" spans="1:20">
      <c r="A73" s="60" t="s">
        <v>172</v>
      </c>
      <c r="B73" s="72" t="s">
        <v>43</v>
      </c>
      <c r="C73" s="325">
        <v>0.06</v>
      </c>
      <c r="D73" s="326">
        <v>0.58109999999999995</v>
      </c>
      <c r="E73" s="327">
        <v>0.65</v>
      </c>
      <c r="F73" s="327">
        <v>0.68</v>
      </c>
      <c r="G73" s="358">
        <v>2016</v>
      </c>
      <c r="H73" s="359" t="str">
        <f t="shared" ref="H73:H97" si="7">VLOOKUP($A73,$E$54:$F$57,2,FALSE)</f>
        <v>£m 12/13</v>
      </c>
      <c r="I73" s="359" t="s">
        <v>270</v>
      </c>
      <c r="J73" s="449" t="s">
        <v>487</v>
      </c>
      <c r="K73" s="581"/>
      <c r="L73" s="582"/>
      <c r="M73" s="457">
        <f t="shared" ref="M73:M82" si="8">E$64</f>
        <v>2.5499999999999998E-2</v>
      </c>
      <c r="N73" s="457">
        <f t="shared" ref="N73:N82" si="9">F$64</f>
        <v>2.4199999999999999E-2</v>
      </c>
      <c r="O73" s="457">
        <f t="shared" ref="O73:O82" si="10">G$64</f>
        <v>2.29E-2</v>
      </c>
      <c r="P73" s="457">
        <f t="shared" ref="P73:P82" si="11">H$64</f>
        <v>2.0899999999999998E-2</v>
      </c>
      <c r="Q73" s="457">
        <f t="shared" ref="Q73:Q82" si="12">I$64</f>
        <v>1.9400000000000001E-2</v>
      </c>
      <c r="R73" s="457">
        <f t="shared" ref="R73:R82" si="13">J$64</f>
        <v>1.8200000000000001E-2</v>
      </c>
      <c r="S73" s="457">
        <f t="shared" ref="S73:S82" si="14">K$64</f>
        <v>1.72E-2</v>
      </c>
      <c r="T73" s="461">
        <f t="shared" ref="T73:T82" si="15">L$64</f>
        <v>1.6299999999999999E-2</v>
      </c>
    </row>
    <row r="74" spans="1:20">
      <c r="A74" s="60" t="s">
        <v>172</v>
      </c>
      <c r="B74" s="72" t="s">
        <v>44</v>
      </c>
      <c r="C74" s="325">
        <v>0.06</v>
      </c>
      <c r="D74" s="326">
        <v>0.55843703457782867</v>
      </c>
      <c r="E74" s="327">
        <v>0.65</v>
      </c>
      <c r="F74" s="327">
        <v>0.7</v>
      </c>
      <c r="G74" s="358">
        <v>2016</v>
      </c>
      <c r="H74" s="359" t="str">
        <f t="shared" si="7"/>
        <v>£m 12/13</v>
      </c>
      <c r="I74" s="359" t="s">
        <v>270</v>
      </c>
      <c r="J74" s="449" t="s">
        <v>487</v>
      </c>
      <c r="K74" s="581"/>
      <c r="L74" s="582"/>
      <c r="M74" s="457">
        <f t="shared" si="8"/>
        <v>2.5499999999999998E-2</v>
      </c>
      <c r="N74" s="457">
        <f t="shared" si="9"/>
        <v>2.4199999999999999E-2</v>
      </c>
      <c r="O74" s="457">
        <f t="shared" si="10"/>
        <v>2.29E-2</v>
      </c>
      <c r="P74" s="457">
        <f t="shared" si="11"/>
        <v>2.0899999999999998E-2</v>
      </c>
      <c r="Q74" s="457">
        <f t="shared" si="12"/>
        <v>1.9400000000000001E-2</v>
      </c>
      <c r="R74" s="457">
        <f t="shared" si="13"/>
        <v>1.8200000000000001E-2</v>
      </c>
      <c r="S74" s="457">
        <f t="shared" si="14"/>
        <v>1.72E-2</v>
      </c>
      <c r="T74" s="461">
        <f t="shared" si="15"/>
        <v>1.6299999999999999E-2</v>
      </c>
    </row>
    <row r="75" spans="1:20">
      <c r="A75" s="60" t="s">
        <v>172</v>
      </c>
      <c r="B75" s="72" t="s">
        <v>73</v>
      </c>
      <c r="C75" s="325">
        <v>0.06</v>
      </c>
      <c r="D75" s="326">
        <v>0.55843703457782867</v>
      </c>
      <c r="E75" s="327">
        <v>0.65</v>
      </c>
      <c r="F75" s="327">
        <v>0.72</v>
      </c>
      <c r="G75" s="358">
        <v>2016</v>
      </c>
      <c r="H75" s="359" t="str">
        <f t="shared" si="7"/>
        <v>£m 12/13</v>
      </c>
      <c r="I75" s="359" t="s">
        <v>270</v>
      </c>
      <c r="J75" s="449" t="s">
        <v>487</v>
      </c>
      <c r="K75" s="581"/>
      <c r="L75" s="582"/>
      <c r="M75" s="457">
        <f t="shared" si="8"/>
        <v>2.5499999999999998E-2</v>
      </c>
      <c r="N75" s="457">
        <f t="shared" si="9"/>
        <v>2.4199999999999999E-2</v>
      </c>
      <c r="O75" s="457">
        <f t="shared" si="10"/>
        <v>2.29E-2</v>
      </c>
      <c r="P75" s="457">
        <f t="shared" si="11"/>
        <v>2.0899999999999998E-2</v>
      </c>
      <c r="Q75" s="457">
        <f t="shared" si="12"/>
        <v>1.9400000000000001E-2</v>
      </c>
      <c r="R75" s="457">
        <f t="shared" si="13"/>
        <v>1.8200000000000001E-2</v>
      </c>
      <c r="S75" s="457">
        <f t="shared" si="14"/>
        <v>1.72E-2</v>
      </c>
      <c r="T75" s="461">
        <f t="shared" si="15"/>
        <v>1.6299999999999999E-2</v>
      </c>
    </row>
    <row r="76" spans="1:20">
      <c r="A76" s="60" t="s">
        <v>172</v>
      </c>
      <c r="B76" s="72" t="s">
        <v>59</v>
      </c>
      <c r="C76" s="325">
        <v>0.06</v>
      </c>
      <c r="D76" s="326">
        <v>0.53280000000000005</v>
      </c>
      <c r="E76" s="327">
        <v>0.65</v>
      </c>
      <c r="F76" s="327">
        <v>0.68</v>
      </c>
      <c r="G76" s="358">
        <v>2016</v>
      </c>
      <c r="H76" s="359" t="str">
        <f t="shared" si="7"/>
        <v>£m 12/13</v>
      </c>
      <c r="I76" s="359" t="s">
        <v>270</v>
      </c>
      <c r="J76" s="449" t="s">
        <v>487</v>
      </c>
      <c r="K76" s="581"/>
      <c r="L76" s="582"/>
      <c r="M76" s="457">
        <f t="shared" si="8"/>
        <v>2.5499999999999998E-2</v>
      </c>
      <c r="N76" s="457">
        <f t="shared" si="9"/>
        <v>2.4199999999999999E-2</v>
      </c>
      <c r="O76" s="457">
        <f t="shared" si="10"/>
        <v>2.29E-2</v>
      </c>
      <c r="P76" s="457">
        <f t="shared" si="11"/>
        <v>2.0899999999999998E-2</v>
      </c>
      <c r="Q76" s="457">
        <f t="shared" si="12"/>
        <v>1.9400000000000001E-2</v>
      </c>
      <c r="R76" s="457">
        <f t="shared" si="13"/>
        <v>1.8200000000000001E-2</v>
      </c>
      <c r="S76" s="457">
        <f t="shared" si="14"/>
        <v>1.72E-2</v>
      </c>
      <c r="T76" s="461">
        <f t="shared" si="15"/>
        <v>1.6299999999999999E-2</v>
      </c>
    </row>
    <row r="77" spans="1:20">
      <c r="A77" s="60" t="s">
        <v>172</v>
      </c>
      <c r="B77" s="72" t="s">
        <v>57</v>
      </c>
      <c r="C77" s="325">
        <v>0.06</v>
      </c>
      <c r="D77" s="326">
        <v>0.53280000000000005</v>
      </c>
      <c r="E77" s="327">
        <v>0.65</v>
      </c>
      <c r="F77" s="327">
        <v>0.68</v>
      </c>
      <c r="G77" s="358">
        <v>2016</v>
      </c>
      <c r="H77" s="359" t="str">
        <f t="shared" si="7"/>
        <v>£m 12/13</v>
      </c>
      <c r="I77" s="359" t="s">
        <v>270</v>
      </c>
      <c r="J77" s="449" t="s">
        <v>487</v>
      </c>
      <c r="K77" s="581"/>
      <c r="L77" s="582"/>
      <c r="M77" s="457">
        <f t="shared" si="8"/>
        <v>2.5499999999999998E-2</v>
      </c>
      <c r="N77" s="457">
        <f t="shared" si="9"/>
        <v>2.4199999999999999E-2</v>
      </c>
      <c r="O77" s="457">
        <f t="shared" si="10"/>
        <v>2.29E-2</v>
      </c>
      <c r="P77" s="457">
        <f t="shared" si="11"/>
        <v>2.0899999999999998E-2</v>
      </c>
      <c r="Q77" s="457">
        <f t="shared" si="12"/>
        <v>1.9400000000000001E-2</v>
      </c>
      <c r="R77" s="457">
        <f t="shared" si="13"/>
        <v>1.8200000000000001E-2</v>
      </c>
      <c r="S77" s="457">
        <f t="shared" si="14"/>
        <v>1.72E-2</v>
      </c>
      <c r="T77" s="461">
        <f t="shared" si="15"/>
        <v>1.6299999999999999E-2</v>
      </c>
    </row>
    <row r="78" spans="1:20">
      <c r="A78" s="60" t="s">
        <v>172</v>
      </c>
      <c r="B78" s="72" t="s">
        <v>58</v>
      </c>
      <c r="C78" s="325">
        <v>0.06</v>
      </c>
      <c r="D78" s="326">
        <v>0.53280000000000005</v>
      </c>
      <c r="E78" s="327">
        <v>0.65</v>
      </c>
      <c r="F78" s="327">
        <v>0.68</v>
      </c>
      <c r="G78" s="358">
        <v>2016</v>
      </c>
      <c r="H78" s="359" t="str">
        <f t="shared" si="7"/>
        <v>£m 12/13</v>
      </c>
      <c r="I78" s="359" t="s">
        <v>270</v>
      </c>
      <c r="J78" s="449" t="s">
        <v>487</v>
      </c>
      <c r="K78" s="581"/>
      <c r="L78" s="582"/>
      <c r="M78" s="457">
        <f t="shared" si="8"/>
        <v>2.5499999999999998E-2</v>
      </c>
      <c r="N78" s="457">
        <f t="shared" si="9"/>
        <v>2.4199999999999999E-2</v>
      </c>
      <c r="O78" s="457">
        <f t="shared" si="10"/>
        <v>2.29E-2</v>
      </c>
      <c r="P78" s="457">
        <f t="shared" si="11"/>
        <v>2.0899999999999998E-2</v>
      </c>
      <c r="Q78" s="457">
        <f t="shared" si="12"/>
        <v>1.9400000000000001E-2</v>
      </c>
      <c r="R78" s="457">
        <f t="shared" si="13"/>
        <v>1.8200000000000001E-2</v>
      </c>
      <c r="S78" s="457">
        <f t="shared" si="14"/>
        <v>1.72E-2</v>
      </c>
      <c r="T78" s="461">
        <f t="shared" si="15"/>
        <v>1.6299999999999999E-2</v>
      </c>
    </row>
    <row r="79" spans="1:20">
      <c r="A79" s="60" t="s">
        <v>172</v>
      </c>
      <c r="B79" s="72" t="s">
        <v>45</v>
      </c>
      <c r="C79" s="325">
        <v>0.06</v>
      </c>
      <c r="D79" s="326">
        <v>0.53500000000000003</v>
      </c>
      <c r="E79" s="327">
        <v>0.65</v>
      </c>
      <c r="F79" s="327">
        <v>0.8</v>
      </c>
      <c r="G79" s="358">
        <v>2016</v>
      </c>
      <c r="H79" s="359" t="str">
        <f t="shared" si="7"/>
        <v>£m 12/13</v>
      </c>
      <c r="I79" s="359" t="s">
        <v>270</v>
      </c>
      <c r="J79" s="449" t="s">
        <v>487</v>
      </c>
      <c r="K79" s="581"/>
      <c r="L79" s="582"/>
      <c r="M79" s="457">
        <f t="shared" si="8"/>
        <v>2.5499999999999998E-2</v>
      </c>
      <c r="N79" s="457">
        <f t="shared" si="9"/>
        <v>2.4199999999999999E-2</v>
      </c>
      <c r="O79" s="457">
        <f t="shared" si="10"/>
        <v>2.29E-2</v>
      </c>
      <c r="P79" s="457">
        <f t="shared" si="11"/>
        <v>2.0899999999999998E-2</v>
      </c>
      <c r="Q79" s="457">
        <f t="shared" si="12"/>
        <v>1.9400000000000001E-2</v>
      </c>
      <c r="R79" s="457">
        <f t="shared" si="13"/>
        <v>1.8200000000000001E-2</v>
      </c>
      <c r="S79" s="457">
        <f t="shared" si="14"/>
        <v>1.72E-2</v>
      </c>
      <c r="T79" s="461">
        <f t="shared" si="15"/>
        <v>1.6299999999999999E-2</v>
      </c>
    </row>
    <row r="80" spans="1:20">
      <c r="A80" s="60" t="s">
        <v>172</v>
      </c>
      <c r="B80" s="72" t="s">
        <v>46</v>
      </c>
      <c r="C80" s="325">
        <v>0.06</v>
      </c>
      <c r="D80" s="326">
        <v>0.53500000000000003</v>
      </c>
      <c r="E80" s="327">
        <v>0.65</v>
      </c>
      <c r="F80" s="327">
        <v>0.8</v>
      </c>
      <c r="G80" s="358">
        <v>2016</v>
      </c>
      <c r="H80" s="359" t="str">
        <f t="shared" si="7"/>
        <v>£m 12/13</v>
      </c>
      <c r="I80" s="359" t="s">
        <v>270</v>
      </c>
      <c r="J80" s="449" t="s">
        <v>487</v>
      </c>
      <c r="K80" s="581"/>
      <c r="L80" s="582"/>
      <c r="M80" s="457">
        <f t="shared" si="8"/>
        <v>2.5499999999999998E-2</v>
      </c>
      <c r="N80" s="457">
        <f t="shared" si="9"/>
        <v>2.4199999999999999E-2</v>
      </c>
      <c r="O80" s="457">
        <f t="shared" si="10"/>
        <v>2.29E-2</v>
      </c>
      <c r="P80" s="457">
        <f t="shared" si="11"/>
        <v>2.0899999999999998E-2</v>
      </c>
      <c r="Q80" s="457">
        <f t="shared" si="12"/>
        <v>1.9400000000000001E-2</v>
      </c>
      <c r="R80" s="457">
        <f t="shared" si="13"/>
        <v>1.8200000000000001E-2</v>
      </c>
      <c r="S80" s="457">
        <f t="shared" si="14"/>
        <v>1.72E-2</v>
      </c>
      <c r="T80" s="461">
        <f t="shared" si="15"/>
        <v>1.6299999999999999E-2</v>
      </c>
    </row>
    <row r="81" spans="1:20">
      <c r="A81" s="60" t="s">
        <v>172</v>
      </c>
      <c r="B81" s="72" t="s">
        <v>47</v>
      </c>
      <c r="C81" s="325">
        <v>0.06</v>
      </c>
      <c r="D81" s="326">
        <v>0.56469999999999998</v>
      </c>
      <c r="E81" s="327">
        <v>0.65</v>
      </c>
      <c r="F81" s="327">
        <v>0.62</v>
      </c>
      <c r="G81" s="358">
        <v>2016</v>
      </c>
      <c r="H81" s="359" t="str">
        <f t="shared" si="7"/>
        <v>£m 12/13</v>
      </c>
      <c r="I81" s="359" t="s">
        <v>270</v>
      </c>
      <c r="J81" s="449" t="s">
        <v>487</v>
      </c>
      <c r="K81" s="581"/>
      <c r="L81" s="582"/>
      <c r="M81" s="457">
        <f t="shared" si="8"/>
        <v>2.5499999999999998E-2</v>
      </c>
      <c r="N81" s="457">
        <f t="shared" si="9"/>
        <v>2.4199999999999999E-2</v>
      </c>
      <c r="O81" s="457">
        <f t="shared" si="10"/>
        <v>2.29E-2</v>
      </c>
      <c r="P81" s="457">
        <f t="shared" si="11"/>
        <v>2.0899999999999998E-2</v>
      </c>
      <c r="Q81" s="457">
        <f t="shared" si="12"/>
        <v>1.9400000000000001E-2</v>
      </c>
      <c r="R81" s="457">
        <f t="shared" si="13"/>
        <v>1.8200000000000001E-2</v>
      </c>
      <c r="S81" s="457">
        <f t="shared" si="14"/>
        <v>1.72E-2</v>
      </c>
      <c r="T81" s="461">
        <f t="shared" si="15"/>
        <v>1.6299999999999999E-2</v>
      </c>
    </row>
    <row r="82" spans="1:20">
      <c r="A82" s="60" t="s">
        <v>172</v>
      </c>
      <c r="B82" s="72" t="s">
        <v>48</v>
      </c>
      <c r="C82" s="325">
        <v>0.06</v>
      </c>
      <c r="D82" s="326">
        <v>0.56469999999999998</v>
      </c>
      <c r="E82" s="327">
        <v>0.65</v>
      </c>
      <c r="F82" s="327">
        <v>0.7</v>
      </c>
      <c r="G82" s="358">
        <v>2016</v>
      </c>
      <c r="H82" s="359" t="str">
        <f t="shared" si="7"/>
        <v>£m 12/13</v>
      </c>
      <c r="I82" s="359" t="s">
        <v>270</v>
      </c>
      <c r="J82" s="449" t="s">
        <v>487</v>
      </c>
      <c r="K82" s="581"/>
      <c r="L82" s="582"/>
      <c r="M82" s="457">
        <f t="shared" si="8"/>
        <v>2.5499999999999998E-2</v>
      </c>
      <c r="N82" s="457">
        <f t="shared" si="9"/>
        <v>2.4199999999999999E-2</v>
      </c>
      <c r="O82" s="457">
        <f t="shared" si="10"/>
        <v>2.29E-2</v>
      </c>
      <c r="P82" s="457">
        <f t="shared" si="11"/>
        <v>2.0899999999999998E-2</v>
      </c>
      <c r="Q82" s="457">
        <f t="shared" si="12"/>
        <v>1.9400000000000001E-2</v>
      </c>
      <c r="R82" s="457">
        <f t="shared" si="13"/>
        <v>1.8200000000000001E-2</v>
      </c>
      <c r="S82" s="457">
        <f t="shared" si="14"/>
        <v>1.72E-2</v>
      </c>
      <c r="T82" s="461">
        <f t="shared" si="15"/>
        <v>1.6299999999999999E-2</v>
      </c>
    </row>
    <row r="83" spans="1:20">
      <c r="A83" s="60" t="s">
        <v>172</v>
      </c>
      <c r="B83" s="72" t="s">
        <v>246</v>
      </c>
      <c r="C83" s="325">
        <v>6.4000000000000001E-2</v>
      </c>
      <c r="D83" s="326">
        <v>0.7</v>
      </c>
      <c r="E83" s="327">
        <v>0.65</v>
      </c>
      <c r="F83" s="327">
        <v>0.8</v>
      </c>
      <c r="G83" s="358">
        <v>2016</v>
      </c>
      <c r="H83" s="359" t="str">
        <f t="shared" si="7"/>
        <v>£m 12/13</v>
      </c>
      <c r="I83" s="359" t="s">
        <v>271</v>
      </c>
      <c r="J83" s="449" t="s">
        <v>488</v>
      </c>
      <c r="K83" s="581"/>
      <c r="L83" s="582"/>
      <c r="M83" s="457">
        <f t="shared" ref="M83:T86" si="16">E$63</f>
        <v>2.5499999999999998E-2</v>
      </c>
      <c r="N83" s="457">
        <f t="shared" si="16"/>
        <v>2.3799999999999998E-2</v>
      </c>
      <c r="O83" s="457">
        <f t="shared" si="16"/>
        <v>2.2200000000000001E-2</v>
      </c>
      <c r="P83" s="457">
        <f t="shared" si="16"/>
        <v>1.9099999999999999E-2</v>
      </c>
      <c r="Q83" s="457">
        <f t="shared" si="16"/>
        <v>1.5800000000000002E-2</v>
      </c>
      <c r="R83" s="457">
        <f t="shared" si="16"/>
        <v>1.1399999999999999E-2</v>
      </c>
      <c r="S83" s="457">
        <f t="shared" si="16"/>
        <v>9.1999999999999998E-3</v>
      </c>
      <c r="T83" s="461">
        <f t="shared" si="16"/>
        <v>7.1999999999999998E-3</v>
      </c>
    </row>
    <row r="84" spans="1:20">
      <c r="A84" s="60" t="s">
        <v>172</v>
      </c>
      <c r="B84" s="72" t="s">
        <v>247</v>
      </c>
      <c r="C84" s="325">
        <v>6.4000000000000001E-2</v>
      </c>
      <c r="D84" s="326">
        <v>0.7</v>
      </c>
      <c r="E84" s="327">
        <v>0.65</v>
      </c>
      <c r="F84" s="327">
        <v>0.8</v>
      </c>
      <c r="G84" s="358">
        <v>2016</v>
      </c>
      <c r="H84" s="359" t="str">
        <f t="shared" si="7"/>
        <v>£m 12/13</v>
      </c>
      <c r="I84" s="359" t="s">
        <v>271</v>
      </c>
      <c r="J84" s="449" t="s">
        <v>488</v>
      </c>
      <c r="K84" s="581"/>
      <c r="L84" s="582"/>
      <c r="M84" s="457">
        <f t="shared" si="16"/>
        <v>2.5499999999999998E-2</v>
      </c>
      <c r="N84" s="457">
        <f t="shared" si="16"/>
        <v>2.3799999999999998E-2</v>
      </c>
      <c r="O84" s="457">
        <f t="shared" si="16"/>
        <v>2.2200000000000001E-2</v>
      </c>
      <c r="P84" s="457">
        <f t="shared" si="16"/>
        <v>1.9099999999999999E-2</v>
      </c>
      <c r="Q84" s="457">
        <f t="shared" si="16"/>
        <v>1.5800000000000002E-2</v>
      </c>
      <c r="R84" s="457">
        <f t="shared" si="16"/>
        <v>1.1399999999999999E-2</v>
      </c>
      <c r="S84" s="457">
        <f t="shared" si="16"/>
        <v>9.1999999999999998E-3</v>
      </c>
      <c r="T84" s="461">
        <f t="shared" si="16"/>
        <v>7.1999999999999998E-3</v>
      </c>
    </row>
    <row r="85" spans="1:20">
      <c r="A85" s="60" t="s">
        <v>172</v>
      </c>
      <c r="B85" s="72" t="s">
        <v>248</v>
      </c>
      <c r="C85" s="325">
        <v>6.4000000000000001E-2</v>
      </c>
      <c r="D85" s="326">
        <v>0.7</v>
      </c>
      <c r="E85" s="327">
        <v>0.65</v>
      </c>
      <c r="F85" s="327">
        <v>0.8</v>
      </c>
      <c r="G85" s="358">
        <v>2016</v>
      </c>
      <c r="H85" s="359" t="str">
        <f t="shared" si="7"/>
        <v>£m 12/13</v>
      </c>
      <c r="I85" s="359" t="s">
        <v>271</v>
      </c>
      <c r="J85" s="449" t="s">
        <v>488</v>
      </c>
      <c r="K85" s="581"/>
      <c r="L85" s="582"/>
      <c r="M85" s="457">
        <f t="shared" si="16"/>
        <v>2.5499999999999998E-2</v>
      </c>
      <c r="N85" s="457">
        <f t="shared" si="16"/>
        <v>2.3799999999999998E-2</v>
      </c>
      <c r="O85" s="457">
        <f t="shared" si="16"/>
        <v>2.2200000000000001E-2</v>
      </c>
      <c r="P85" s="457">
        <f t="shared" si="16"/>
        <v>1.9099999999999999E-2</v>
      </c>
      <c r="Q85" s="457">
        <f t="shared" si="16"/>
        <v>1.5800000000000002E-2</v>
      </c>
      <c r="R85" s="457">
        <f t="shared" si="16"/>
        <v>1.1399999999999999E-2</v>
      </c>
      <c r="S85" s="457">
        <f t="shared" si="16"/>
        <v>9.1999999999999998E-3</v>
      </c>
      <c r="T85" s="461">
        <f t="shared" si="16"/>
        <v>7.1999999999999998E-3</v>
      </c>
    </row>
    <row r="86" spans="1:20">
      <c r="A86" s="60" t="s">
        <v>172</v>
      </c>
      <c r="B86" s="72" t="s">
        <v>249</v>
      </c>
      <c r="C86" s="325">
        <v>6.4000000000000001E-2</v>
      </c>
      <c r="D86" s="326">
        <v>0.7</v>
      </c>
      <c r="E86" s="327">
        <v>0.65</v>
      </c>
      <c r="F86" s="327">
        <v>0.8</v>
      </c>
      <c r="G86" s="358">
        <v>2016</v>
      </c>
      <c r="H86" s="359" t="str">
        <f t="shared" si="7"/>
        <v>£m 12/13</v>
      </c>
      <c r="I86" s="359" t="s">
        <v>271</v>
      </c>
      <c r="J86" s="449" t="s">
        <v>488</v>
      </c>
      <c r="K86" s="581"/>
      <c r="L86" s="582"/>
      <c r="M86" s="457">
        <f t="shared" si="16"/>
        <v>2.5499999999999998E-2</v>
      </c>
      <c r="N86" s="457">
        <f t="shared" si="16"/>
        <v>2.3799999999999998E-2</v>
      </c>
      <c r="O86" s="457">
        <f t="shared" si="16"/>
        <v>2.2200000000000001E-2</v>
      </c>
      <c r="P86" s="457">
        <f t="shared" si="16"/>
        <v>1.9099999999999999E-2</v>
      </c>
      <c r="Q86" s="457">
        <f t="shared" si="16"/>
        <v>1.5800000000000002E-2</v>
      </c>
      <c r="R86" s="457">
        <f t="shared" si="16"/>
        <v>1.1399999999999999E-2</v>
      </c>
      <c r="S86" s="457">
        <f t="shared" si="16"/>
        <v>9.1999999999999998E-3</v>
      </c>
      <c r="T86" s="461">
        <f t="shared" si="16"/>
        <v>7.1999999999999998E-3</v>
      </c>
    </row>
    <row r="87" spans="1:20">
      <c r="A87" s="60" t="s">
        <v>173</v>
      </c>
      <c r="B87" s="72" t="s">
        <v>53</v>
      </c>
      <c r="C87" s="325">
        <v>6.7000000000000004E-2</v>
      </c>
      <c r="D87" s="326">
        <v>0.63039999999999996</v>
      </c>
      <c r="E87" s="327">
        <v>0.65</v>
      </c>
      <c r="F87" s="327">
        <v>0.26634501855794862</v>
      </c>
      <c r="G87" s="358">
        <v>2014</v>
      </c>
      <c r="H87" s="359" t="str">
        <f t="shared" si="7"/>
        <v>£m 09/10</v>
      </c>
      <c r="I87" s="359" t="s">
        <v>270</v>
      </c>
      <c r="J87" s="449" t="s">
        <v>488</v>
      </c>
      <c r="K87" s="459">
        <f t="shared" ref="K87:R94" si="17">C$67</f>
        <v>2.92E-2</v>
      </c>
      <c r="L87" s="457">
        <f t="shared" si="17"/>
        <v>2.7199999999999998E-2</v>
      </c>
      <c r="M87" s="457">
        <f t="shared" si="17"/>
        <v>2.5499999999999998E-2</v>
      </c>
      <c r="N87" s="457">
        <f t="shared" si="17"/>
        <v>2.3800000000000002E-2</v>
      </c>
      <c r="O87" s="457">
        <f t="shared" si="17"/>
        <v>2.2200000000000001E-2</v>
      </c>
      <c r="P87" s="457">
        <f t="shared" si="17"/>
        <v>1.9099999999999999E-2</v>
      </c>
      <c r="Q87" s="457">
        <f t="shared" si="17"/>
        <v>1.5800000000000002E-2</v>
      </c>
      <c r="R87" s="457">
        <f t="shared" si="17"/>
        <v>1.1399999999999999E-2</v>
      </c>
      <c r="S87" s="582"/>
      <c r="T87" s="583"/>
    </row>
    <row r="88" spans="1:20">
      <c r="A88" s="60" t="s">
        <v>173</v>
      </c>
      <c r="B88" s="72" t="s">
        <v>54</v>
      </c>
      <c r="C88" s="325">
        <v>6.7000000000000004E-2</v>
      </c>
      <c r="D88" s="326">
        <v>0.63039999999999996</v>
      </c>
      <c r="E88" s="327">
        <v>0.65</v>
      </c>
      <c r="F88" s="327">
        <v>0.23469337831705597</v>
      </c>
      <c r="G88" s="358">
        <v>2014</v>
      </c>
      <c r="H88" s="359" t="str">
        <f t="shared" si="7"/>
        <v>£m 09/10</v>
      </c>
      <c r="I88" s="359" t="s">
        <v>270</v>
      </c>
      <c r="J88" s="449" t="s">
        <v>488</v>
      </c>
      <c r="K88" s="459">
        <f t="shared" si="17"/>
        <v>2.92E-2</v>
      </c>
      <c r="L88" s="457">
        <f t="shared" si="17"/>
        <v>2.7199999999999998E-2</v>
      </c>
      <c r="M88" s="457">
        <f t="shared" si="17"/>
        <v>2.5499999999999998E-2</v>
      </c>
      <c r="N88" s="457">
        <f t="shared" si="17"/>
        <v>2.3800000000000002E-2</v>
      </c>
      <c r="O88" s="457">
        <f t="shared" si="17"/>
        <v>2.2200000000000001E-2</v>
      </c>
      <c r="P88" s="457">
        <f t="shared" si="17"/>
        <v>1.9099999999999999E-2</v>
      </c>
      <c r="Q88" s="457">
        <f t="shared" si="17"/>
        <v>1.5800000000000002E-2</v>
      </c>
      <c r="R88" s="457">
        <f t="shared" si="17"/>
        <v>1.1399999999999999E-2</v>
      </c>
      <c r="S88" s="582"/>
      <c r="T88" s="583"/>
    </row>
    <row r="89" spans="1:20">
      <c r="A89" s="60" t="s">
        <v>173</v>
      </c>
      <c r="B89" s="72" t="s">
        <v>55</v>
      </c>
      <c r="C89" s="325">
        <v>6.7000000000000004E-2</v>
      </c>
      <c r="D89" s="326">
        <v>0.63039999999999996</v>
      </c>
      <c r="E89" s="327">
        <v>0.65</v>
      </c>
      <c r="F89" s="327">
        <v>0.24946223864843597</v>
      </c>
      <c r="G89" s="358">
        <v>2014</v>
      </c>
      <c r="H89" s="359" t="str">
        <f t="shared" si="7"/>
        <v>£m 09/10</v>
      </c>
      <c r="I89" s="359" t="s">
        <v>270</v>
      </c>
      <c r="J89" s="449" t="s">
        <v>488</v>
      </c>
      <c r="K89" s="459">
        <f t="shared" si="17"/>
        <v>2.92E-2</v>
      </c>
      <c r="L89" s="457">
        <f t="shared" si="17"/>
        <v>2.7199999999999998E-2</v>
      </c>
      <c r="M89" s="457">
        <f t="shared" si="17"/>
        <v>2.5499999999999998E-2</v>
      </c>
      <c r="N89" s="457">
        <f t="shared" si="17"/>
        <v>2.3800000000000002E-2</v>
      </c>
      <c r="O89" s="457">
        <f t="shared" si="17"/>
        <v>2.2200000000000001E-2</v>
      </c>
      <c r="P89" s="457">
        <f t="shared" si="17"/>
        <v>1.9099999999999999E-2</v>
      </c>
      <c r="Q89" s="457">
        <f t="shared" si="17"/>
        <v>1.5800000000000002E-2</v>
      </c>
      <c r="R89" s="457">
        <f t="shared" si="17"/>
        <v>1.1399999999999999E-2</v>
      </c>
      <c r="S89" s="582"/>
      <c r="T89" s="583"/>
    </row>
    <row r="90" spans="1:20">
      <c r="A90" s="60" t="s">
        <v>173</v>
      </c>
      <c r="B90" s="72" t="s">
        <v>56</v>
      </c>
      <c r="C90" s="325">
        <v>6.7000000000000004E-2</v>
      </c>
      <c r="D90" s="326">
        <v>0.63039999999999996</v>
      </c>
      <c r="E90" s="327">
        <v>0.65</v>
      </c>
      <c r="F90" s="327">
        <v>0.26095352485819256</v>
      </c>
      <c r="G90" s="358">
        <v>2014</v>
      </c>
      <c r="H90" s="359" t="str">
        <f t="shared" si="7"/>
        <v>£m 09/10</v>
      </c>
      <c r="I90" s="359" t="s">
        <v>270</v>
      </c>
      <c r="J90" s="449" t="s">
        <v>488</v>
      </c>
      <c r="K90" s="459">
        <f t="shared" si="17"/>
        <v>2.92E-2</v>
      </c>
      <c r="L90" s="457">
        <f t="shared" si="17"/>
        <v>2.7199999999999998E-2</v>
      </c>
      <c r="M90" s="457">
        <f t="shared" si="17"/>
        <v>2.5499999999999998E-2</v>
      </c>
      <c r="N90" s="457">
        <f t="shared" si="17"/>
        <v>2.3800000000000002E-2</v>
      </c>
      <c r="O90" s="457">
        <f t="shared" si="17"/>
        <v>2.2200000000000001E-2</v>
      </c>
      <c r="P90" s="457">
        <f t="shared" si="17"/>
        <v>1.9099999999999999E-2</v>
      </c>
      <c r="Q90" s="457">
        <f t="shared" si="17"/>
        <v>1.5800000000000002E-2</v>
      </c>
      <c r="R90" s="457">
        <f t="shared" si="17"/>
        <v>1.1399999999999999E-2</v>
      </c>
      <c r="S90" s="582"/>
      <c r="T90" s="583"/>
    </row>
    <row r="91" spans="1:20">
      <c r="A91" s="60" t="s">
        <v>173</v>
      </c>
      <c r="B91" s="72" t="s">
        <v>50</v>
      </c>
      <c r="C91" s="325">
        <v>6.7000000000000004E-2</v>
      </c>
      <c r="D91" s="326">
        <v>0.63980000000000004</v>
      </c>
      <c r="E91" s="327">
        <v>0.65</v>
      </c>
      <c r="F91" s="327">
        <v>0.34984411379298247</v>
      </c>
      <c r="G91" s="358">
        <v>2014</v>
      </c>
      <c r="H91" s="359" t="str">
        <f t="shared" si="7"/>
        <v>£m 09/10</v>
      </c>
      <c r="I91" s="359" t="s">
        <v>270</v>
      </c>
      <c r="J91" s="449" t="s">
        <v>488</v>
      </c>
      <c r="K91" s="459">
        <f t="shared" si="17"/>
        <v>2.92E-2</v>
      </c>
      <c r="L91" s="457">
        <f t="shared" si="17"/>
        <v>2.7199999999999998E-2</v>
      </c>
      <c r="M91" s="457">
        <f t="shared" si="17"/>
        <v>2.5499999999999998E-2</v>
      </c>
      <c r="N91" s="457">
        <f t="shared" si="17"/>
        <v>2.3800000000000002E-2</v>
      </c>
      <c r="O91" s="457">
        <f t="shared" si="17"/>
        <v>2.2200000000000001E-2</v>
      </c>
      <c r="P91" s="457">
        <f t="shared" si="17"/>
        <v>1.9099999999999999E-2</v>
      </c>
      <c r="Q91" s="457">
        <f t="shared" si="17"/>
        <v>1.5800000000000002E-2</v>
      </c>
      <c r="R91" s="457">
        <f t="shared" si="17"/>
        <v>1.1399999999999999E-2</v>
      </c>
      <c r="S91" s="582"/>
      <c r="T91" s="583"/>
    </row>
    <row r="92" spans="1:20">
      <c r="A92" s="60" t="s">
        <v>173</v>
      </c>
      <c r="B92" s="72" t="s">
        <v>52</v>
      </c>
      <c r="C92" s="325">
        <v>6.7000000000000004E-2</v>
      </c>
      <c r="D92" s="326">
        <v>0.63729999999999998</v>
      </c>
      <c r="E92" s="327">
        <v>0.65</v>
      </c>
      <c r="F92" s="327">
        <v>0.35129049661183626</v>
      </c>
      <c r="G92" s="358">
        <v>2014</v>
      </c>
      <c r="H92" s="359" t="str">
        <f t="shared" si="7"/>
        <v>£m 09/10</v>
      </c>
      <c r="I92" s="359" t="s">
        <v>270</v>
      </c>
      <c r="J92" s="449" t="s">
        <v>488</v>
      </c>
      <c r="K92" s="459">
        <f t="shared" si="17"/>
        <v>2.92E-2</v>
      </c>
      <c r="L92" s="457">
        <f t="shared" si="17"/>
        <v>2.7199999999999998E-2</v>
      </c>
      <c r="M92" s="457">
        <f t="shared" si="17"/>
        <v>2.5499999999999998E-2</v>
      </c>
      <c r="N92" s="457">
        <f t="shared" si="17"/>
        <v>2.3800000000000002E-2</v>
      </c>
      <c r="O92" s="457">
        <f t="shared" si="17"/>
        <v>2.2200000000000001E-2</v>
      </c>
      <c r="P92" s="457">
        <f t="shared" si="17"/>
        <v>1.9099999999999999E-2</v>
      </c>
      <c r="Q92" s="457">
        <f t="shared" si="17"/>
        <v>1.5800000000000002E-2</v>
      </c>
      <c r="R92" s="457">
        <f t="shared" si="17"/>
        <v>1.1399999999999999E-2</v>
      </c>
      <c r="S92" s="582"/>
      <c r="T92" s="583"/>
    </row>
    <row r="93" spans="1:20">
      <c r="A93" s="60" t="s">
        <v>173</v>
      </c>
      <c r="B93" s="72" t="s">
        <v>51</v>
      </c>
      <c r="C93" s="325">
        <v>6.7000000000000004E-2</v>
      </c>
      <c r="D93" s="326">
        <v>0.63729999999999998</v>
      </c>
      <c r="E93" s="327">
        <v>0.65</v>
      </c>
      <c r="F93" s="327">
        <v>0.32230855902021693</v>
      </c>
      <c r="G93" s="358">
        <v>2014</v>
      </c>
      <c r="H93" s="359" t="str">
        <f t="shared" si="7"/>
        <v>£m 09/10</v>
      </c>
      <c r="I93" s="359" t="s">
        <v>270</v>
      </c>
      <c r="J93" s="449" t="s">
        <v>488</v>
      </c>
      <c r="K93" s="459">
        <f t="shared" si="17"/>
        <v>2.92E-2</v>
      </c>
      <c r="L93" s="457">
        <f t="shared" si="17"/>
        <v>2.7199999999999998E-2</v>
      </c>
      <c r="M93" s="457">
        <f t="shared" si="17"/>
        <v>2.5499999999999998E-2</v>
      </c>
      <c r="N93" s="457">
        <f t="shared" si="17"/>
        <v>2.3800000000000002E-2</v>
      </c>
      <c r="O93" s="457">
        <f t="shared" si="17"/>
        <v>2.2200000000000001E-2</v>
      </c>
      <c r="P93" s="457">
        <f t="shared" si="17"/>
        <v>1.9099999999999999E-2</v>
      </c>
      <c r="Q93" s="457">
        <f t="shared" si="17"/>
        <v>1.5800000000000002E-2</v>
      </c>
      <c r="R93" s="457">
        <f t="shared" si="17"/>
        <v>1.1399999999999999E-2</v>
      </c>
      <c r="S93" s="582"/>
      <c r="T93" s="583"/>
    </row>
    <row r="94" spans="1:20">
      <c r="A94" s="60" t="s">
        <v>173</v>
      </c>
      <c r="B94" s="72" t="s">
        <v>49</v>
      </c>
      <c r="C94" s="325">
        <v>6.7000000000000004E-2</v>
      </c>
      <c r="D94" s="326">
        <v>0.63170000000000004</v>
      </c>
      <c r="E94" s="327">
        <v>0.65</v>
      </c>
      <c r="F94" s="327">
        <v>0.35781904469402892</v>
      </c>
      <c r="G94" s="358">
        <v>2014</v>
      </c>
      <c r="H94" s="359" t="str">
        <f t="shared" si="7"/>
        <v>£m 09/10</v>
      </c>
      <c r="I94" s="359" t="s">
        <v>270</v>
      </c>
      <c r="J94" s="449" t="s">
        <v>488</v>
      </c>
      <c r="K94" s="459">
        <f t="shared" si="17"/>
        <v>2.92E-2</v>
      </c>
      <c r="L94" s="457">
        <f t="shared" si="17"/>
        <v>2.7199999999999998E-2</v>
      </c>
      <c r="M94" s="457">
        <f t="shared" si="17"/>
        <v>2.5499999999999998E-2</v>
      </c>
      <c r="N94" s="457">
        <f t="shared" si="17"/>
        <v>2.3800000000000002E-2</v>
      </c>
      <c r="O94" s="457">
        <f t="shared" si="17"/>
        <v>2.2200000000000001E-2</v>
      </c>
      <c r="P94" s="457">
        <f t="shared" si="17"/>
        <v>1.9099999999999999E-2</v>
      </c>
      <c r="Q94" s="457">
        <f t="shared" si="17"/>
        <v>1.5800000000000002E-2</v>
      </c>
      <c r="R94" s="457">
        <f t="shared" si="17"/>
        <v>1.1399999999999999E-2</v>
      </c>
      <c r="S94" s="582"/>
      <c r="T94" s="583"/>
    </row>
    <row r="95" spans="1:20">
      <c r="A95" s="60" t="s">
        <v>175</v>
      </c>
      <c r="B95" s="72" t="s">
        <v>113</v>
      </c>
      <c r="C95" s="325">
        <v>6.8000000000000005E-2</v>
      </c>
      <c r="D95" s="326">
        <v>0.44359999999999999</v>
      </c>
      <c r="E95" s="327">
        <v>0.625</v>
      </c>
      <c r="F95" s="327">
        <v>0.64400000000000002</v>
      </c>
      <c r="G95" s="358">
        <v>2014</v>
      </c>
      <c r="H95" s="359" t="str">
        <f t="shared" si="7"/>
        <v>£m 09/10</v>
      </c>
      <c r="I95" s="359" t="s">
        <v>270</v>
      </c>
      <c r="J95" s="449" t="s">
        <v>488</v>
      </c>
      <c r="K95" s="459">
        <f t="shared" ref="K95:R96" si="18">C$68</f>
        <v>2.92E-2</v>
      </c>
      <c r="L95" s="457">
        <f t="shared" si="18"/>
        <v>2.7199999999999998E-2</v>
      </c>
      <c r="M95" s="457">
        <f t="shared" si="18"/>
        <v>2.5499999999999998E-2</v>
      </c>
      <c r="N95" s="457">
        <f t="shared" si="18"/>
        <v>2.3800000000000002E-2</v>
      </c>
      <c r="O95" s="457">
        <f t="shared" si="18"/>
        <v>2.2200000000000001E-2</v>
      </c>
      <c r="P95" s="457">
        <f t="shared" si="18"/>
        <v>1.9099999999999999E-2</v>
      </c>
      <c r="Q95" s="457">
        <f t="shared" si="18"/>
        <v>1.5800000000000002E-2</v>
      </c>
      <c r="R95" s="457">
        <f t="shared" si="18"/>
        <v>1.1399999999999999E-2</v>
      </c>
      <c r="S95" s="582"/>
      <c r="T95" s="583"/>
    </row>
    <row r="96" spans="1:20">
      <c r="A96" s="60" t="s">
        <v>175</v>
      </c>
      <c r="B96" s="72" t="s">
        <v>114</v>
      </c>
      <c r="C96" s="325">
        <v>6.8000000000000005E-2</v>
      </c>
      <c r="D96" s="326">
        <v>0.44359999999999999</v>
      </c>
      <c r="E96" s="327">
        <v>0.625</v>
      </c>
      <c r="F96" s="327">
        <v>0.374</v>
      </c>
      <c r="G96" s="358">
        <v>2014</v>
      </c>
      <c r="H96" s="359" t="str">
        <f t="shared" si="7"/>
        <v>£m 09/10</v>
      </c>
      <c r="I96" s="359" t="s">
        <v>270</v>
      </c>
      <c r="J96" s="449" t="s">
        <v>488</v>
      </c>
      <c r="K96" s="459">
        <f t="shared" si="18"/>
        <v>2.92E-2</v>
      </c>
      <c r="L96" s="457">
        <f t="shared" si="18"/>
        <v>2.7199999999999998E-2</v>
      </c>
      <c r="M96" s="457">
        <f t="shared" si="18"/>
        <v>2.5499999999999998E-2</v>
      </c>
      <c r="N96" s="457">
        <f t="shared" si="18"/>
        <v>2.3800000000000002E-2</v>
      </c>
      <c r="O96" s="457">
        <f t="shared" si="18"/>
        <v>2.2200000000000001E-2</v>
      </c>
      <c r="P96" s="457">
        <f t="shared" si="18"/>
        <v>1.9099999999999999E-2</v>
      </c>
      <c r="Q96" s="457">
        <f t="shared" si="18"/>
        <v>1.5800000000000002E-2</v>
      </c>
      <c r="R96" s="457">
        <f t="shared" si="18"/>
        <v>1.1399999999999999E-2</v>
      </c>
      <c r="S96" s="582"/>
      <c r="T96" s="583"/>
    </row>
    <row r="97" spans="1:20">
      <c r="A97" s="60" t="s">
        <v>174</v>
      </c>
      <c r="B97" s="72" t="s">
        <v>111</v>
      </c>
      <c r="C97" s="325">
        <v>7.0000000000000007E-2</v>
      </c>
      <c r="D97" s="326">
        <v>0.46889999999999998</v>
      </c>
      <c r="E97" s="327">
        <v>0.6</v>
      </c>
      <c r="F97" s="327">
        <v>0.85</v>
      </c>
      <c r="G97" s="358">
        <v>2014</v>
      </c>
      <c r="H97" s="359" t="str">
        <f t="shared" si="7"/>
        <v>£m 09/10</v>
      </c>
      <c r="I97" s="359" t="s">
        <v>270</v>
      </c>
      <c r="J97" s="449" t="s">
        <v>488</v>
      </c>
      <c r="K97" s="459">
        <f t="shared" ref="K97:R99" si="19">C$66</f>
        <v>2.92E-2</v>
      </c>
      <c r="L97" s="457">
        <f t="shared" si="19"/>
        <v>2.7199999999999998E-2</v>
      </c>
      <c r="M97" s="457">
        <f t="shared" si="19"/>
        <v>2.5499999999999998E-2</v>
      </c>
      <c r="N97" s="457">
        <f t="shared" si="19"/>
        <v>2.3800000000000002E-2</v>
      </c>
      <c r="O97" s="457">
        <f t="shared" si="19"/>
        <v>2.2200000000000001E-2</v>
      </c>
      <c r="P97" s="457">
        <f t="shared" si="19"/>
        <v>1.9099999999999999E-2</v>
      </c>
      <c r="Q97" s="457">
        <f t="shared" si="19"/>
        <v>1.5800000000000002E-2</v>
      </c>
      <c r="R97" s="457">
        <f t="shared" si="19"/>
        <v>1.1399999999999999E-2</v>
      </c>
      <c r="S97" s="582"/>
      <c r="T97" s="583"/>
    </row>
    <row r="98" spans="1:20">
      <c r="A98" s="60" t="s">
        <v>174</v>
      </c>
      <c r="B98" s="72" t="s">
        <v>112</v>
      </c>
      <c r="C98" s="325">
        <v>7.0000000000000007E-2</v>
      </c>
      <c r="D98" s="326">
        <v>0.46889999999999998</v>
      </c>
      <c r="E98" s="327">
        <v>0.6</v>
      </c>
      <c r="F98" s="327">
        <v>0.27900000000000003</v>
      </c>
      <c r="G98" s="344">
        <v>2014</v>
      </c>
      <c r="H98" s="345" t="str">
        <f>VLOOKUP($A98,$E$54:$F$57,2,FALSE)</f>
        <v>£m 09/10</v>
      </c>
      <c r="I98" s="342" t="s">
        <v>270</v>
      </c>
      <c r="J98" s="449" t="s">
        <v>488</v>
      </c>
      <c r="K98" s="459">
        <f t="shared" si="19"/>
        <v>2.92E-2</v>
      </c>
      <c r="L98" s="457">
        <f t="shared" si="19"/>
        <v>2.7199999999999998E-2</v>
      </c>
      <c r="M98" s="457">
        <f t="shared" si="19"/>
        <v>2.5499999999999998E-2</v>
      </c>
      <c r="N98" s="457">
        <f t="shared" si="19"/>
        <v>2.3800000000000002E-2</v>
      </c>
      <c r="O98" s="457">
        <f t="shared" si="19"/>
        <v>2.2200000000000001E-2</v>
      </c>
      <c r="P98" s="457">
        <f t="shared" si="19"/>
        <v>1.9099999999999999E-2</v>
      </c>
      <c r="Q98" s="457">
        <f t="shared" si="19"/>
        <v>1.5800000000000002E-2</v>
      </c>
      <c r="R98" s="457">
        <f t="shared" si="19"/>
        <v>1.1399999999999999E-2</v>
      </c>
      <c r="S98" s="582"/>
      <c r="T98" s="583"/>
    </row>
    <row r="99" spans="1:20">
      <c r="A99" s="60" t="s">
        <v>174</v>
      </c>
      <c r="B99" s="72" t="s">
        <v>60</v>
      </c>
      <c r="C99" s="325">
        <v>7.0000000000000007E-2</v>
      </c>
      <c r="D99" s="326">
        <v>0.5</v>
      </c>
      <c r="E99" s="327">
        <v>0.55000000000000004</v>
      </c>
      <c r="F99" s="327">
        <v>0.9</v>
      </c>
      <c r="G99" s="344">
        <v>2014</v>
      </c>
      <c r="H99" s="345" t="str">
        <f>VLOOKUP($A99,$E$54:$F$57,2,FALSE)</f>
        <v>£m 09/10</v>
      </c>
      <c r="I99" s="342" t="s">
        <v>271</v>
      </c>
      <c r="J99" s="449" t="s">
        <v>488</v>
      </c>
      <c r="K99" s="459">
        <f t="shared" si="19"/>
        <v>2.92E-2</v>
      </c>
      <c r="L99" s="457">
        <f t="shared" si="19"/>
        <v>2.7199999999999998E-2</v>
      </c>
      <c r="M99" s="457">
        <f t="shared" si="19"/>
        <v>2.5499999999999998E-2</v>
      </c>
      <c r="N99" s="457">
        <f t="shared" si="19"/>
        <v>2.3800000000000002E-2</v>
      </c>
      <c r="O99" s="457">
        <f t="shared" si="19"/>
        <v>2.2200000000000001E-2</v>
      </c>
      <c r="P99" s="457">
        <f t="shared" si="19"/>
        <v>1.9099999999999999E-2</v>
      </c>
      <c r="Q99" s="457">
        <f t="shared" si="19"/>
        <v>1.5800000000000002E-2</v>
      </c>
      <c r="R99" s="457">
        <f t="shared" si="19"/>
        <v>1.1399999999999999E-2</v>
      </c>
      <c r="S99" s="582"/>
      <c r="T99" s="583"/>
    </row>
    <row r="100" spans="1:20">
      <c r="A100" s="60" t="s">
        <v>174</v>
      </c>
      <c r="B100" s="73" t="s">
        <v>61</v>
      </c>
      <c r="C100" s="328">
        <v>7.0000000000000007E-2</v>
      </c>
      <c r="D100" s="329">
        <v>0.5</v>
      </c>
      <c r="E100" s="330">
        <v>0.55000000000000004</v>
      </c>
      <c r="F100" s="330">
        <v>0.9</v>
      </c>
      <c r="G100" s="346">
        <v>2014</v>
      </c>
      <c r="H100" s="347" t="str">
        <f>VLOOKUP($A100,$E$54:$F$57,2,FALSE)</f>
        <v>£m 09/10</v>
      </c>
      <c r="I100" s="343" t="s">
        <v>271</v>
      </c>
      <c r="J100" s="449" t="s">
        <v>488</v>
      </c>
      <c r="K100" s="460">
        <f t="shared" ref="K100:R100" si="20">C$65</f>
        <v>2.92E-2</v>
      </c>
      <c r="L100" s="458">
        <f t="shared" si="20"/>
        <v>2.5000000000000001E-2</v>
      </c>
      <c r="M100" s="458">
        <f t="shared" si="20"/>
        <v>2.1499999999999998E-2</v>
      </c>
      <c r="N100" s="458">
        <f t="shared" si="20"/>
        <v>1.7899999999999999E-2</v>
      </c>
      <c r="O100" s="458">
        <f t="shared" si="20"/>
        <v>1.5100000000000001E-2</v>
      </c>
      <c r="P100" s="458">
        <f t="shared" si="20"/>
        <v>1.1599999999999999E-2</v>
      </c>
      <c r="Q100" s="458">
        <f t="shared" si="20"/>
        <v>1.0200000000000001E-2</v>
      </c>
      <c r="R100" s="458">
        <f t="shared" si="20"/>
        <v>8.6E-3</v>
      </c>
      <c r="S100" s="584"/>
      <c r="T100" s="585"/>
    </row>
    <row r="101" spans="1:20">
      <c r="I101" s="67"/>
    </row>
    <row r="102" spans="1:20">
      <c r="I102" s="67"/>
    </row>
    <row r="103" spans="1:20">
      <c r="I103" s="67"/>
    </row>
    <row r="104" spans="1:20" ht="13.5">
      <c r="B104" s="14" t="s">
        <v>250</v>
      </c>
      <c r="D104" s="312"/>
      <c r="E104" s="312"/>
      <c r="F104" s="312"/>
      <c r="G104" s="312"/>
      <c r="H104" s="312"/>
      <c r="I104" s="312"/>
      <c r="J104" s="312"/>
    </row>
    <row r="105" spans="1:20">
      <c r="B105" s="14"/>
      <c r="C105" s="118">
        <v>2014</v>
      </c>
      <c r="D105" s="119">
        <f>C105+1</f>
        <v>2015</v>
      </c>
      <c r="E105" s="119">
        <f t="shared" ref="E105:J105" si="21">D105+1</f>
        <v>2016</v>
      </c>
      <c r="F105" s="119">
        <f>E105+1</f>
        <v>2017</v>
      </c>
      <c r="G105" s="119">
        <f t="shared" si="21"/>
        <v>2018</v>
      </c>
      <c r="H105" s="119">
        <f t="shared" si="21"/>
        <v>2019</v>
      </c>
      <c r="I105" s="119">
        <f t="shared" si="21"/>
        <v>2020</v>
      </c>
      <c r="J105" s="119">
        <f t="shared" si="21"/>
        <v>2021</v>
      </c>
    </row>
    <row r="106" spans="1:20">
      <c r="B106" s="320" t="s">
        <v>53</v>
      </c>
      <c r="C106" s="317">
        <v>0.5</v>
      </c>
      <c r="D106" s="317">
        <v>0.5714285714285714</v>
      </c>
      <c r="E106" s="317">
        <v>0.64285714285714279</v>
      </c>
      <c r="F106" s="317">
        <v>0.71428571428571419</v>
      </c>
      <c r="G106" s="317">
        <v>0.78571428571428559</v>
      </c>
      <c r="H106" s="317">
        <v>0.85714285714285698</v>
      </c>
      <c r="I106" s="317">
        <v>0.92857142857142838</v>
      </c>
      <c r="J106" s="318">
        <v>1</v>
      </c>
    </row>
    <row r="107" spans="1:20">
      <c r="B107" s="321" t="s">
        <v>54</v>
      </c>
      <c r="C107" s="228">
        <v>0.5</v>
      </c>
      <c r="D107" s="228">
        <v>0.5714285714285714</v>
      </c>
      <c r="E107" s="228">
        <v>0.64285714285714279</v>
      </c>
      <c r="F107" s="228">
        <v>0.71428571428571419</v>
      </c>
      <c r="G107" s="228">
        <v>0.78571428571428559</v>
      </c>
      <c r="H107" s="228">
        <v>0.85714285714285698</v>
      </c>
      <c r="I107" s="228">
        <v>0.92857142857142838</v>
      </c>
      <c r="J107" s="229">
        <v>1</v>
      </c>
    </row>
    <row r="108" spans="1:20">
      <c r="B108" s="321" t="s">
        <v>55</v>
      </c>
      <c r="C108" s="228">
        <v>0.5</v>
      </c>
      <c r="D108" s="228">
        <v>0.5714285714285714</v>
      </c>
      <c r="E108" s="228">
        <v>0.64285714285714279</v>
      </c>
      <c r="F108" s="228">
        <v>0.71428571428571419</v>
      </c>
      <c r="G108" s="228">
        <v>0.78571428571428559</v>
      </c>
      <c r="H108" s="228">
        <v>0.85714285714285698</v>
      </c>
      <c r="I108" s="228">
        <v>0.92857142857142838</v>
      </c>
      <c r="J108" s="229">
        <v>1</v>
      </c>
    </row>
    <row r="109" spans="1:20">
      <c r="B109" s="321" t="s">
        <v>56</v>
      </c>
      <c r="C109" s="228">
        <v>0.5</v>
      </c>
      <c r="D109" s="228">
        <v>0.5714285714285714</v>
      </c>
      <c r="E109" s="228">
        <v>0.64285714285714279</v>
      </c>
      <c r="F109" s="228">
        <v>0.71428571428571419</v>
      </c>
      <c r="G109" s="228">
        <v>0.78571428571428559</v>
      </c>
      <c r="H109" s="228">
        <v>0.85714285714285698</v>
      </c>
      <c r="I109" s="228">
        <v>0.92857142857142838</v>
      </c>
      <c r="J109" s="229">
        <v>1</v>
      </c>
    </row>
    <row r="110" spans="1:20">
      <c r="B110" s="321" t="s">
        <v>50</v>
      </c>
      <c r="C110" s="228">
        <v>0.5</v>
      </c>
      <c r="D110" s="228">
        <v>0.5714285714285714</v>
      </c>
      <c r="E110" s="228">
        <v>0.64285714285714279</v>
      </c>
      <c r="F110" s="228">
        <v>0.71428571428571419</v>
      </c>
      <c r="G110" s="228">
        <v>0.78571428571428559</v>
      </c>
      <c r="H110" s="228">
        <v>0.85714285714285698</v>
      </c>
      <c r="I110" s="228">
        <v>0.92857142857142838</v>
      </c>
      <c r="J110" s="229">
        <v>1</v>
      </c>
    </row>
    <row r="111" spans="1:20">
      <c r="B111" s="321" t="s">
        <v>52</v>
      </c>
      <c r="C111" s="228">
        <v>0.5</v>
      </c>
      <c r="D111" s="228">
        <v>0.5714285714285714</v>
      </c>
      <c r="E111" s="228">
        <v>0.64285714285714279</v>
      </c>
      <c r="F111" s="228">
        <v>0.71428571428571419</v>
      </c>
      <c r="G111" s="228">
        <v>0.78571428571428559</v>
      </c>
      <c r="H111" s="228">
        <v>0.85714285714285698</v>
      </c>
      <c r="I111" s="228">
        <v>0.92857142857142838</v>
      </c>
      <c r="J111" s="229">
        <v>1</v>
      </c>
    </row>
    <row r="112" spans="1:20">
      <c r="B112" s="321" t="s">
        <v>51</v>
      </c>
      <c r="C112" s="228">
        <v>0.5</v>
      </c>
      <c r="D112" s="228">
        <v>0.5714285714285714</v>
      </c>
      <c r="E112" s="228">
        <v>0.64285714285714279</v>
      </c>
      <c r="F112" s="228">
        <v>0.71428571428571419</v>
      </c>
      <c r="G112" s="228">
        <v>0.78571428571428559</v>
      </c>
      <c r="H112" s="228">
        <v>0.85714285714285698</v>
      </c>
      <c r="I112" s="228">
        <v>0.92857142857142838</v>
      </c>
      <c r="J112" s="229">
        <v>1</v>
      </c>
    </row>
    <row r="113" spans="2:15">
      <c r="B113" s="442" t="s">
        <v>49</v>
      </c>
      <c r="C113" s="443">
        <v>0.5</v>
      </c>
      <c r="D113" s="443">
        <v>0.5714285714285714</v>
      </c>
      <c r="E113" s="443">
        <v>0.64285714285714279</v>
      </c>
      <c r="F113" s="443">
        <v>0.71428571428571419</v>
      </c>
      <c r="G113" s="443">
        <v>0.78571428571428559</v>
      </c>
      <c r="H113" s="443">
        <v>0.85714285714285698</v>
      </c>
      <c r="I113" s="443">
        <v>0.92857142857142838</v>
      </c>
      <c r="J113" s="444">
        <v>1</v>
      </c>
    </row>
    <row r="114" spans="2:15">
      <c r="B114" s="321" t="s">
        <v>113</v>
      </c>
      <c r="C114" s="228">
        <v>0.9</v>
      </c>
      <c r="D114" s="228">
        <v>0.9</v>
      </c>
      <c r="E114" s="228">
        <v>0.9</v>
      </c>
      <c r="F114" s="228">
        <v>0.9</v>
      </c>
      <c r="G114" s="228">
        <v>0.9</v>
      </c>
      <c r="H114" s="228">
        <v>0.9</v>
      </c>
      <c r="I114" s="228">
        <v>0.9</v>
      </c>
      <c r="J114" s="229">
        <v>0.9</v>
      </c>
    </row>
    <row r="115" spans="2:15">
      <c r="B115" s="322" t="s">
        <v>114</v>
      </c>
      <c r="C115" s="589"/>
      <c r="D115" s="589"/>
      <c r="E115" s="589"/>
      <c r="F115" s="589"/>
      <c r="G115" s="589"/>
      <c r="H115" s="589"/>
      <c r="I115" s="589"/>
      <c r="J115" s="589"/>
    </row>
    <row r="116" spans="2:15">
      <c r="B116" s="422"/>
      <c r="C116" s="483"/>
      <c r="D116" s="483"/>
      <c r="E116" s="483"/>
      <c r="F116" s="483"/>
      <c r="G116" s="483"/>
      <c r="H116" s="483"/>
      <c r="I116" s="483"/>
      <c r="J116" s="483"/>
      <c r="M116" s="32"/>
      <c r="N116" s="32"/>
      <c r="O116" s="32"/>
    </row>
    <row r="117" spans="2:15">
      <c r="B117" s="422"/>
      <c r="C117" s="483"/>
      <c r="D117" s="483"/>
      <c r="E117" s="483"/>
      <c r="F117" s="483"/>
      <c r="G117" s="483"/>
      <c r="H117" s="483"/>
      <c r="I117" s="483"/>
      <c r="J117" s="483"/>
      <c r="K117" s="384"/>
      <c r="L117" s="384"/>
      <c r="M117" s="32"/>
      <c r="N117" s="32"/>
      <c r="O117" s="32"/>
    </row>
    <row r="118" spans="2:15">
      <c r="B118" s="493" t="s">
        <v>214</v>
      </c>
      <c r="C118" s="118">
        <v>2014</v>
      </c>
      <c r="D118" s="119">
        <f t="shared" ref="D118:L118" si="22">C118+1</f>
        <v>2015</v>
      </c>
      <c r="E118" s="119">
        <f t="shared" si="22"/>
        <v>2016</v>
      </c>
      <c r="F118" s="119">
        <f t="shared" si="22"/>
        <v>2017</v>
      </c>
      <c r="G118" s="119">
        <f t="shared" si="22"/>
        <v>2018</v>
      </c>
      <c r="H118" s="119">
        <f t="shared" si="22"/>
        <v>2019</v>
      </c>
      <c r="I118" s="119">
        <f t="shared" si="22"/>
        <v>2020</v>
      </c>
      <c r="J118" s="119">
        <f t="shared" si="22"/>
        <v>2021</v>
      </c>
      <c r="K118" s="119">
        <f t="shared" si="22"/>
        <v>2022</v>
      </c>
      <c r="L118" s="203">
        <f t="shared" si="22"/>
        <v>2023</v>
      </c>
      <c r="M118" s="32"/>
      <c r="N118" s="32"/>
      <c r="O118" s="32"/>
    </row>
    <row r="119" spans="2:15">
      <c r="B119" s="484" t="s">
        <v>43</v>
      </c>
      <c r="C119" s="586"/>
      <c r="D119" s="587"/>
      <c r="E119" s="486">
        <v>1.5575632164737283</v>
      </c>
      <c r="F119" s="486">
        <v>1.4734141240658321</v>
      </c>
      <c r="G119" s="486">
        <v>1.4689588897025405</v>
      </c>
      <c r="H119" s="486">
        <v>1.4707200530126929</v>
      </c>
      <c r="I119" s="486">
        <v>1.4674716260161711</v>
      </c>
      <c r="J119" s="486">
        <v>1.4486206224386007</v>
      </c>
      <c r="K119" s="486">
        <v>1.4956798325868756</v>
      </c>
      <c r="L119" s="487">
        <v>1.4397148718051931</v>
      </c>
      <c r="M119" s="32"/>
      <c r="N119" s="32"/>
      <c r="O119" s="32"/>
    </row>
    <row r="120" spans="2:15">
      <c r="B120" s="484" t="s">
        <v>44</v>
      </c>
      <c r="C120" s="588"/>
      <c r="D120" s="589"/>
      <c r="E120" s="488">
        <v>-0.65871781800535345</v>
      </c>
      <c r="F120" s="488">
        <v>-0.63543772576063684</v>
      </c>
      <c r="G120" s="488">
        <v>-0.58907862874233818</v>
      </c>
      <c r="H120" s="488">
        <v>-0.58178188190178026</v>
      </c>
      <c r="I120" s="488">
        <v>-0.56823918867341305</v>
      </c>
      <c r="J120" s="488">
        <v>-0.51933170333654122</v>
      </c>
      <c r="K120" s="488">
        <v>-0.47962665852661612</v>
      </c>
      <c r="L120" s="489">
        <v>-0.4656874701170608</v>
      </c>
      <c r="M120" s="32"/>
      <c r="N120" s="32"/>
      <c r="O120" s="32"/>
    </row>
    <row r="121" spans="2:15">
      <c r="B121" s="484" t="s">
        <v>73</v>
      </c>
      <c r="C121" s="588"/>
      <c r="D121" s="589"/>
      <c r="E121" s="488">
        <v>-0.86626036283610952</v>
      </c>
      <c r="F121" s="488">
        <v>-0.81019773780890636</v>
      </c>
      <c r="G121" s="488">
        <v>-0.78919084241395188</v>
      </c>
      <c r="H121" s="488">
        <v>-0.79061873066036981</v>
      </c>
      <c r="I121" s="488">
        <v>-0.74432653414361061</v>
      </c>
      <c r="J121" s="488">
        <v>-0.70697274816976396</v>
      </c>
      <c r="K121" s="488">
        <v>-0.65350946162011747</v>
      </c>
      <c r="L121" s="489">
        <v>-0.66429758885743451</v>
      </c>
      <c r="M121" s="32"/>
      <c r="N121" s="32"/>
      <c r="O121" s="32"/>
    </row>
    <row r="122" spans="2:15">
      <c r="B122" s="484" t="s">
        <v>59</v>
      </c>
      <c r="C122" s="588"/>
      <c r="D122" s="589"/>
      <c r="E122" s="488">
        <v>-3.2612134183503572</v>
      </c>
      <c r="F122" s="488">
        <v>-3.3462554451402173</v>
      </c>
      <c r="G122" s="488">
        <v>-3.1732919768141143</v>
      </c>
      <c r="H122" s="488">
        <v>-3.1232404745251841</v>
      </c>
      <c r="I122" s="488">
        <v>-3.0767551306224106</v>
      </c>
      <c r="J122" s="488">
        <v>-2.9342177182087767</v>
      </c>
      <c r="K122" s="488">
        <v>-2.8825938479182072</v>
      </c>
      <c r="L122" s="489">
        <v>-2.7237011003750218</v>
      </c>
      <c r="M122" s="32"/>
      <c r="N122" s="32"/>
      <c r="O122" s="32"/>
    </row>
    <row r="123" spans="2:15">
      <c r="B123" s="484" t="s">
        <v>57</v>
      </c>
      <c r="C123" s="588"/>
      <c r="D123" s="589"/>
      <c r="E123" s="488">
        <v>-2.4260972367898193</v>
      </c>
      <c r="F123" s="488">
        <v>-2.3690383662844163</v>
      </c>
      <c r="G123" s="488">
        <v>-2.2433276600060932</v>
      </c>
      <c r="H123" s="488">
        <v>-2.1466020621213828</v>
      </c>
      <c r="I123" s="488">
        <v>-2.174009678716605</v>
      </c>
      <c r="J123" s="488">
        <v>-2.0538927838998693</v>
      </c>
      <c r="K123" s="488">
        <v>-1.9044581231060691</v>
      </c>
      <c r="L123" s="489">
        <v>-1.8008611131009082</v>
      </c>
      <c r="M123" s="32"/>
      <c r="N123" s="32"/>
      <c r="O123" s="32"/>
    </row>
    <row r="124" spans="2:15">
      <c r="B124" s="484" t="s">
        <v>58</v>
      </c>
      <c r="C124" s="588"/>
      <c r="D124" s="589"/>
      <c r="E124" s="488">
        <v>-2.1861012409352765</v>
      </c>
      <c r="F124" s="488">
        <v>-2.3820447425774849</v>
      </c>
      <c r="G124" s="488">
        <v>-2.2418672366929897</v>
      </c>
      <c r="H124" s="488">
        <v>-2.1147812646907029</v>
      </c>
      <c r="I124" s="488">
        <v>-2.0146177086326591</v>
      </c>
      <c r="J124" s="488">
        <v>-1.9421313262105093</v>
      </c>
      <c r="K124" s="488">
        <v>-1.9248856430948595</v>
      </c>
      <c r="L124" s="489">
        <v>-1.8464451304225615</v>
      </c>
      <c r="M124" s="32"/>
      <c r="N124" s="32"/>
      <c r="O124" s="32"/>
    </row>
    <row r="125" spans="2:15">
      <c r="B125" s="484" t="s">
        <v>45</v>
      </c>
      <c r="C125" s="588"/>
      <c r="D125" s="589"/>
      <c r="E125" s="488">
        <v>-1.8633532543800757</v>
      </c>
      <c r="F125" s="488">
        <v>-1.8182980405067262</v>
      </c>
      <c r="G125" s="488">
        <v>-1.83946756302578</v>
      </c>
      <c r="H125" s="488">
        <v>-1.7415973428180247</v>
      </c>
      <c r="I125" s="488">
        <v>-1.6798002111470465</v>
      </c>
      <c r="J125" s="488">
        <v>-1.5974456358596774</v>
      </c>
      <c r="K125" s="488">
        <v>-1.5016396120831343</v>
      </c>
      <c r="L125" s="489">
        <v>-1.4453638876860204</v>
      </c>
      <c r="M125" s="32"/>
      <c r="N125" s="32"/>
      <c r="O125" s="32"/>
    </row>
    <row r="126" spans="2:15">
      <c r="B126" s="484" t="s">
        <v>46</v>
      </c>
      <c r="C126" s="588"/>
      <c r="D126" s="589"/>
      <c r="E126" s="488">
        <v>-2.1317145269512103</v>
      </c>
      <c r="F126" s="488">
        <v>-2.193973633026753</v>
      </c>
      <c r="G126" s="488">
        <v>-1.9869010217130036</v>
      </c>
      <c r="H126" s="488">
        <v>-1.8037552784318813</v>
      </c>
      <c r="I126" s="488">
        <v>-1.7767942495618843</v>
      </c>
      <c r="J126" s="488">
        <v>-1.7901472583807538</v>
      </c>
      <c r="K126" s="488">
        <v>-1.6444113686346382</v>
      </c>
      <c r="L126" s="489">
        <v>-1.467384504290556</v>
      </c>
      <c r="M126" s="32"/>
      <c r="N126" s="32"/>
      <c r="O126" s="32"/>
    </row>
    <row r="127" spans="2:15">
      <c r="B127" s="484" t="s">
        <v>47</v>
      </c>
      <c r="C127" s="588"/>
      <c r="D127" s="589"/>
      <c r="E127" s="488">
        <v>0.16599721814464838</v>
      </c>
      <c r="F127" s="488">
        <v>0.16631900606776751</v>
      </c>
      <c r="G127" s="488">
        <v>0.16554337895881124</v>
      </c>
      <c r="H127" s="488">
        <v>0.16569741136821181</v>
      </c>
      <c r="I127" s="488">
        <v>0.16622630759870036</v>
      </c>
      <c r="J127" s="488">
        <v>0.16380302414374548</v>
      </c>
      <c r="K127" s="488">
        <v>0.16593344617950709</v>
      </c>
      <c r="L127" s="489">
        <v>0.16036688822048883</v>
      </c>
      <c r="M127" s="32"/>
      <c r="N127" s="32"/>
      <c r="O127" s="32"/>
    </row>
    <row r="128" spans="2:15">
      <c r="B128" s="484" t="s">
        <v>48</v>
      </c>
      <c r="C128" s="588"/>
      <c r="D128" s="589"/>
      <c r="E128" s="488">
        <v>0.3648271976377423</v>
      </c>
      <c r="F128" s="488">
        <v>0.37109083837102003</v>
      </c>
      <c r="G128" s="488">
        <v>0.36071859106606846</v>
      </c>
      <c r="H128" s="488">
        <v>0.35927814835295946</v>
      </c>
      <c r="I128" s="488">
        <v>0.3227419487574148</v>
      </c>
      <c r="J128" s="488">
        <v>0.32139075529498529</v>
      </c>
      <c r="K128" s="488">
        <v>0.32876178406363676</v>
      </c>
      <c r="L128" s="489">
        <v>0.31920430794598709</v>
      </c>
      <c r="M128" s="32"/>
      <c r="N128" s="32"/>
      <c r="O128" s="32"/>
    </row>
    <row r="129" spans="2:15">
      <c r="B129" s="484" t="s">
        <v>246</v>
      </c>
      <c r="C129" s="588"/>
      <c r="D129" s="589"/>
      <c r="E129" s="488">
        <v>7.1281196754416492</v>
      </c>
      <c r="F129" s="488">
        <v>6.9674138399666772</v>
      </c>
      <c r="G129" s="488">
        <v>6.2034025893135132</v>
      </c>
      <c r="H129" s="488">
        <v>6.3085978915797085</v>
      </c>
      <c r="I129" s="488">
        <v>6.2376648400128394</v>
      </c>
      <c r="J129" s="488">
        <v>6.4865819943041139</v>
      </c>
      <c r="K129" s="488">
        <v>6.8152516624832584</v>
      </c>
      <c r="L129" s="489">
        <v>6.6271056201039169</v>
      </c>
      <c r="M129" s="32"/>
      <c r="N129" s="32"/>
      <c r="O129" s="32"/>
    </row>
    <row r="130" spans="2:15">
      <c r="B130" s="484" t="s">
        <v>247</v>
      </c>
      <c r="C130" s="588"/>
      <c r="D130" s="589"/>
      <c r="E130" s="488">
        <v>6.5079014730517413</v>
      </c>
      <c r="F130" s="488">
        <v>6.5166167406950333</v>
      </c>
      <c r="G130" s="488">
        <v>6.3292456496722922</v>
      </c>
      <c r="H130" s="488">
        <v>6.4407397408462082</v>
      </c>
      <c r="I130" s="488">
        <v>6.6367331985058957</v>
      </c>
      <c r="J130" s="488">
        <v>6.7568163761394304</v>
      </c>
      <c r="K130" s="488">
        <v>6.6961234445143969</v>
      </c>
      <c r="L130" s="489">
        <v>6.7647427548792596</v>
      </c>
      <c r="M130" s="32"/>
      <c r="N130" s="32"/>
      <c r="O130" s="32"/>
    </row>
    <row r="131" spans="2:15">
      <c r="B131" s="484" t="s">
        <v>248</v>
      </c>
      <c r="C131" s="588"/>
      <c r="D131" s="589"/>
      <c r="E131" s="488">
        <v>3.6763138465229663</v>
      </c>
      <c r="F131" s="488">
        <v>3.6748350873956013</v>
      </c>
      <c r="G131" s="488">
        <v>3.4998529635433906</v>
      </c>
      <c r="H131" s="488">
        <v>3.724685546648324</v>
      </c>
      <c r="I131" s="488">
        <v>3.4121739487309477</v>
      </c>
      <c r="J131" s="488">
        <v>3.4202241027689042</v>
      </c>
      <c r="K131" s="488">
        <v>3.3053549439575329</v>
      </c>
      <c r="L131" s="489">
        <v>3.3633285641010966</v>
      </c>
      <c r="M131" s="32"/>
      <c r="N131" s="32"/>
      <c r="O131" s="32"/>
    </row>
    <row r="132" spans="2:15">
      <c r="B132" s="484" t="s">
        <v>249</v>
      </c>
      <c r="C132" s="588"/>
      <c r="D132" s="589"/>
      <c r="E132" s="488">
        <v>5.3762701961708466</v>
      </c>
      <c r="F132" s="488">
        <v>5.3775969760840585</v>
      </c>
      <c r="G132" s="488">
        <v>5.2618102801807671</v>
      </c>
      <c r="H132" s="488">
        <v>5.360849180672294</v>
      </c>
      <c r="I132" s="488">
        <v>5.2665238228731912</v>
      </c>
      <c r="J132" s="488">
        <v>5.3271179030285305</v>
      </c>
      <c r="K132" s="488">
        <v>5.3223294006601192</v>
      </c>
      <c r="L132" s="489">
        <v>5.5699880746272257</v>
      </c>
      <c r="M132" s="32"/>
      <c r="N132" s="32"/>
      <c r="O132" s="32"/>
    </row>
    <row r="133" spans="2:15">
      <c r="B133" s="484" t="s">
        <v>53</v>
      </c>
      <c r="C133" s="490">
        <v>1.4371556068940596</v>
      </c>
      <c r="D133" s="488">
        <v>1.3718015630879741</v>
      </c>
      <c r="E133" s="488">
        <v>1.3507660107019517</v>
      </c>
      <c r="F133" s="488">
        <v>1.356812198977974</v>
      </c>
      <c r="G133" s="488">
        <v>1.3598136386487443</v>
      </c>
      <c r="H133" s="488">
        <v>1.3501475065962032</v>
      </c>
      <c r="I133" s="488">
        <v>1.3298433305384654</v>
      </c>
      <c r="J133" s="488">
        <v>1.3174540960763355</v>
      </c>
      <c r="K133" s="589"/>
      <c r="L133" s="590"/>
      <c r="M133" s="32"/>
      <c r="N133" s="32"/>
      <c r="O133" s="32"/>
    </row>
    <row r="134" spans="2:15">
      <c r="B134" s="484" t="s">
        <v>54</v>
      </c>
      <c r="C134" s="490">
        <v>1.2224510767557433</v>
      </c>
      <c r="D134" s="488">
        <v>1.2198157429394254</v>
      </c>
      <c r="E134" s="488">
        <v>1.2942164825881293</v>
      </c>
      <c r="F134" s="488">
        <v>1.2596396269108345</v>
      </c>
      <c r="G134" s="488">
        <v>1.2840112184368913</v>
      </c>
      <c r="H134" s="488">
        <v>1.2678511857965422</v>
      </c>
      <c r="I134" s="488">
        <v>1.2592019055105816</v>
      </c>
      <c r="J134" s="488">
        <v>1.257376658609527</v>
      </c>
      <c r="K134" s="589"/>
      <c r="L134" s="590"/>
      <c r="M134" s="32"/>
      <c r="N134" s="32"/>
      <c r="O134" s="32"/>
    </row>
    <row r="135" spans="2:15">
      <c r="B135" s="484" t="s">
        <v>55</v>
      </c>
      <c r="C135" s="490">
        <v>0.82325002294811445</v>
      </c>
      <c r="D135" s="488">
        <v>0.82663571281128501</v>
      </c>
      <c r="E135" s="488">
        <v>0.79640504595610451</v>
      </c>
      <c r="F135" s="488">
        <v>0.78757021450124798</v>
      </c>
      <c r="G135" s="488">
        <v>0.81133252861207505</v>
      </c>
      <c r="H135" s="488">
        <v>0.81064228783969072</v>
      </c>
      <c r="I135" s="488">
        <v>0.80900368952296353</v>
      </c>
      <c r="J135" s="488">
        <v>0.78043276967968189</v>
      </c>
      <c r="K135" s="589"/>
      <c r="L135" s="590"/>
      <c r="M135" s="32"/>
      <c r="N135" s="32"/>
      <c r="O135" s="32"/>
    </row>
    <row r="136" spans="2:15">
      <c r="B136" s="484" t="s">
        <v>56</v>
      </c>
      <c r="C136" s="490">
        <v>1.0893959849781105</v>
      </c>
      <c r="D136" s="488">
        <v>1.027913194554035</v>
      </c>
      <c r="E136" s="488">
        <v>1.0066987144123654</v>
      </c>
      <c r="F136" s="488">
        <v>1.0192350900597893</v>
      </c>
      <c r="G136" s="488">
        <v>1.0341480780318344</v>
      </c>
      <c r="H136" s="488">
        <v>1.0204240792759967</v>
      </c>
      <c r="I136" s="488">
        <v>1.0137739549704501</v>
      </c>
      <c r="J136" s="488">
        <v>0.9898055017218621</v>
      </c>
      <c r="K136" s="589"/>
      <c r="L136" s="590"/>
      <c r="M136" s="32"/>
      <c r="N136" s="32"/>
      <c r="O136" s="32"/>
    </row>
    <row r="137" spans="2:15">
      <c r="B137" s="484" t="s">
        <v>50</v>
      </c>
      <c r="C137" s="490">
        <v>3.0675250143183739</v>
      </c>
      <c r="D137" s="488">
        <v>3.1629219417602221</v>
      </c>
      <c r="E137" s="488">
        <v>3.2156604222069194</v>
      </c>
      <c r="F137" s="488">
        <v>3.1773534622131239</v>
      </c>
      <c r="G137" s="488">
        <v>2.9925267771957293</v>
      </c>
      <c r="H137" s="488">
        <v>2.9953978987575276</v>
      </c>
      <c r="I137" s="488">
        <v>3.008780645638939</v>
      </c>
      <c r="J137" s="488">
        <v>3.0035530345258876</v>
      </c>
      <c r="K137" s="589"/>
      <c r="L137" s="590"/>
      <c r="M137" s="32"/>
      <c r="N137" s="32"/>
      <c r="O137" s="32"/>
    </row>
    <row r="138" spans="2:15">
      <c r="B138" s="484" t="s">
        <v>52</v>
      </c>
      <c r="C138" s="490">
        <v>2.1240897362733717</v>
      </c>
      <c r="D138" s="488">
        <v>2.0350723340362249</v>
      </c>
      <c r="E138" s="488">
        <v>1.9686998072928457</v>
      </c>
      <c r="F138" s="488">
        <v>2.0858456765056492</v>
      </c>
      <c r="G138" s="488">
        <v>2.1150393198028121</v>
      </c>
      <c r="H138" s="488">
        <v>2.0960407823683633</v>
      </c>
      <c r="I138" s="488">
        <v>1.9709648894580449</v>
      </c>
      <c r="J138" s="488">
        <v>1.9558237270696361</v>
      </c>
      <c r="K138" s="589"/>
      <c r="L138" s="590"/>
      <c r="M138" s="32"/>
      <c r="N138" s="32"/>
      <c r="O138" s="32"/>
    </row>
    <row r="139" spans="2:15">
      <c r="B139" s="484" t="s">
        <v>51</v>
      </c>
      <c r="C139" s="490">
        <v>4.3724011747736116</v>
      </c>
      <c r="D139" s="488">
        <v>4.1057641662653896</v>
      </c>
      <c r="E139" s="488">
        <v>4.0545669929819539</v>
      </c>
      <c r="F139" s="488">
        <v>4.1740927460581894</v>
      </c>
      <c r="G139" s="488">
        <v>4.2397101975440528</v>
      </c>
      <c r="H139" s="488">
        <v>4.2461477210751069</v>
      </c>
      <c r="I139" s="488">
        <v>4.1078523076276792</v>
      </c>
      <c r="J139" s="488">
        <v>4.0575944965475035</v>
      </c>
      <c r="K139" s="589"/>
      <c r="L139" s="590"/>
      <c r="M139" s="32"/>
      <c r="N139" s="32"/>
      <c r="O139" s="32"/>
    </row>
    <row r="140" spans="2:15">
      <c r="B140" s="484" t="s">
        <v>49</v>
      </c>
      <c r="C140" s="490">
        <v>1.3982776671905828</v>
      </c>
      <c r="D140" s="488">
        <v>1.3864649866746799</v>
      </c>
      <c r="E140" s="488">
        <v>1.3673040530931269</v>
      </c>
      <c r="F140" s="488">
        <v>1.3493453776780693</v>
      </c>
      <c r="G140" s="488">
        <v>1.3347777856873293</v>
      </c>
      <c r="H140" s="488">
        <v>1.3354887108693174</v>
      </c>
      <c r="I140" s="488">
        <v>1.3597799661606067</v>
      </c>
      <c r="J140" s="488">
        <v>1.3515240072037848</v>
      </c>
      <c r="K140" s="589"/>
      <c r="L140" s="590"/>
      <c r="M140" s="32"/>
      <c r="N140" s="32"/>
      <c r="O140" s="32"/>
    </row>
    <row r="141" spans="2:15">
      <c r="B141" s="484" t="s">
        <v>113</v>
      </c>
      <c r="C141" s="490">
        <v>-1.1295718210052885</v>
      </c>
      <c r="D141" s="488">
        <v>-1.1444007312827333</v>
      </c>
      <c r="E141" s="488">
        <v>-1.1763817360750841</v>
      </c>
      <c r="F141" s="488">
        <v>-1.5927557463957547</v>
      </c>
      <c r="G141" s="488">
        <v>-1.8565667598967899</v>
      </c>
      <c r="H141" s="488">
        <v>-1.2720416735170972</v>
      </c>
      <c r="I141" s="488">
        <v>-1.1039739947823479</v>
      </c>
      <c r="J141" s="488">
        <v>-1.018311326547777</v>
      </c>
      <c r="K141" s="589"/>
      <c r="L141" s="590"/>
      <c r="M141" s="32"/>
      <c r="N141" s="32"/>
      <c r="O141" s="32"/>
    </row>
    <row r="142" spans="2:15">
      <c r="B142" s="484" t="s">
        <v>114</v>
      </c>
      <c r="C142" s="490">
        <v>-0.43181154987245485</v>
      </c>
      <c r="D142" s="488">
        <v>-0.39947195996305995</v>
      </c>
      <c r="E142" s="488">
        <v>-0.34734317043598018</v>
      </c>
      <c r="F142" s="488">
        <v>-0.3193206524905472</v>
      </c>
      <c r="G142" s="488">
        <v>-0.31265626882301373</v>
      </c>
      <c r="H142" s="488">
        <v>-0.30799379948941219</v>
      </c>
      <c r="I142" s="488">
        <v>-0.32570922921081308</v>
      </c>
      <c r="J142" s="488">
        <v>-0.31552026220892354</v>
      </c>
      <c r="K142" s="589"/>
      <c r="L142" s="590"/>
      <c r="M142" s="32"/>
      <c r="N142" s="32"/>
      <c r="O142" s="32"/>
    </row>
    <row r="143" spans="2:15">
      <c r="B143" s="484" t="s">
        <v>111</v>
      </c>
      <c r="C143" s="490">
        <v>15.168246288518162</v>
      </c>
      <c r="D143" s="488">
        <v>16.275110005972994</v>
      </c>
      <c r="E143" s="488">
        <v>15.614702904478012</v>
      </c>
      <c r="F143" s="488">
        <v>14.911674359737152</v>
      </c>
      <c r="G143" s="488">
        <v>13.033415757853545</v>
      </c>
      <c r="H143" s="488">
        <v>12.556067765830047</v>
      </c>
      <c r="I143" s="488">
        <v>11.285100906339711</v>
      </c>
      <c r="J143" s="488">
        <v>9.8268179419485548</v>
      </c>
      <c r="K143" s="589"/>
      <c r="L143" s="590"/>
      <c r="M143" s="32"/>
      <c r="N143" s="32"/>
      <c r="O143" s="32"/>
    </row>
    <row r="144" spans="2:15">
      <c r="B144" s="484" t="s">
        <v>112</v>
      </c>
      <c r="C144" s="490">
        <v>0.93219394583370063</v>
      </c>
      <c r="D144" s="488">
        <v>0.89969793099769957</v>
      </c>
      <c r="E144" s="488">
        <v>0.87783267686821997</v>
      </c>
      <c r="F144" s="488">
        <v>0.87232109317784756</v>
      </c>
      <c r="G144" s="488">
        <v>0.89875958568159287</v>
      </c>
      <c r="H144" s="488">
        <v>0.82801710222961222</v>
      </c>
      <c r="I144" s="488">
        <v>0.88417658562860901</v>
      </c>
      <c r="J144" s="488">
        <v>0.89982415652833247</v>
      </c>
      <c r="K144" s="589"/>
      <c r="L144" s="590"/>
      <c r="M144" s="32"/>
      <c r="N144" s="32"/>
      <c r="O144" s="32"/>
    </row>
    <row r="145" spans="1:15">
      <c r="B145" s="484" t="s">
        <v>60</v>
      </c>
      <c r="C145" s="490">
        <v>10.952751093909903</v>
      </c>
      <c r="D145" s="488">
        <v>1.3412683602121493</v>
      </c>
      <c r="E145" s="488">
        <v>22.190179414419269</v>
      </c>
      <c r="F145" s="488">
        <v>7.0488483253947072</v>
      </c>
      <c r="G145" s="488">
        <v>6.9020695692988534</v>
      </c>
      <c r="H145" s="488">
        <v>6.9425238085580094</v>
      </c>
      <c r="I145" s="488">
        <v>7.0785069781779111</v>
      </c>
      <c r="J145" s="488">
        <v>5.2688524500291916</v>
      </c>
      <c r="K145" s="589"/>
      <c r="L145" s="590"/>
      <c r="M145" s="32"/>
      <c r="N145" s="32"/>
      <c r="O145" s="32"/>
    </row>
    <row r="146" spans="1:15">
      <c r="B146" s="485" t="s">
        <v>61</v>
      </c>
      <c r="C146" s="491">
        <v>4.7850556060781999</v>
      </c>
      <c r="D146" s="492">
        <v>4.9736597194598335</v>
      </c>
      <c r="E146" s="492">
        <v>5.6988662496343032</v>
      </c>
      <c r="F146" s="492">
        <v>3.7921077312788807</v>
      </c>
      <c r="G146" s="492">
        <v>2.8512563802087829</v>
      </c>
      <c r="H146" s="492">
        <v>2.8799765245720623</v>
      </c>
      <c r="I146" s="492">
        <v>2.9074703511454074</v>
      </c>
      <c r="J146" s="492">
        <v>2.8191074376225309</v>
      </c>
      <c r="K146" s="591"/>
      <c r="L146" s="592"/>
      <c r="M146" s="32"/>
      <c r="N146" s="32"/>
      <c r="O146" s="32"/>
    </row>
    <row r="147" spans="1:15">
      <c r="B147" s="32"/>
      <c r="C147" s="32"/>
      <c r="D147" s="32"/>
      <c r="E147" s="32"/>
      <c r="F147" s="32"/>
      <c r="G147" s="32"/>
      <c r="H147" s="32"/>
      <c r="I147" s="32"/>
      <c r="J147" s="32"/>
      <c r="K147" s="32"/>
      <c r="L147" s="32"/>
      <c r="M147" s="32"/>
      <c r="N147" s="32"/>
      <c r="O147" s="32"/>
    </row>
    <row r="148" spans="1:15">
      <c r="B148" s="422"/>
      <c r="C148" s="384"/>
      <c r="D148" s="384"/>
      <c r="E148" s="384"/>
      <c r="F148" s="384"/>
      <c r="G148" s="384"/>
      <c r="H148" s="384"/>
      <c r="I148" s="384"/>
      <c r="J148" s="384"/>
      <c r="K148" s="32"/>
      <c r="L148" s="32"/>
      <c r="M148" s="32"/>
    </row>
    <row r="149" spans="1:15">
      <c r="B149" s="447" t="str">
        <f>LEFT('RFPR cover'!C6,2)</f>
        <v>ED</v>
      </c>
      <c r="C149" s="445"/>
      <c r="D149" s="445"/>
      <c r="E149" s="445"/>
      <c r="F149" s="445"/>
      <c r="G149" s="445"/>
      <c r="H149" s="445"/>
      <c r="I149" s="445"/>
      <c r="J149" s="445"/>
      <c r="K149" s="445"/>
      <c r="L149" s="446"/>
    </row>
    <row r="150" spans="1:15" ht="14.25" customHeight="1">
      <c r="A150" s="214"/>
      <c r="B150" s="481" t="s">
        <v>409</v>
      </c>
      <c r="C150" s="482"/>
      <c r="D150" s="482"/>
      <c r="E150" s="482"/>
      <c r="F150" s="480"/>
      <c r="G150" s="480"/>
      <c r="H150" s="480"/>
      <c r="I150" s="480"/>
      <c r="J150" s="480"/>
      <c r="K150" s="480"/>
      <c r="L150" s="480"/>
      <c r="M150" s="480"/>
      <c r="N150" s="480"/>
    </row>
    <row r="151" spans="1:15" s="32" customFormat="1" ht="14.25" customHeight="1">
      <c r="A151" s="829"/>
      <c r="B151" s="830"/>
      <c r="C151" s="831"/>
      <c r="D151" s="831"/>
      <c r="E151" s="831"/>
      <c r="F151" s="832"/>
      <c r="G151" s="832"/>
      <c r="H151" s="832"/>
      <c r="I151" s="832"/>
      <c r="J151" s="832"/>
      <c r="K151" s="832"/>
      <c r="L151" s="832"/>
      <c r="M151" s="832"/>
      <c r="N151" s="832"/>
    </row>
    <row r="152" spans="1:15">
      <c r="A152" s="212"/>
      <c r="B152" s="833" t="s">
        <v>415</v>
      </c>
      <c r="C152" s="215"/>
      <c r="D152" s="215"/>
      <c r="E152" s="834" t="b">
        <f>OR((LEFT('RFPR cover'!$C$6,2)=Data!F152),'RFPR cover'!$C$5=Data!F152)</f>
        <v>1</v>
      </c>
      <c r="F152" s="383" t="str">
        <f>B162</f>
        <v>ED</v>
      </c>
      <c r="G152" s="835"/>
    </row>
    <row r="153" spans="1:15">
      <c r="A153" s="212"/>
      <c r="B153" s="850" t="str">
        <f t="shared" ref="B153:B160" si="23">CHOOSE(MATCH(TRUE,$E$152:$E$159,0),B163,B173,B183,E183,B193,E193,B203,E203)&amp;""</f>
        <v>Broad measure of customer service</v>
      </c>
      <c r="C153" s="215"/>
      <c r="D153" s="215"/>
      <c r="E153" s="836" t="b">
        <f>OR((LEFT('RFPR cover'!$C$6,2)=Data!F153),'RFPR cover'!$C$5=Data!F153)</f>
        <v>0</v>
      </c>
      <c r="F153" s="384" t="str">
        <f>B172</f>
        <v>GD</v>
      </c>
      <c r="G153" s="211"/>
    </row>
    <row r="154" spans="1:15" ht="25.5">
      <c r="A154" s="212"/>
      <c r="B154" s="851" t="str">
        <f t="shared" si="23"/>
        <v>Interruptions-related quality of service</v>
      </c>
      <c r="C154" s="215"/>
      <c r="D154" s="215"/>
      <c r="E154" s="836" t="b">
        <f>OR((LEFT('RFPR cover'!$C$6,2)=Data!F154),'RFPR cover'!$C$5=Data!F154)</f>
        <v>0</v>
      </c>
      <c r="F154" s="849" t="str">
        <f>B182</f>
        <v>NGGT (TO)</v>
      </c>
      <c r="G154" s="211"/>
    </row>
    <row r="155" spans="1:15">
      <c r="A155" s="212"/>
      <c r="B155" s="851" t="str">
        <f t="shared" si="23"/>
        <v>Incentive on connections engagement</v>
      </c>
      <c r="C155" s="215"/>
      <c r="D155" s="215"/>
      <c r="E155" s="836" t="b">
        <f>OR((LEFT('RFPR cover'!$C$6,2)=Data!F155),'RFPR cover'!$C$5=Data!F155)</f>
        <v>0</v>
      </c>
      <c r="F155" s="837" t="str">
        <f>E182</f>
        <v>NGGT (SO)</v>
      </c>
      <c r="G155" s="211"/>
    </row>
    <row r="156" spans="1:15">
      <c r="A156" s="212"/>
      <c r="B156" s="851" t="str">
        <f t="shared" si="23"/>
        <v>Time to Connect Incentive</v>
      </c>
      <c r="C156" s="215"/>
      <c r="D156" s="215"/>
      <c r="E156" s="836" t="b">
        <f>OR((LEFT('RFPR cover'!$C$6,2)=Data!F156),'RFPR cover'!$C$5=Data!F156)</f>
        <v>0</v>
      </c>
      <c r="F156" s="837" t="str">
        <f>B192</f>
        <v>NGET (TO)</v>
      </c>
      <c r="G156" s="211"/>
    </row>
    <row r="157" spans="1:15">
      <c r="A157" s="212"/>
      <c r="B157" s="852" t="str">
        <f t="shared" si="23"/>
        <v>Losses discretionary reward scheme</v>
      </c>
      <c r="C157" s="215"/>
      <c r="D157" s="215"/>
      <c r="E157" s="836" t="b">
        <f>OR((LEFT('RFPR cover'!$C$6,2)=Data!F157),'RFPR cover'!$C$5=Data!F157)</f>
        <v>0</v>
      </c>
      <c r="F157" s="837" t="str">
        <f>E192</f>
        <v>NGET (SO)</v>
      </c>
      <c r="G157" s="211"/>
    </row>
    <row r="158" spans="1:15">
      <c r="A158" s="212"/>
      <c r="B158" s="852" t="str">
        <f t="shared" si="23"/>
        <v/>
      </c>
      <c r="C158" s="215"/>
      <c r="D158" s="215"/>
      <c r="E158" s="836" t="b">
        <f>OR((LEFT('RFPR cover'!$C$6,2)=Data!F158),'RFPR cover'!$C$5=Data!F158)</f>
        <v>0</v>
      </c>
      <c r="F158" s="837" t="str">
        <f>B202</f>
        <v>SPT</v>
      </c>
      <c r="G158" s="211"/>
    </row>
    <row r="159" spans="1:15">
      <c r="A159" s="212"/>
      <c r="B159" s="852" t="str">
        <f t="shared" si="23"/>
        <v/>
      </c>
      <c r="C159" s="215"/>
      <c r="D159" s="215"/>
      <c r="E159" s="838" t="b">
        <f>OR((LEFT('RFPR cover'!$C$6,2)=Data!F159),'RFPR cover'!$C$5=Data!F159)</f>
        <v>0</v>
      </c>
      <c r="F159" s="839" t="str">
        <f>E202</f>
        <v>SHET</v>
      </c>
      <c r="G159" s="311"/>
    </row>
    <row r="160" spans="1:15">
      <c r="A160" s="212"/>
      <c r="B160" s="215" t="str">
        <f t="shared" si="23"/>
        <v/>
      </c>
      <c r="C160" s="215"/>
      <c r="D160" s="215"/>
      <c r="E160" s="59"/>
      <c r="F160" s="837"/>
      <c r="G160" s="43"/>
    </row>
    <row r="161" spans="1:7">
      <c r="A161" s="212"/>
      <c r="B161" s="215"/>
      <c r="C161" s="215"/>
      <c r="D161" s="215"/>
      <c r="E161" s="59"/>
      <c r="F161" s="837"/>
      <c r="G161" s="43"/>
    </row>
    <row r="162" spans="1:7" ht="12" customHeight="1">
      <c r="A162" s="212"/>
      <c r="B162" s="963" t="s">
        <v>172</v>
      </c>
      <c r="C162" s="959"/>
      <c r="D162" s="215"/>
      <c r="E162" s="215"/>
    </row>
    <row r="163" spans="1:7">
      <c r="A163" s="212"/>
      <c r="B163" s="964" t="s">
        <v>410</v>
      </c>
      <c r="C163" s="965"/>
      <c r="D163" s="215"/>
      <c r="E163" s="215"/>
    </row>
    <row r="164" spans="1:7">
      <c r="A164" s="212"/>
      <c r="B164" s="964" t="s">
        <v>411</v>
      </c>
      <c r="C164" s="965"/>
      <c r="D164" s="215"/>
      <c r="E164" s="215"/>
    </row>
    <row r="165" spans="1:7">
      <c r="A165" s="212"/>
      <c r="B165" s="966" t="s">
        <v>412</v>
      </c>
      <c r="C165" s="967"/>
      <c r="D165" s="215"/>
      <c r="E165" s="215"/>
    </row>
    <row r="166" spans="1:7">
      <c r="A166" s="212"/>
      <c r="B166" s="966" t="s">
        <v>413</v>
      </c>
      <c r="C166" s="967"/>
      <c r="D166" s="215"/>
      <c r="E166" s="215"/>
    </row>
    <row r="167" spans="1:7">
      <c r="A167" s="212"/>
      <c r="B167" s="966" t="s">
        <v>414</v>
      </c>
      <c r="C167" s="967"/>
      <c r="D167" s="215"/>
      <c r="E167" s="215"/>
    </row>
    <row r="168" spans="1:7">
      <c r="A168" s="212"/>
      <c r="B168" s="966"/>
      <c r="C168" s="967"/>
      <c r="D168" s="215"/>
      <c r="E168" s="215"/>
    </row>
    <row r="169" spans="1:7">
      <c r="A169" s="212"/>
      <c r="B169" s="966"/>
      <c r="C169" s="967"/>
      <c r="D169" s="215"/>
      <c r="E169" s="215"/>
    </row>
    <row r="170" spans="1:7">
      <c r="A170" s="212"/>
      <c r="B170" s="215"/>
      <c r="C170" s="215"/>
      <c r="D170" s="215"/>
      <c r="E170" s="215"/>
    </row>
    <row r="171" spans="1:7">
      <c r="A171" s="212"/>
      <c r="B171" s="215"/>
      <c r="C171" s="215"/>
      <c r="D171" s="215"/>
      <c r="E171" s="215"/>
    </row>
    <row r="172" spans="1:7">
      <c r="A172" s="212"/>
      <c r="B172" s="963" t="s">
        <v>173</v>
      </c>
      <c r="C172" s="959"/>
      <c r="D172" s="215"/>
      <c r="E172" s="215"/>
    </row>
    <row r="173" spans="1:7" ht="12.75" customHeight="1">
      <c r="A173" s="212"/>
      <c r="B173" s="960" t="s">
        <v>223</v>
      </c>
      <c r="C173" s="962"/>
      <c r="D173" s="215"/>
      <c r="E173" s="215"/>
    </row>
    <row r="174" spans="1:7" ht="12.75" customHeight="1">
      <c r="A174" s="212"/>
      <c r="B174" s="954" t="s">
        <v>224</v>
      </c>
      <c r="C174" s="956"/>
      <c r="D174" s="215"/>
      <c r="E174" s="215"/>
    </row>
    <row r="175" spans="1:7" ht="12.75" customHeight="1">
      <c r="A175" s="212"/>
      <c r="B175" s="954" t="s">
        <v>225</v>
      </c>
      <c r="C175" s="956"/>
      <c r="D175" s="215"/>
      <c r="E175" s="215"/>
    </row>
    <row r="176" spans="1:7" ht="12.75" customHeight="1">
      <c r="A176" s="212"/>
      <c r="B176" s="954" t="s">
        <v>226</v>
      </c>
      <c r="C176" s="956"/>
      <c r="D176" s="215"/>
      <c r="E176" s="215"/>
    </row>
    <row r="177" spans="1:9" ht="12.75" customHeight="1">
      <c r="A177" s="212"/>
      <c r="B177" s="951" t="s">
        <v>307</v>
      </c>
      <c r="C177" s="953"/>
      <c r="D177" s="215"/>
      <c r="E177" s="215"/>
    </row>
    <row r="178" spans="1:9" ht="12.75" customHeight="1">
      <c r="A178" s="212"/>
      <c r="B178" s="951"/>
      <c r="C178" s="953"/>
      <c r="D178" s="215"/>
      <c r="E178" s="215"/>
    </row>
    <row r="179" spans="1:9" ht="12.75" customHeight="1">
      <c r="A179" s="212"/>
      <c r="B179" s="951"/>
      <c r="C179" s="953"/>
      <c r="D179" s="215"/>
      <c r="E179" s="215"/>
    </row>
    <row r="180" spans="1:9">
      <c r="A180" s="212"/>
      <c r="B180" s="215"/>
      <c r="C180" s="215"/>
      <c r="D180" s="215"/>
      <c r="E180" s="215"/>
    </row>
    <row r="181" spans="1:9">
      <c r="A181" s="212"/>
      <c r="B181" s="215"/>
      <c r="C181" s="215"/>
      <c r="D181" s="215"/>
      <c r="E181" s="215"/>
    </row>
    <row r="182" spans="1:9">
      <c r="A182" s="212"/>
      <c r="B182" s="957" t="str">
        <f>B95</f>
        <v>NGGT (TO)</v>
      </c>
      <c r="C182" s="989"/>
      <c r="D182" s="215"/>
      <c r="E182" s="957" t="str">
        <f>B96</f>
        <v>NGGT (SO)</v>
      </c>
      <c r="F182" s="958"/>
      <c r="G182" s="958"/>
      <c r="H182" s="958"/>
      <c r="I182" s="959"/>
    </row>
    <row r="183" spans="1:9">
      <c r="A183" s="212"/>
      <c r="B183" s="960" t="s">
        <v>219</v>
      </c>
      <c r="C183" s="962"/>
      <c r="D183" s="215"/>
      <c r="E183" s="954"/>
      <c r="F183" s="955"/>
      <c r="G183" s="955"/>
      <c r="H183" s="955"/>
      <c r="I183" s="956"/>
    </row>
    <row r="184" spans="1:9">
      <c r="A184" s="212"/>
      <c r="B184" s="954" t="s">
        <v>227</v>
      </c>
      <c r="C184" s="956"/>
      <c r="D184" s="215"/>
      <c r="E184" s="954"/>
      <c r="F184" s="955"/>
      <c r="G184" s="955"/>
      <c r="H184" s="955"/>
      <c r="I184" s="956"/>
    </row>
    <row r="185" spans="1:9">
      <c r="A185" s="212"/>
      <c r="B185" s="954"/>
      <c r="C185" s="956"/>
      <c r="D185" s="215"/>
      <c r="E185" s="954"/>
      <c r="F185" s="955"/>
      <c r="G185" s="955"/>
      <c r="H185" s="955"/>
      <c r="I185" s="956"/>
    </row>
    <row r="186" spans="1:9">
      <c r="A186" s="212"/>
      <c r="B186" s="954"/>
      <c r="C186" s="956"/>
      <c r="D186" s="215"/>
      <c r="E186" s="954"/>
      <c r="F186" s="955"/>
      <c r="G186" s="955"/>
      <c r="H186" s="955"/>
      <c r="I186" s="956"/>
    </row>
    <row r="187" spans="1:9">
      <c r="A187" s="212"/>
      <c r="B187" s="951"/>
      <c r="C187" s="953"/>
      <c r="D187" s="215"/>
      <c r="E187" s="951"/>
      <c r="F187" s="952"/>
      <c r="G187" s="952"/>
      <c r="H187" s="952"/>
      <c r="I187" s="953"/>
    </row>
    <row r="188" spans="1:9">
      <c r="A188" s="212"/>
      <c r="B188" s="951"/>
      <c r="C188" s="953"/>
      <c r="D188" s="215"/>
      <c r="E188" s="951"/>
      <c r="F188" s="952"/>
      <c r="G188" s="952"/>
      <c r="H188" s="952"/>
      <c r="I188" s="953"/>
    </row>
    <row r="189" spans="1:9">
      <c r="A189" s="212"/>
      <c r="B189" s="951"/>
      <c r="C189" s="953"/>
      <c r="D189" s="215"/>
      <c r="E189" s="951"/>
      <c r="F189" s="952"/>
      <c r="G189" s="952"/>
      <c r="H189" s="952"/>
      <c r="I189" s="953"/>
    </row>
    <row r="190" spans="1:9">
      <c r="A190" s="212"/>
      <c r="B190" s="215"/>
      <c r="C190" s="215"/>
      <c r="D190" s="215"/>
      <c r="E190" s="215"/>
    </row>
    <row r="191" spans="1:9">
      <c r="A191" s="212"/>
      <c r="B191" s="215"/>
      <c r="C191" s="215"/>
      <c r="D191" s="215"/>
      <c r="E191" s="215"/>
    </row>
    <row r="192" spans="1:9">
      <c r="A192" s="212"/>
      <c r="B192" s="957" t="str">
        <f>B97</f>
        <v>NGET (TO)</v>
      </c>
      <c r="C192" s="989"/>
      <c r="D192" s="215"/>
      <c r="E192" s="957" t="str">
        <f>B98</f>
        <v>NGET (SO)</v>
      </c>
      <c r="F192" s="958"/>
      <c r="G192" s="958"/>
      <c r="H192" s="958"/>
      <c r="I192" s="959"/>
    </row>
    <row r="193" spans="1:9" ht="12.75" customHeight="1">
      <c r="A193" s="212"/>
      <c r="B193" s="960" t="s">
        <v>218</v>
      </c>
      <c r="C193" s="962"/>
      <c r="D193" s="215"/>
      <c r="E193" s="954"/>
      <c r="F193" s="955"/>
      <c r="G193" s="955"/>
      <c r="H193" s="955"/>
      <c r="I193" s="956"/>
    </row>
    <row r="194" spans="1:9" ht="12.75" customHeight="1">
      <c r="A194" s="212"/>
      <c r="B194" s="954" t="s">
        <v>219</v>
      </c>
      <c r="C194" s="956"/>
      <c r="D194" s="215"/>
      <c r="E194" s="954"/>
      <c r="F194" s="955"/>
      <c r="G194" s="955"/>
      <c r="H194" s="955"/>
      <c r="I194" s="956"/>
    </row>
    <row r="195" spans="1:9" ht="12.75" customHeight="1">
      <c r="A195" s="212"/>
      <c r="B195" s="954" t="s">
        <v>220</v>
      </c>
      <c r="C195" s="956"/>
      <c r="D195" s="215"/>
      <c r="E195" s="954"/>
      <c r="F195" s="955"/>
      <c r="G195" s="955"/>
      <c r="H195" s="955"/>
      <c r="I195" s="956"/>
    </row>
    <row r="196" spans="1:9" ht="12.75" customHeight="1">
      <c r="A196" s="212"/>
      <c r="B196" s="954" t="s">
        <v>221</v>
      </c>
      <c r="C196" s="956"/>
      <c r="D196" s="215"/>
      <c r="E196" s="954"/>
      <c r="F196" s="955"/>
      <c r="G196" s="955"/>
      <c r="H196" s="955"/>
      <c r="I196" s="956"/>
    </row>
    <row r="197" spans="1:9" ht="12.75" customHeight="1">
      <c r="A197" s="212"/>
      <c r="B197" s="951"/>
      <c r="C197" s="953"/>
      <c r="D197" s="215"/>
      <c r="E197" s="951"/>
      <c r="F197" s="952"/>
      <c r="G197" s="952"/>
      <c r="H197" s="952"/>
      <c r="I197" s="953"/>
    </row>
    <row r="198" spans="1:9" ht="12.75" customHeight="1">
      <c r="A198" s="212"/>
      <c r="B198" s="951"/>
      <c r="C198" s="953"/>
      <c r="D198" s="215"/>
      <c r="E198" s="951"/>
      <c r="F198" s="952"/>
      <c r="G198" s="952"/>
      <c r="H198" s="952"/>
      <c r="I198" s="953"/>
    </row>
    <row r="199" spans="1:9" ht="12.75" customHeight="1">
      <c r="A199" s="212"/>
      <c r="B199" s="951"/>
      <c r="C199" s="953"/>
      <c r="D199" s="215"/>
      <c r="E199" s="951"/>
      <c r="F199" s="952"/>
      <c r="G199" s="952"/>
      <c r="H199" s="952"/>
      <c r="I199" s="953"/>
    </row>
    <row r="200" spans="1:9" s="32" customFormat="1" ht="12.75" customHeight="1">
      <c r="A200" s="826"/>
      <c r="B200" s="826"/>
      <c r="C200" s="826"/>
      <c r="D200" s="827"/>
      <c r="E200" s="828"/>
      <c r="F200" s="828"/>
      <c r="G200" s="828"/>
      <c r="H200" s="828"/>
      <c r="I200" s="828"/>
    </row>
    <row r="201" spans="1:9" s="32" customFormat="1" ht="12.75" customHeight="1">
      <c r="A201" s="826"/>
      <c r="B201" s="826"/>
      <c r="C201" s="826"/>
      <c r="D201" s="827"/>
      <c r="E201" s="828"/>
      <c r="F201" s="828"/>
      <c r="G201" s="828"/>
      <c r="H201" s="828"/>
      <c r="I201" s="828"/>
    </row>
    <row r="202" spans="1:9">
      <c r="A202" s="212"/>
      <c r="B202" s="957" t="str">
        <f>B145</f>
        <v>SPT</v>
      </c>
      <c r="C202" s="989"/>
      <c r="D202" s="215"/>
      <c r="E202" s="957" t="str">
        <f>B100</f>
        <v>SHET</v>
      </c>
      <c r="F202" s="958"/>
      <c r="G202" s="958"/>
      <c r="H202" s="958"/>
      <c r="I202" s="959"/>
    </row>
    <row r="203" spans="1:9" ht="12.75" customHeight="1">
      <c r="A203" s="212"/>
      <c r="B203" s="960" t="s">
        <v>218</v>
      </c>
      <c r="C203" s="962"/>
      <c r="D203" s="215"/>
      <c r="E203" s="960" t="s">
        <v>218</v>
      </c>
      <c r="F203" s="961"/>
      <c r="G203" s="961"/>
      <c r="H203" s="961"/>
      <c r="I203" s="962"/>
    </row>
    <row r="204" spans="1:9" ht="12.75" customHeight="1">
      <c r="A204" s="212"/>
      <c r="B204" s="954" t="s">
        <v>219</v>
      </c>
      <c r="C204" s="956"/>
      <c r="D204" s="215"/>
      <c r="E204" s="954" t="s">
        <v>219</v>
      </c>
      <c r="F204" s="955"/>
      <c r="G204" s="955"/>
      <c r="H204" s="955"/>
      <c r="I204" s="956"/>
    </row>
    <row r="205" spans="1:9" ht="12.75" customHeight="1">
      <c r="A205" s="212"/>
      <c r="B205" s="954" t="s">
        <v>220</v>
      </c>
      <c r="C205" s="956"/>
      <c r="D205" s="215"/>
      <c r="E205" s="954" t="s">
        <v>220</v>
      </c>
      <c r="F205" s="955"/>
      <c r="G205" s="955"/>
      <c r="H205" s="955"/>
      <c r="I205" s="956"/>
    </row>
    <row r="206" spans="1:9" ht="12.75" customHeight="1">
      <c r="A206" s="212"/>
      <c r="B206" s="954" t="s">
        <v>221</v>
      </c>
      <c r="C206" s="956"/>
      <c r="D206" s="215"/>
      <c r="E206" s="954" t="s">
        <v>221</v>
      </c>
      <c r="F206" s="955"/>
      <c r="G206" s="955"/>
      <c r="H206" s="955"/>
      <c r="I206" s="956"/>
    </row>
    <row r="207" spans="1:9" ht="12.75" customHeight="1">
      <c r="A207" s="212"/>
      <c r="B207" s="951" t="s">
        <v>222</v>
      </c>
      <c r="C207" s="953"/>
      <c r="D207" s="215"/>
      <c r="E207" s="951" t="s">
        <v>222</v>
      </c>
      <c r="F207" s="952"/>
      <c r="G207" s="952"/>
      <c r="H207" s="952"/>
      <c r="I207" s="953"/>
    </row>
    <row r="208" spans="1:9" ht="12.75" customHeight="1">
      <c r="A208" s="212"/>
      <c r="B208" s="951"/>
      <c r="C208" s="953"/>
      <c r="D208" s="215"/>
      <c r="E208" s="951"/>
      <c r="F208" s="952"/>
      <c r="G208" s="952"/>
      <c r="H208" s="952"/>
      <c r="I208" s="953"/>
    </row>
    <row r="209" spans="1:14" ht="12.75" customHeight="1">
      <c r="A209" s="212"/>
      <c r="B209" s="951"/>
      <c r="C209" s="953"/>
      <c r="D209" s="215"/>
      <c r="E209" s="951"/>
      <c r="F209" s="952"/>
      <c r="G209" s="952"/>
      <c r="H209" s="952"/>
      <c r="I209" s="953"/>
    </row>
    <row r="210" spans="1:14">
      <c r="A210" s="212"/>
      <c r="D210" s="215"/>
      <c r="E210" s="215"/>
    </row>
    <row r="211" spans="1:14">
      <c r="A211" s="212"/>
      <c r="D211" s="215"/>
      <c r="E211" s="215"/>
    </row>
    <row r="212" spans="1:14" ht="12.75" customHeight="1">
      <c r="A212" s="212"/>
      <c r="B212" s="988" t="s">
        <v>240</v>
      </c>
      <c r="C212" s="988"/>
      <c r="D212" s="988"/>
      <c r="E212" s="299"/>
      <c r="F212" s="226"/>
      <c r="G212" s="226"/>
      <c r="H212" s="226"/>
      <c r="I212" s="226"/>
      <c r="J212" s="226"/>
      <c r="K212" s="226"/>
      <c r="L212" s="226"/>
      <c r="M212" s="226"/>
      <c r="N212" s="226"/>
    </row>
    <row r="213" spans="1:14">
      <c r="A213" s="212"/>
      <c r="B213" s="215"/>
      <c r="C213" s="215"/>
      <c r="D213" s="215"/>
      <c r="E213" s="215"/>
    </row>
    <row r="214" spans="1:14" ht="25.5">
      <c r="A214" s="212"/>
      <c r="B214" s="217" t="s">
        <v>129</v>
      </c>
      <c r="C214" s="216" t="s">
        <v>208</v>
      </c>
      <c r="D214" s="215"/>
      <c r="E214" s="215"/>
    </row>
    <row r="215" spans="1:14" ht="25.5">
      <c r="A215" s="212"/>
      <c r="B215" s="218" t="s">
        <v>130</v>
      </c>
      <c r="C215" s="304" t="s">
        <v>209</v>
      </c>
      <c r="D215" s="215"/>
      <c r="E215" s="215"/>
    </row>
    <row r="216" spans="1:14">
      <c r="B216" s="323"/>
      <c r="C216" s="43"/>
      <c r="D216" s="43"/>
      <c r="E216" s="43"/>
      <c r="F216" s="43"/>
      <c r="G216" s="43"/>
      <c r="H216" s="43"/>
      <c r="I216" s="43"/>
      <c r="J216" s="43"/>
    </row>
    <row r="217" spans="1:14">
      <c r="B217" s="213"/>
      <c r="I217" s="67"/>
    </row>
    <row r="218" spans="1:14">
      <c r="B218" s="842" t="s">
        <v>417</v>
      </c>
      <c r="I218" s="67"/>
    </row>
    <row r="219" spans="1:14">
      <c r="B219" s="844" t="s">
        <v>288</v>
      </c>
    </row>
    <row r="220" spans="1:14">
      <c r="B220" s="845" t="s">
        <v>287</v>
      </c>
    </row>
    <row r="221" spans="1:14">
      <c r="B221" s="848" t="s">
        <v>285</v>
      </c>
    </row>
    <row r="222" spans="1:14">
      <c r="B222" s="846"/>
    </row>
    <row r="223" spans="1:14">
      <c r="B223" s="222"/>
    </row>
    <row r="224" spans="1:14">
      <c r="B224" s="843" t="s">
        <v>283</v>
      </c>
    </row>
    <row r="225" spans="2:2">
      <c r="B225" s="847" t="s">
        <v>418</v>
      </c>
    </row>
    <row r="226" spans="2:2">
      <c r="B226" s="845" t="s">
        <v>419</v>
      </c>
    </row>
    <row r="227" spans="2:2">
      <c r="B227" s="845" t="s">
        <v>294</v>
      </c>
    </row>
    <row r="228" spans="2:2">
      <c r="B228" s="845" t="s">
        <v>420</v>
      </c>
    </row>
    <row r="229" spans="2:2">
      <c r="B229" s="845" t="s">
        <v>421</v>
      </c>
    </row>
    <row r="230" spans="2:2">
      <c r="B230" s="845" t="s">
        <v>286</v>
      </c>
    </row>
    <row r="231" spans="2:2">
      <c r="B231" s="845" t="s">
        <v>422</v>
      </c>
    </row>
    <row r="232" spans="2:2">
      <c r="B232" s="845"/>
    </row>
    <row r="233" spans="2:2">
      <c r="B233" s="846"/>
    </row>
    <row r="234" spans="2:2">
      <c r="B234" s="222"/>
    </row>
    <row r="235" spans="2:2">
      <c r="B235" s="843" t="s">
        <v>293</v>
      </c>
    </row>
    <row r="236" spans="2:2">
      <c r="B236" s="847" t="s">
        <v>423</v>
      </c>
    </row>
    <row r="237" spans="2:2">
      <c r="B237" s="845" t="s">
        <v>424</v>
      </c>
    </row>
    <row r="238" spans="2:2">
      <c r="B238" s="845" t="s">
        <v>425</v>
      </c>
    </row>
    <row r="239" spans="2:2">
      <c r="B239" s="845" t="s">
        <v>426</v>
      </c>
    </row>
    <row r="240" spans="2:2">
      <c r="B240" s="845" t="s">
        <v>427</v>
      </c>
    </row>
    <row r="241" spans="2:2">
      <c r="B241" s="846"/>
    </row>
    <row r="242" spans="2:2">
      <c r="B242" s="222"/>
    </row>
    <row r="243" spans="2:2">
      <c r="B243" s="843" t="s">
        <v>428</v>
      </c>
    </row>
    <row r="244" spans="2:2">
      <c r="B244" s="847" t="s">
        <v>429</v>
      </c>
    </row>
    <row r="245" spans="2:2">
      <c r="B245" s="845" t="s">
        <v>430</v>
      </c>
    </row>
    <row r="246" spans="2:2">
      <c r="B246" s="846"/>
    </row>
    <row r="247" spans="2:2">
      <c r="B247" s="222"/>
    </row>
    <row r="248" spans="2:2">
      <c r="B248" s="843" t="s">
        <v>431</v>
      </c>
    </row>
    <row r="249" spans="2:2">
      <c r="B249" s="847" t="s">
        <v>472</v>
      </c>
    </row>
    <row r="250" spans="2:2">
      <c r="B250" s="845" t="s">
        <v>471</v>
      </c>
    </row>
    <row r="251" spans="2:2">
      <c r="B251" s="846" t="s">
        <v>270</v>
      </c>
    </row>
    <row r="252" spans="2:2">
      <c r="B252" s="222"/>
    </row>
    <row r="253" spans="2:2">
      <c r="B253" s="843" t="s">
        <v>284</v>
      </c>
    </row>
    <row r="254" spans="2:2">
      <c r="B254" s="847" t="s">
        <v>432</v>
      </c>
    </row>
    <row r="255" spans="2:2">
      <c r="B255" s="845" t="s">
        <v>476</v>
      </c>
    </row>
    <row r="256" spans="2:2">
      <c r="B256" s="845"/>
    </row>
    <row r="257" spans="2:2">
      <c r="B257" s="846"/>
    </row>
    <row r="258" spans="2:2">
      <c r="B258" s="222"/>
    </row>
    <row r="259" spans="2:2">
      <c r="B259" s="843" t="s">
        <v>289</v>
      </c>
    </row>
    <row r="260" spans="2:2">
      <c r="B260" s="847" t="s">
        <v>290</v>
      </c>
    </row>
    <row r="261" spans="2:2">
      <c r="B261" s="845" t="s">
        <v>295</v>
      </c>
    </row>
    <row r="262" spans="2:2">
      <c r="B262" s="845"/>
    </row>
    <row r="263" spans="2:2">
      <c r="B263" s="846"/>
    </row>
    <row r="264" spans="2:2">
      <c r="B264" s="222"/>
    </row>
    <row r="265" spans="2:2">
      <c r="B265" s="843" t="s">
        <v>433</v>
      </c>
    </row>
    <row r="266" spans="2:2">
      <c r="B266" s="847" t="s">
        <v>288</v>
      </c>
    </row>
    <row r="267" spans="2:2">
      <c r="B267" s="845" t="s">
        <v>287</v>
      </c>
    </row>
    <row r="268" spans="2:2">
      <c r="B268" s="846"/>
    </row>
  </sheetData>
  <sheetProtection password="DA3D" sheet="1" objects="1" scenarios="1" formatCells="0" formatColumns="0" formatRows="0"/>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62" priority="20">
      <formula>AND(#REF!="Actuals",#REF!="Forecast")</formula>
    </cfRule>
  </conditionalFormatting>
  <conditionalFormatting sqref="C47">
    <cfRule type="expression" dxfId="61" priority="18">
      <formula>AND(#REF!="Actuals",#REF!="Forecast")</formula>
    </cfRule>
  </conditionalFormatting>
  <conditionalFormatting sqref="C50:J50">
    <cfRule type="expression" dxfId="60" priority="17">
      <formula>AND(#REF!="Actuals",#REF!="Forecast")</formula>
    </cfRule>
  </conditionalFormatting>
  <conditionalFormatting sqref="B14:D30">
    <cfRule type="cellIs" dxfId="59" priority="14" operator="equal">
      <formula>"Forecast"</formula>
    </cfRule>
  </conditionalFormatting>
  <conditionalFormatting sqref="B23:C30 E24:F27">
    <cfRule type="expression" dxfId="58" priority="111">
      <formula>$D13="Forecast"</formula>
    </cfRule>
  </conditionalFormatting>
  <conditionalFormatting sqref="K71">
    <cfRule type="expression" dxfId="57" priority="5">
      <formula>AND(#REF!="Actuals",#REF!="Forecast")</formula>
    </cfRule>
  </conditionalFormatting>
  <conditionalFormatting sqref="K72:T72">
    <cfRule type="expression" dxfId="56" priority="4">
      <formula>AND(#REF!="Actuals",#REF!="Forecast")</formula>
    </cfRule>
  </conditionalFormatting>
  <conditionalFormatting sqref="C62:L62">
    <cfRule type="expression" dxfId="55" priority="3">
      <formula>AND(#REF!="Actuals",#REF!="Forecast")</formula>
    </cfRule>
  </conditionalFormatting>
  <conditionalFormatting sqref="C118:L118">
    <cfRule type="expression" dxfId="54" priority="1">
      <formula>AND(#REF!="Actuals",#REF!="Forecast")</formula>
    </cfRule>
  </conditionalFormatting>
  <hyperlinks>
    <hyperlink ref="K39:M39" r:id="rId1" display="May 2019 Publication"/>
  </hyperlinks>
  <pageMargins left="0.7" right="0.7" top="0.75" bottom="0.75" header="0.3" footer="0.3"/>
  <pageSetup paperSize="8" scale="56" fitToHeight="0" orientation="portrait" r:id="rId2"/>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3"/>
  <sheetViews>
    <sheetView showGridLines="0" zoomScale="80" zoomScaleNormal="80" workbookViewId="0">
      <pane ySplit="3" topLeftCell="A4" activePane="bottomLeft" state="frozen"/>
      <selection pane="bottomLeft"/>
    </sheetView>
  </sheetViews>
  <sheetFormatPr defaultRowHeight="12.75"/>
  <cols>
    <col min="1" max="1" width="8.375" customWidth="1"/>
    <col min="2" max="2" width="23.75" customWidth="1"/>
    <col min="3" max="3" width="25.75" customWidth="1"/>
    <col min="4" max="4" width="9.75" customWidth="1"/>
  </cols>
  <sheetData>
    <row r="1" spans="1:14" s="32" customFormat="1" ht="20.25">
      <c r="A1" s="30" t="s">
        <v>83</v>
      </c>
      <c r="B1" s="30"/>
      <c r="C1" s="30"/>
      <c r="D1" s="30"/>
      <c r="E1" s="30"/>
      <c r="F1" s="30"/>
      <c r="G1" s="30"/>
      <c r="H1" s="30"/>
      <c r="I1" s="33" t="s">
        <v>84</v>
      </c>
      <c r="J1" s="34"/>
      <c r="K1" s="34"/>
      <c r="L1" s="34"/>
      <c r="M1" s="34"/>
    </row>
    <row r="2" spans="1:14" s="32" customFormat="1" ht="20.25">
      <c r="A2" s="30" t="str">
        <f>'RFPR cover'!C5</f>
        <v>NPgY</v>
      </c>
      <c r="B2" s="30"/>
      <c r="C2" s="30"/>
      <c r="D2" s="30"/>
      <c r="E2" s="30"/>
      <c r="F2" s="30"/>
      <c r="G2" s="30"/>
      <c r="H2" s="30"/>
      <c r="I2" s="34"/>
      <c r="J2" s="34"/>
      <c r="K2" s="34"/>
      <c r="L2" s="34"/>
      <c r="M2" s="34"/>
      <c r="N2" s="384"/>
    </row>
    <row r="3" spans="1:14" s="32" customFormat="1" ht="20.25">
      <c r="A3" s="30">
        <f>'RFPR cover'!C7</f>
        <v>2019</v>
      </c>
      <c r="B3" s="30"/>
      <c r="C3" s="30"/>
      <c r="D3" s="30"/>
      <c r="E3" s="30"/>
      <c r="F3" s="30"/>
      <c r="G3" s="30"/>
      <c r="H3" s="30"/>
      <c r="I3" s="34"/>
      <c r="J3" s="34"/>
      <c r="K3" s="34"/>
      <c r="L3" s="34"/>
      <c r="M3" s="34"/>
      <c r="N3" s="384"/>
    </row>
    <row r="4" spans="1:14">
      <c r="A4" s="24"/>
      <c r="B4" s="24"/>
      <c r="C4" s="24"/>
      <c r="D4" s="24"/>
      <c r="E4" s="24"/>
      <c r="F4" s="24"/>
      <c r="G4" s="24"/>
      <c r="H4" s="24"/>
      <c r="I4" s="573"/>
      <c r="J4" s="573"/>
      <c r="K4" s="573"/>
      <c r="L4" s="573"/>
      <c r="M4" s="573"/>
      <c r="N4" s="43"/>
    </row>
    <row r="5" spans="1:14">
      <c r="A5" s="24"/>
      <c r="B5" s="24"/>
      <c r="C5" s="24"/>
      <c r="D5" s="24"/>
      <c r="E5" s="24"/>
      <c r="F5" s="24"/>
      <c r="G5" s="24"/>
      <c r="H5" s="24"/>
      <c r="I5" s="573"/>
      <c r="J5" s="573"/>
      <c r="K5" s="573"/>
      <c r="L5" s="573"/>
      <c r="M5" s="573"/>
      <c r="N5" s="43"/>
    </row>
    <row r="6" spans="1:14">
      <c r="A6" s="24"/>
      <c r="B6" s="25" t="s">
        <v>85</v>
      </c>
      <c r="C6" s="24"/>
      <c r="D6" s="24"/>
      <c r="E6" s="24"/>
      <c r="F6" s="24"/>
      <c r="G6" s="24"/>
      <c r="H6" s="24"/>
      <c r="I6" s="573"/>
      <c r="J6" s="573"/>
      <c r="K6" s="573"/>
      <c r="L6" s="573"/>
      <c r="M6" s="573"/>
      <c r="N6" s="43"/>
    </row>
    <row r="7" spans="1:14">
      <c r="A7" s="24"/>
      <c r="B7" s="24"/>
      <c r="C7" s="24"/>
      <c r="D7" s="24"/>
      <c r="E7" s="24"/>
      <c r="F7" s="24"/>
      <c r="G7" s="24"/>
      <c r="H7" s="24"/>
      <c r="I7" s="573"/>
      <c r="J7" s="573"/>
      <c r="K7" s="573"/>
      <c r="L7" s="573"/>
      <c r="M7" s="573"/>
      <c r="N7" s="43"/>
    </row>
    <row r="8" spans="1:14">
      <c r="A8" s="24"/>
      <c r="B8" s="48" t="s">
        <v>86</v>
      </c>
      <c r="C8" s="48" t="s">
        <v>87</v>
      </c>
      <c r="D8" s="992" t="s">
        <v>88</v>
      </c>
      <c r="E8" s="993"/>
      <c r="F8" s="993"/>
      <c r="G8" s="993"/>
      <c r="H8" s="993"/>
      <c r="I8" s="573"/>
      <c r="J8" s="573"/>
      <c r="K8" s="573"/>
      <c r="L8" s="573"/>
      <c r="M8" s="573"/>
      <c r="N8" s="43"/>
    </row>
    <row r="9" spans="1:14">
      <c r="A9" s="24"/>
      <c r="B9" s="26" t="s">
        <v>89</v>
      </c>
      <c r="C9" s="47">
        <v>43677</v>
      </c>
      <c r="D9" s="990"/>
      <c r="E9" s="991"/>
      <c r="F9" s="991"/>
      <c r="G9" s="991"/>
      <c r="H9" s="991"/>
      <c r="I9" s="24"/>
      <c r="J9" s="24"/>
      <c r="K9" s="24"/>
      <c r="L9" s="24"/>
      <c r="M9" s="24"/>
    </row>
    <row r="10" spans="1:14">
      <c r="A10" s="24"/>
      <c r="B10" s="26" t="s">
        <v>90</v>
      </c>
      <c r="C10" s="47"/>
      <c r="D10" s="990"/>
      <c r="E10" s="991"/>
      <c r="F10" s="991"/>
      <c r="G10" s="991"/>
      <c r="H10" s="991"/>
      <c r="I10" s="24"/>
      <c r="J10" s="24"/>
      <c r="K10" s="24"/>
      <c r="L10" s="24"/>
      <c r="M10" s="24"/>
    </row>
    <row r="11" spans="1:14">
      <c r="A11" s="24"/>
      <c r="B11" s="26" t="s">
        <v>91</v>
      </c>
      <c r="C11" s="47"/>
      <c r="D11" s="990"/>
      <c r="E11" s="991"/>
      <c r="F11" s="991"/>
      <c r="G11" s="991"/>
      <c r="H11" s="991"/>
      <c r="I11" s="24"/>
      <c r="J11" s="24"/>
      <c r="K11" s="24"/>
      <c r="L11" s="24"/>
      <c r="M11" s="24"/>
    </row>
    <row r="12" spans="1:14">
      <c r="A12" s="24"/>
      <c r="B12" s="26" t="s">
        <v>92</v>
      </c>
      <c r="C12" s="47"/>
      <c r="D12" s="990"/>
      <c r="E12" s="991"/>
      <c r="F12" s="991"/>
      <c r="G12" s="991"/>
      <c r="H12" s="991"/>
      <c r="I12" s="24"/>
      <c r="J12" s="24"/>
      <c r="K12" s="24"/>
      <c r="L12" s="24"/>
      <c r="M12" s="24"/>
    </row>
    <row r="13" spans="1:14">
      <c r="A13" s="24"/>
      <c r="B13" s="26" t="s">
        <v>93</v>
      </c>
      <c r="C13" s="47"/>
      <c r="D13" s="990"/>
      <c r="E13" s="991"/>
      <c r="F13" s="991"/>
      <c r="G13" s="991"/>
      <c r="H13" s="991"/>
      <c r="I13" s="24"/>
      <c r="J13" s="24"/>
      <c r="K13" s="24"/>
      <c r="L13" s="24"/>
      <c r="M13" s="24"/>
    </row>
    <row r="14" spans="1:14">
      <c r="A14" s="24"/>
      <c r="B14" s="26" t="s">
        <v>94</v>
      </c>
      <c r="C14" s="47"/>
      <c r="D14" s="990"/>
      <c r="E14" s="991"/>
      <c r="F14" s="991"/>
      <c r="G14" s="991"/>
      <c r="H14" s="991"/>
      <c r="I14" s="24"/>
      <c r="J14" s="24"/>
      <c r="K14" s="24"/>
      <c r="L14" s="24"/>
      <c r="M14" s="24"/>
    </row>
    <row r="15" spans="1:14">
      <c r="A15" s="24"/>
      <c r="B15" s="26" t="s">
        <v>95</v>
      </c>
      <c r="C15" s="47"/>
      <c r="D15" s="990"/>
      <c r="E15" s="991"/>
      <c r="F15" s="991"/>
      <c r="G15" s="991"/>
      <c r="H15" s="991"/>
      <c r="I15" s="24"/>
      <c r="J15" s="24"/>
      <c r="K15" s="24"/>
      <c r="L15" s="24"/>
      <c r="M15" s="24"/>
    </row>
    <row r="16" spans="1:14">
      <c r="A16" s="24"/>
      <c r="B16" s="26" t="s">
        <v>96</v>
      </c>
      <c r="C16" s="47"/>
      <c r="D16" s="990"/>
      <c r="E16" s="991"/>
      <c r="F16" s="991"/>
      <c r="G16" s="991"/>
      <c r="H16" s="991"/>
      <c r="I16" s="24"/>
      <c r="J16" s="24"/>
      <c r="K16" s="24"/>
      <c r="L16" s="24"/>
      <c r="M16" s="24"/>
    </row>
    <row r="17" spans="1:13">
      <c r="A17" s="24"/>
      <c r="B17" s="26" t="s">
        <v>97</v>
      </c>
      <c r="C17" s="47"/>
      <c r="D17" s="990"/>
      <c r="E17" s="991"/>
      <c r="F17" s="991"/>
      <c r="G17" s="991"/>
      <c r="H17" s="991"/>
      <c r="I17" s="24"/>
      <c r="J17" s="24"/>
      <c r="K17" s="24"/>
      <c r="L17" s="24"/>
      <c r="M17" s="24"/>
    </row>
    <row r="18" spans="1:13">
      <c r="A18" s="24"/>
      <c r="B18" s="26" t="s">
        <v>98</v>
      </c>
      <c r="C18" s="47"/>
      <c r="D18" s="990"/>
      <c r="E18" s="991"/>
      <c r="F18" s="991"/>
      <c r="G18" s="991"/>
      <c r="H18" s="991"/>
      <c r="I18" s="24"/>
      <c r="J18" s="24"/>
      <c r="K18" s="24"/>
      <c r="L18" s="24"/>
      <c r="M18" s="24"/>
    </row>
    <row r="19" spans="1:13">
      <c r="A19" s="24"/>
      <c r="B19" s="24"/>
      <c r="C19" s="24"/>
      <c r="D19" s="24"/>
      <c r="E19" s="24"/>
      <c r="F19" s="24"/>
      <c r="G19" s="24"/>
      <c r="H19" s="24"/>
      <c r="I19" s="24"/>
      <c r="J19" s="24"/>
      <c r="K19" s="24"/>
      <c r="L19" s="24"/>
      <c r="M19" s="24"/>
    </row>
    <row r="20" spans="1:13">
      <c r="A20" s="24"/>
      <c r="B20" s="222"/>
      <c r="C20" s="24"/>
      <c r="D20" s="24"/>
      <c r="E20" s="24"/>
      <c r="F20" s="24"/>
      <c r="G20" s="24"/>
      <c r="H20" s="24"/>
      <c r="I20" s="24"/>
      <c r="J20" s="24"/>
      <c r="K20" s="24"/>
      <c r="L20" s="24"/>
    </row>
    <row r="21" spans="1:13">
      <c r="A21" s="24"/>
      <c r="B21" s="300" t="s">
        <v>263</v>
      </c>
      <c r="C21" s="24"/>
      <c r="D21" s="24"/>
      <c r="E21" s="24"/>
      <c r="F21" s="24"/>
      <c r="G21" s="24"/>
      <c r="H21" s="24"/>
      <c r="I21" s="24"/>
      <c r="J21" s="24"/>
      <c r="K21" s="24"/>
      <c r="L21" s="24"/>
    </row>
    <row r="22" spans="1:13">
      <c r="A22" s="24"/>
      <c r="B22" s="300" t="s">
        <v>119</v>
      </c>
      <c r="C22" s="24"/>
      <c r="D22" s="24"/>
      <c r="E22" s="24"/>
      <c r="F22" s="24"/>
      <c r="G22" s="24"/>
      <c r="H22" s="24"/>
      <c r="I22" s="24"/>
      <c r="J22" s="24"/>
      <c r="K22" s="24"/>
      <c r="L22" s="24"/>
    </row>
    <row r="23" spans="1:13">
      <c r="A23" s="24"/>
      <c r="B23" s="300" t="s">
        <v>264</v>
      </c>
      <c r="C23" s="24"/>
      <c r="D23" s="24"/>
      <c r="E23" s="24"/>
      <c r="F23" s="24"/>
      <c r="G23" s="24"/>
      <c r="H23" s="24"/>
      <c r="I23" s="24"/>
      <c r="J23" s="24"/>
      <c r="K23" s="24"/>
      <c r="L23" s="24"/>
    </row>
    <row r="24" spans="1:13">
      <c r="B24" s="300" t="s">
        <v>99</v>
      </c>
    </row>
    <row r="25" spans="1:13">
      <c r="B25" s="300" t="s">
        <v>262</v>
      </c>
    </row>
    <row r="26" spans="1:13">
      <c r="B26" s="300" t="s">
        <v>100</v>
      </c>
    </row>
    <row r="27" spans="1:13">
      <c r="B27" s="300" t="s">
        <v>265</v>
      </c>
    </row>
    <row r="28" spans="1:13">
      <c r="B28" s="300" t="s">
        <v>237</v>
      </c>
    </row>
    <row r="29" spans="1:13">
      <c r="B29" s="300" t="s">
        <v>101</v>
      </c>
    </row>
    <row r="30" spans="1:13">
      <c r="B30" s="300" t="s">
        <v>261</v>
      </c>
    </row>
    <row r="31" spans="1:13">
      <c r="B31" s="300" t="s">
        <v>266</v>
      </c>
    </row>
    <row r="32" spans="1:13">
      <c r="B32" s="300" t="s">
        <v>259</v>
      </c>
    </row>
    <row r="33" spans="2:2">
      <c r="B33" s="300" t="s">
        <v>267</v>
      </c>
    </row>
  </sheetData>
  <sheetProtection password="DA3D" sheet="1" objects="1" scenarios="1" formatCells="0" formatColumns="0" formatRows="0"/>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8" location="'R8 - Net Debt'!A1" display="R8 - Net Debt"/>
    <hyperlink ref="B29" location="'R9 - RAV'!A1" display="R9 - RAV"/>
    <hyperlink ref="B31" location="'R11 - Dividends'!A1" display="R11 - Dividends"/>
    <hyperlink ref="B32" location="'R12 - Pensions'!A1" display="R12 - Pensions"/>
    <hyperlink ref="B33" location="'R13 - Other Activities '!A1" display="R13 - Other Activities"/>
    <hyperlink ref="B30" location="'R10 - Tax'!A1" display="R10 - Tax"/>
  </hyperlinks>
  <pageMargins left="0.70866141732283472" right="0.70866141732283472"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66"/>
  <sheetViews>
    <sheetView showGridLines="0" zoomScale="80" zoomScaleNormal="80" workbookViewId="0">
      <pane ySplit="5" topLeftCell="A6" activePane="bottomLeft" state="frozen"/>
      <selection pane="bottomLeft"/>
    </sheetView>
  </sheetViews>
  <sheetFormatPr defaultRowHeight="12.75"/>
  <cols>
    <col min="1" max="1" width="19.125" bestFit="1" customWidth="1"/>
    <col min="2" max="2" width="12.125" bestFit="1" customWidth="1"/>
    <col min="3" max="3" width="104.125" customWidth="1"/>
    <col min="4" max="4" width="35.5" customWidth="1"/>
  </cols>
  <sheetData>
    <row r="1" spans="1:4" s="32" customFormat="1" ht="20.25">
      <c r="A1" s="30" t="s">
        <v>121</v>
      </c>
      <c r="B1" s="30"/>
      <c r="C1" s="30"/>
      <c r="D1" s="30"/>
    </row>
    <row r="2" spans="1:4" s="32" customFormat="1" ht="20.25">
      <c r="A2" s="30" t="str">
        <f>'RFPR cover'!C5</f>
        <v>NPgY</v>
      </c>
      <c r="B2" s="30"/>
      <c r="C2" s="30"/>
      <c r="D2" s="30"/>
    </row>
    <row r="3" spans="1:4" s="32" customFormat="1" ht="20.25">
      <c r="A3" s="30">
        <f>'RFPR cover'!C7</f>
        <v>2019</v>
      </c>
      <c r="B3" s="30"/>
      <c r="C3" s="30"/>
      <c r="D3" s="30"/>
    </row>
    <row r="4" spans="1:4" s="32" customFormat="1" ht="20.25">
      <c r="A4" s="875"/>
      <c r="B4" s="875"/>
      <c r="C4" s="875"/>
      <c r="D4" s="875"/>
    </row>
    <row r="5" spans="1:4" ht="30">
      <c r="A5" s="872" t="s">
        <v>455</v>
      </c>
      <c r="B5" s="873" t="s">
        <v>456</v>
      </c>
      <c r="C5" s="874" t="s">
        <v>457</v>
      </c>
    </row>
    <row r="6" spans="1:4">
      <c r="A6" s="353"/>
      <c r="B6" s="883"/>
      <c r="C6" s="890"/>
    </row>
    <row r="7" spans="1:4">
      <c r="A7" s="353"/>
      <c r="B7" s="883"/>
      <c r="C7" s="890"/>
    </row>
    <row r="8" spans="1:4">
      <c r="A8" s="353"/>
      <c r="B8" s="881"/>
      <c r="C8" s="889"/>
    </row>
    <row r="9" spans="1:4">
      <c r="A9" s="353"/>
      <c r="B9" s="881"/>
      <c r="C9" s="889"/>
    </row>
    <row r="10" spans="1:4">
      <c r="A10" s="354"/>
      <c r="B10" s="881"/>
      <c r="C10" s="889"/>
    </row>
    <row r="11" spans="1:4">
      <c r="A11" s="354"/>
      <c r="B11" s="881"/>
      <c r="C11" s="889"/>
    </row>
    <row r="12" spans="1:4">
      <c r="A12" s="354"/>
      <c r="B12" s="881"/>
      <c r="C12" s="889"/>
    </row>
    <row r="13" spans="1:4">
      <c r="A13" s="354"/>
      <c r="B13" s="881"/>
      <c r="C13" s="889"/>
    </row>
    <row r="14" spans="1:4">
      <c r="A14" s="354"/>
      <c r="B14" s="881"/>
      <c r="C14" s="889"/>
    </row>
    <row r="15" spans="1:4">
      <c r="A15" s="354"/>
      <c r="B15" s="881"/>
      <c r="C15" s="889"/>
    </row>
    <row r="16" spans="1:4">
      <c r="A16" s="354"/>
      <c r="B16" s="881"/>
      <c r="C16" s="889"/>
    </row>
    <row r="17" spans="1:3">
      <c r="A17" s="354"/>
      <c r="B17" s="881"/>
      <c r="C17" s="301"/>
    </row>
    <row r="18" spans="1:3">
      <c r="A18" s="354"/>
      <c r="B18" s="881"/>
      <c r="C18" s="301"/>
    </row>
    <row r="19" spans="1:3">
      <c r="A19" s="354"/>
      <c r="B19" s="881"/>
      <c r="C19" s="301"/>
    </row>
    <row r="20" spans="1:3">
      <c r="A20" s="354"/>
      <c r="B20" s="881"/>
      <c r="C20" s="301"/>
    </row>
    <row r="21" spans="1:3">
      <c r="A21" s="354"/>
      <c r="B21" s="881"/>
      <c r="C21" s="301"/>
    </row>
    <row r="22" spans="1:3">
      <c r="A22" s="354"/>
      <c r="B22" s="881"/>
      <c r="C22" s="301"/>
    </row>
    <row r="23" spans="1:3">
      <c r="A23" s="354"/>
      <c r="B23" s="881"/>
      <c r="C23" s="301"/>
    </row>
    <row r="24" spans="1:3">
      <c r="A24" s="354"/>
      <c r="B24" s="881"/>
      <c r="C24" s="301"/>
    </row>
    <row r="25" spans="1:3">
      <c r="A25" s="354"/>
      <c r="B25" s="881"/>
      <c r="C25" s="301"/>
    </row>
    <row r="26" spans="1:3">
      <c r="A26" s="354"/>
      <c r="B26" s="881"/>
      <c r="C26" s="301"/>
    </row>
    <row r="27" spans="1:3">
      <c r="A27" s="354"/>
      <c r="B27" s="881"/>
      <c r="C27" s="301"/>
    </row>
    <row r="28" spans="1:3">
      <c r="A28" s="354"/>
      <c r="B28" s="881"/>
      <c r="C28" s="301"/>
    </row>
    <row r="29" spans="1:3">
      <c r="A29" s="354"/>
      <c r="B29" s="881"/>
      <c r="C29" s="301"/>
    </row>
    <row r="30" spans="1:3">
      <c r="A30" s="354"/>
      <c r="B30" s="881"/>
      <c r="C30" s="301"/>
    </row>
    <row r="31" spans="1:3">
      <c r="A31" s="354"/>
      <c r="B31" s="881"/>
      <c r="C31" s="903"/>
    </row>
    <row r="32" spans="1:3">
      <c r="A32" s="354"/>
      <c r="B32" s="881"/>
      <c r="C32" s="301"/>
    </row>
    <row r="33" spans="1:3">
      <c r="A33" s="354"/>
      <c r="B33" s="881"/>
      <c r="C33" s="301"/>
    </row>
    <row r="34" spans="1:3">
      <c r="A34" s="355"/>
      <c r="B34" s="881"/>
      <c r="C34" s="301"/>
    </row>
    <row r="35" spans="1:3">
      <c r="A35" s="355"/>
      <c r="B35" s="906"/>
      <c r="C35" s="301"/>
    </row>
    <row r="36" spans="1:3">
      <c r="A36" s="355"/>
      <c r="B36" s="906"/>
      <c r="C36" s="301"/>
    </row>
    <row r="37" spans="1:3">
      <c r="A37" s="355"/>
      <c r="B37" s="906"/>
      <c r="C37" s="301"/>
    </row>
    <row r="38" spans="1:3">
      <c r="A38" s="355"/>
      <c r="B38" s="906"/>
      <c r="C38" s="301"/>
    </row>
    <row r="39" spans="1:3">
      <c r="A39" s="354"/>
      <c r="B39" s="906"/>
      <c r="C39" s="301"/>
    </row>
    <row r="40" spans="1:3">
      <c r="A40" s="355"/>
      <c r="B40" s="906"/>
      <c r="C40" s="301"/>
    </row>
    <row r="41" spans="1:3">
      <c r="A41" s="355"/>
      <c r="B41" s="906"/>
      <c r="C41" s="301"/>
    </row>
    <row r="42" spans="1:3">
      <c r="A42" s="355"/>
      <c r="B42" s="906"/>
      <c r="C42" s="301"/>
    </row>
    <row r="43" spans="1:3">
      <c r="A43" s="355"/>
      <c r="B43" s="881"/>
      <c r="C43" s="301"/>
    </row>
    <row r="44" spans="1:3">
      <c r="A44" s="355"/>
      <c r="B44" s="881"/>
      <c r="C44" s="301"/>
    </row>
    <row r="45" spans="1:3">
      <c r="A45" s="355"/>
      <c r="B45" s="881"/>
      <c r="C45" s="301"/>
    </row>
    <row r="46" spans="1:3">
      <c r="A46" s="355"/>
      <c r="B46" s="881"/>
      <c r="C46" s="301"/>
    </row>
    <row r="47" spans="1:3">
      <c r="A47" s="355"/>
      <c r="B47" s="881"/>
      <c r="C47" s="301"/>
    </row>
    <row r="48" spans="1:3">
      <c r="A48" s="355"/>
      <c r="B48" s="881"/>
      <c r="C48" s="301"/>
    </row>
    <row r="49" spans="1:3">
      <c r="A49" s="355"/>
      <c r="B49" s="881"/>
      <c r="C49" s="301"/>
    </row>
    <row r="50" spans="1:3">
      <c r="A50" s="355"/>
      <c r="B50" s="881"/>
      <c r="C50" s="301"/>
    </row>
    <row r="51" spans="1:3">
      <c r="A51" s="355"/>
      <c r="B51" s="881"/>
      <c r="C51" s="301"/>
    </row>
    <row r="52" spans="1:3">
      <c r="A52" s="355"/>
      <c r="B52" s="881"/>
      <c r="C52" s="301"/>
    </row>
    <row r="53" spans="1:3">
      <c r="A53" s="355"/>
      <c r="B53" s="913"/>
      <c r="C53" s="914"/>
    </row>
    <row r="54" spans="1:3">
      <c r="A54" s="355"/>
      <c r="B54" s="881"/>
      <c r="C54" s="301"/>
    </row>
    <row r="55" spans="1:3">
      <c r="A55" s="355"/>
      <c r="B55" s="881"/>
      <c r="C55" s="301"/>
    </row>
    <row r="56" spans="1:3">
      <c r="A56" s="355"/>
      <c r="B56" s="881"/>
      <c r="C56" s="301"/>
    </row>
    <row r="57" spans="1:3">
      <c r="A57" s="355"/>
      <c r="B57" s="881"/>
      <c r="C57" s="301"/>
    </row>
    <row r="58" spans="1:3">
      <c r="A58" s="355"/>
      <c r="B58" s="881"/>
      <c r="C58" s="903"/>
    </row>
    <row r="59" spans="1:3">
      <c r="A59" s="356"/>
      <c r="B59" s="882"/>
      <c r="C59" s="302"/>
    </row>
    <row r="60" spans="1:3">
      <c r="A60" s="356"/>
      <c r="B60" s="882"/>
      <c r="C60" s="302"/>
    </row>
    <row r="61" spans="1:3">
      <c r="A61" s="356"/>
      <c r="B61" s="882"/>
      <c r="C61" s="302"/>
    </row>
    <row r="62" spans="1:3">
      <c r="A62" s="356"/>
      <c r="B62" s="882"/>
      <c r="C62" s="302"/>
    </row>
    <row r="63" spans="1:3">
      <c r="A63" s="356"/>
      <c r="B63" s="882"/>
      <c r="C63" s="302"/>
    </row>
    <row r="64" spans="1:3">
      <c r="A64" s="356"/>
      <c r="B64" s="882"/>
      <c r="C64" s="302"/>
    </row>
    <row r="65" spans="1:3">
      <c r="A65" s="356"/>
      <c r="B65" s="882"/>
      <c r="C65" s="302"/>
    </row>
    <row r="66" spans="1:3">
      <c r="A66" s="356"/>
      <c r="B66" s="882"/>
      <c r="C66" s="302"/>
    </row>
  </sheetData>
  <sheetProtection password="DA3D" sheet="1" objects="1" scenarios="1" formatCells="0" formatColumns="0" formatRows="0"/>
  <pageMargins left="0.70866141732283472" right="0.70866141732283472" top="0.74803149606299213" bottom="0.74803149606299213" header="0.31496062992125984" footer="0.31496062992125984"/>
  <pageSetup paperSize="8"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P66"/>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63.375" style="205" customWidth="1"/>
    <col min="3" max="3" width="13.375" style="43" customWidth="1"/>
    <col min="4" max="11" width="9.125" customWidth="1"/>
    <col min="12" max="12" width="3.625" customWidth="1"/>
    <col min="13" max="14" width="13.75" customWidth="1"/>
    <col min="15" max="15" width="5.125" customWidth="1"/>
  </cols>
  <sheetData>
    <row r="1" spans="1:16" s="32" customFormat="1" ht="20.25">
      <c r="A1" s="381" t="s">
        <v>239</v>
      </c>
      <c r="B1" s="385"/>
      <c r="C1" s="268"/>
      <c r="D1" s="268"/>
      <c r="E1" s="268"/>
      <c r="F1" s="268"/>
      <c r="G1" s="268"/>
      <c r="H1" s="268"/>
      <c r="I1" s="269"/>
      <c r="J1" s="269"/>
      <c r="K1" s="270"/>
      <c r="L1" s="270"/>
      <c r="M1" s="270"/>
      <c r="N1" s="270"/>
      <c r="O1" s="386" t="s">
        <v>84</v>
      </c>
    </row>
    <row r="2" spans="1:16" s="32" customFormat="1" ht="20.25">
      <c r="A2" s="125" t="str">
        <f>'RFPR cover'!C5</f>
        <v>NPgY</v>
      </c>
      <c r="B2" s="204"/>
      <c r="C2" s="30"/>
      <c r="D2" s="30"/>
      <c r="E2" s="30"/>
      <c r="F2" s="30"/>
      <c r="G2" s="30"/>
      <c r="H2" s="30"/>
      <c r="I2" s="27"/>
      <c r="J2" s="27"/>
      <c r="K2" s="27"/>
      <c r="L2" s="27"/>
      <c r="M2" s="27"/>
      <c r="N2" s="27"/>
      <c r="O2" s="126"/>
    </row>
    <row r="3" spans="1:16" s="32" customFormat="1" ht="23.25">
      <c r="A3" s="272">
        <f>'RFPR cover'!C7</f>
        <v>2019</v>
      </c>
      <c r="B3" s="941" t="str">
        <f>IF('RFPR cover'!C5=Data!B98,"Not required to be completed for System Operator",(IF('RFPR cover'!C5=Data!B96,"Not required to be completed for Syestem Operator","")))</f>
        <v/>
      </c>
      <c r="C3" s="273"/>
      <c r="D3" s="273"/>
      <c r="E3" s="273"/>
      <c r="F3" s="273"/>
      <c r="G3" s="273"/>
      <c r="H3" s="273"/>
      <c r="I3" s="266"/>
      <c r="J3" s="266"/>
      <c r="K3" s="266"/>
      <c r="L3" s="266"/>
      <c r="M3" s="266"/>
      <c r="N3" s="266"/>
      <c r="O3" s="274"/>
    </row>
    <row r="4" spans="1:16" ht="12.75" customHeight="1"/>
    <row r="5" spans="1:16">
      <c r="D5" s="409" t="str">
        <f>IF(D6&lt;='RFPR cover'!$C$7,"Actuals","Forecast")</f>
        <v>Actuals</v>
      </c>
      <c r="E5" s="410" t="str">
        <f>IF(E6&lt;='RFPR cover'!$C$7,"Actuals","Forecast")</f>
        <v>Actuals</v>
      </c>
      <c r="F5" s="410" t="str">
        <f>IF(F6&lt;='RFPR cover'!$C$7,"Actuals","Forecast")</f>
        <v>Actuals</v>
      </c>
      <c r="G5" s="410" t="str">
        <f>IF(G6&lt;='RFPR cover'!$C$7,"Actuals","Forecast")</f>
        <v>Actuals</v>
      </c>
      <c r="H5" s="410" t="str">
        <f>IF(H6&lt;='RFPR cover'!$C$7,"Actuals","Forecast")</f>
        <v>Forecast</v>
      </c>
      <c r="I5" s="410" t="str">
        <f>IF(I6&lt;='RFPR cover'!$C$7,"Actuals","Forecast")</f>
        <v>Forecast</v>
      </c>
      <c r="J5" s="410" t="str">
        <f>IF(J6&lt;='RFPR cover'!$C$7,"Actuals","Forecast")</f>
        <v>Forecast</v>
      </c>
      <c r="K5" s="411" t="str">
        <f>IF(K6&lt;='RFPR cover'!$C$7,"Actuals","Forecast")</f>
        <v>Forecast</v>
      </c>
      <c r="L5" s="2"/>
      <c r="M5" s="2"/>
    </row>
    <row r="6" spans="1:16" ht="31.5" customHeight="1">
      <c r="C6" s="180"/>
      <c r="D6" s="118">
        <f>'RFPR cover'!$C$13</f>
        <v>2016</v>
      </c>
      <c r="E6" s="119">
        <f>D6+1</f>
        <v>2017</v>
      </c>
      <c r="F6" s="119">
        <f t="shared" ref="F6:K6" si="0">E6+1</f>
        <v>2018</v>
      </c>
      <c r="G6" s="119">
        <f t="shared" si="0"/>
        <v>2019</v>
      </c>
      <c r="H6" s="119">
        <f t="shared" si="0"/>
        <v>2020</v>
      </c>
      <c r="I6" s="119">
        <f t="shared" si="0"/>
        <v>2021</v>
      </c>
      <c r="J6" s="119">
        <f t="shared" si="0"/>
        <v>2022</v>
      </c>
      <c r="K6" s="203">
        <f t="shared" si="0"/>
        <v>2023</v>
      </c>
      <c r="L6" s="50"/>
      <c r="M6" s="102" t="str">
        <f>"Cumulative to "&amp;'RFPR cover'!$C$7</f>
        <v>Cumulative to 2019</v>
      </c>
      <c r="N6" s="202" t="s">
        <v>109</v>
      </c>
    </row>
    <row r="7" spans="1:16">
      <c r="C7" s="180"/>
      <c r="D7" s="180"/>
      <c r="E7" s="180"/>
      <c r="F7" s="180"/>
      <c r="G7" s="180"/>
      <c r="H7" s="180"/>
      <c r="I7" s="180"/>
      <c r="J7" s="180"/>
      <c r="K7" s="180"/>
      <c r="L7" s="180"/>
      <c r="M7" s="180"/>
      <c r="N7" s="180"/>
      <c r="O7" s="180"/>
    </row>
    <row r="8" spans="1:16">
      <c r="B8" s="556" t="s">
        <v>108</v>
      </c>
      <c r="C8" s="448"/>
      <c r="D8" s="448"/>
      <c r="E8" s="448"/>
      <c r="F8" s="448"/>
      <c r="G8" s="448"/>
      <c r="H8" s="448"/>
      <c r="I8" s="448"/>
      <c r="J8" s="448"/>
      <c r="K8" s="448"/>
      <c r="L8" s="557"/>
      <c r="M8" s="226"/>
      <c r="N8" s="226"/>
      <c r="O8" s="226"/>
    </row>
    <row r="9" spans="1:16">
      <c r="B9" s="206"/>
      <c r="D9" s="43"/>
      <c r="E9" s="43"/>
      <c r="F9" s="43"/>
      <c r="G9" s="43"/>
      <c r="H9" s="43"/>
      <c r="I9" s="43"/>
      <c r="J9" s="43"/>
      <c r="K9" s="43"/>
      <c r="L9" s="50"/>
    </row>
    <row r="10" spans="1:16">
      <c r="B10" s="261" t="s">
        <v>215</v>
      </c>
      <c r="C10" s="263" t="s">
        <v>7</v>
      </c>
      <c r="D10" s="532">
        <f t="shared" ref="D10:K19" si="1">D48/D$65</f>
        <v>0.06</v>
      </c>
      <c r="E10" s="534">
        <f t="shared" si="1"/>
        <v>0.06</v>
      </c>
      <c r="F10" s="534">
        <f t="shared" si="1"/>
        <v>0.06</v>
      </c>
      <c r="G10" s="534">
        <f t="shared" si="1"/>
        <v>5.9999999999999991E-2</v>
      </c>
      <c r="H10" s="534">
        <f t="shared" si="1"/>
        <v>0.06</v>
      </c>
      <c r="I10" s="534">
        <f t="shared" si="1"/>
        <v>0.06</v>
      </c>
      <c r="J10" s="534">
        <f t="shared" si="1"/>
        <v>0.06</v>
      </c>
      <c r="K10" s="533">
        <f t="shared" si="1"/>
        <v>0.06</v>
      </c>
      <c r="L10" s="181"/>
      <c r="M10" s="532">
        <f>AVERAGE(D48:INDEX(D48:K48,0,MATCH('RFPR cover'!$C$7,$D$6:$K$6,0)))/AVERAGE($D$65:INDEX($D$65:$K$65,0,MATCH('RFPR cover'!$C$7,$D$6:$K$6,0)))</f>
        <v>5.9999999999999991E-2</v>
      </c>
      <c r="N10" s="533">
        <f>AVERAGE(D48:K48)/AVERAGE($D$65:$K$65)</f>
        <v>5.9999999999999984E-2</v>
      </c>
    </row>
    <row r="11" spans="1:16">
      <c r="B11" s="261" t="str">
        <f t="shared" ref="B11:B18" si="2">B49</f>
        <v>Totex outperformance</v>
      </c>
      <c r="C11" s="263" t="s">
        <v>7</v>
      </c>
      <c r="D11" s="183">
        <f t="shared" si="1"/>
        <v>-1.4423622400744974E-2</v>
      </c>
      <c r="E11" s="184">
        <f t="shared" si="1"/>
        <v>-4.6751835014432249E-3</v>
      </c>
      <c r="F11" s="184">
        <f t="shared" si="1"/>
        <v>-1.3747761156716139E-3</v>
      </c>
      <c r="G11" s="184">
        <f t="shared" si="1"/>
        <v>5.2464514551205724E-3</v>
      </c>
      <c r="H11" s="184">
        <f t="shared" si="1"/>
        <v>1.3276290207894722E-2</v>
      </c>
      <c r="I11" s="184">
        <f t="shared" si="1"/>
        <v>4.9157725102679118E-3</v>
      </c>
      <c r="J11" s="184">
        <f t="shared" si="1"/>
        <v>-5.5688561606955468E-3</v>
      </c>
      <c r="K11" s="185">
        <f t="shared" si="1"/>
        <v>1.6861233354224473E-3</v>
      </c>
      <c r="L11" s="181"/>
      <c r="M11" s="532">
        <f>AVERAGE(D49:INDEX(D49:K49,0,MATCH('RFPR cover'!$C$7,$D$6:$K$6,0)))/AVERAGE($D$65:INDEX($D$65:$K$65,0,MATCH('RFPR cover'!$C$7,$D$6:$K$6,0)))</f>
        <v>-3.7000655110266487E-3</v>
      </c>
      <c r="N11" s="533">
        <f t="shared" ref="N11:N19" si="3">AVERAGE(D49:K49)/AVERAGE($D$65:$K$65)</f>
        <v>-3.8506108134028618E-6</v>
      </c>
      <c r="P11" s="181"/>
    </row>
    <row r="12" spans="1:16">
      <c r="B12" s="261" t="str">
        <f t="shared" si="2"/>
        <v>IQI Reward</v>
      </c>
      <c r="C12" s="263" t="s">
        <v>7</v>
      </c>
      <c r="D12" s="183">
        <f t="shared" si="1"/>
        <v>-1.673299083478904E-3</v>
      </c>
      <c r="E12" s="184">
        <f t="shared" si="1"/>
        <v>-1.5361981275651892E-3</v>
      </c>
      <c r="F12" s="184">
        <f t="shared" si="1"/>
        <v>-1.4800331862319853E-3</v>
      </c>
      <c r="G12" s="184">
        <f t="shared" si="1"/>
        <v>-1.4656854413687742E-3</v>
      </c>
      <c r="H12" s="184">
        <f t="shared" si="1"/>
        <v>-1.3609180981025821E-3</v>
      </c>
      <c r="I12" s="184">
        <f t="shared" si="1"/>
        <v>-1.2756019297808948E-3</v>
      </c>
      <c r="J12" s="184">
        <f t="shared" si="1"/>
        <v>-1.1622242988315677E-3</v>
      </c>
      <c r="K12" s="185">
        <f t="shared" si="1"/>
        <v>-1.1610682265416235E-3</v>
      </c>
      <c r="L12" s="181"/>
      <c r="M12" s="532">
        <f>AVERAGE(D50:INDEX(D50:K50,0,MATCH('RFPR cover'!$C$7,$D$6:$K$6,0)))/AVERAGE($D$65:INDEX($D$65:$K$65,0,MATCH('RFPR cover'!$C$7,$D$6:$K$6,0)))</f>
        <v>-1.537611036180573E-3</v>
      </c>
      <c r="N12" s="533">
        <f t="shared" si="3"/>
        <v>-1.3840817779165546E-3</v>
      </c>
    </row>
    <row r="13" spans="1:16">
      <c r="B13" s="261" t="str">
        <f t="shared" si="2"/>
        <v>Broad measure of customer service</v>
      </c>
      <c r="C13" s="263" t="s">
        <v>7</v>
      </c>
      <c r="D13" s="183">
        <f t="shared" si="1"/>
        <v>2.3392170440968136E-3</v>
      </c>
      <c r="E13" s="184">
        <f t="shared" si="1"/>
        <v>3.7480302532836691E-3</v>
      </c>
      <c r="F13" s="184">
        <f t="shared" si="1"/>
        <v>3.8910317290945062E-3</v>
      </c>
      <c r="G13" s="184">
        <f t="shared" si="1"/>
        <v>4.1687221978950551E-3</v>
      </c>
      <c r="H13" s="184">
        <f t="shared" si="1"/>
        <v>6.4423562420372173E-3</v>
      </c>
      <c r="I13" s="184">
        <f t="shared" si="1"/>
        <v>6.5594087856013297E-3</v>
      </c>
      <c r="J13" s="184">
        <f t="shared" si="1"/>
        <v>6.7014999170783175E-3</v>
      </c>
      <c r="K13" s="185">
        <f t="shared" si="1"/>
        <v>6.5861104490522199E-3</v>
      </c>
      <c r="L13" s="181"/>
      <c r="M13" s="532">
        <f>AVERAGE(D51:INDEX(D51:K51,0,MATCH('RFPR cover'!$C$7,$D$6:$K$6,0)))/AVERAGE($D$65:INDEX($D$65:$K$65,0,MATCH('RFPR cover'!$C$7,$D$6:$K$6,0)))</f>
        <v>3.5467992885325245E-3</v>
      </c>
      <c r="N13" s="533">
        <f t="shared" si="3"/>
        <v>5.1010369788022664E-3</v>
      </c>
    </row>
    <row r="14" spans="1:16">
      <c r="B14" s="261" t="str">
        <f t="shared" si="2"/>
        <v>Interruptions-related quality of service</v>
      </c>
      <c r="C14" s="263" t="s">
        <v>7</v>
      </c>
      <c r="D14" s="183">
        <f t="shared" si="1"/>
        <v>2.0476254414262682E-2</v>
      </c>
      <c r="E14" s="184">
        <f t="shared" si="1"/>
        <v>2.0733613216885341E-2</v>
      </c>
      <c r="F14" s="184">
        <f t="shared" si="1"/>
        <v>2.0422559737314626E-2</v>
      </c>
      <c r="G14" s="184">
        <f t="shared" si="1"/>
        <v>2.0743162584918429E-2</v>
      </c>
      <c r="H14" s="184">
        <f t="shared" si="1"/>
        <v>2.048709348617319E-2</v>
      </c>
      <c r="I14" s="184">
        <f t="shared" si="1"/>
        <v>2.0217355846031491E-2</v>
      </c>
      <c r="J14" s="184">
        <f t="shared" si="1"/>
        <v>1.9927367594836407E-2</v>
      </c>
      <c r="K14" s="185">
        <f t="shared" si="1"/>
        <v>1.9584249132644269E-2</v>
      </c>
      <c r="L14" s="181"/>
      <c r="M14" s="532">
        <f>AVERAGE(D52:INDEX(D52:K52,0,MATCH('RFPR cover'!$C$7,$D$6:$K$6,0)))/AVERAGE($D$65:INDEX($D$65:$K$65,0,MATCH('RFPR cover'!$C$7,$D$6:$K$6,0)))</f>
        <v>2.0594812705425448E-2</v>
      </c>
      <c r="N14" s="533">
        <f t="shared" si="3"/>
        <v>2.031420083786695E-2</v>
      </c>
    </row>
    <row r="15" spans="1:16">
      <c r="B15" s="261" t="str">
        <f t="shared" si="2"/>
        <v>Incentive on connections engagement</v>
      </c>
      <c r="C15" s="263" t="s">
        <v>7</v>
      </c>
      <c r="D15" s="183">
        <f t="shared" si="1"/>
        <v>0</v>
      </c>
      <c r="E15" s="184">
        <f t="shared" si="1"/>
        <v>0</v>
      </c>
      <c r="F15" s="184">
        <f t="shared" si="1"/>
        <v>0</v>
      </c>
      <c r="G15" s="184">
        <f t="shared" si="1"/>
        <v>0</v>
      </c>
      <c r="H15" s="184">
        <f t="shared" si="1"/>
        <v>0</v>
      </c>
      <c r="I15" s="184">
        <f t="shared" si="1"/>
        <v>0</v>
      </c>
      <c r="J15" s="184">
        <f t="shared" si="1"/>
        <v>0</v>
      </c>
      <c r="K15" s="185">
        <f t="shared" si="1"/>
        <v>0</v>
      </c>
      <c r="L15" s="181"/>
      <c r="M15" s="532">
        <f>AVERAGE(D53:INDEX(D53:K53,0,MATCH('RFPR cover'!$C$7,$D$6:$K$6,0)))/AVERAGE($D$65:INDEX($D$65:$K$65,0,MATCH('RFPR cover'!$C$7,$D$6:$K$6,0)))</f>
        <v>0</v>
      </c>
      <c r="N15" s="533">
        <f t="shared" si="3"/>
        <v>0</v>
      </c>
    </row>
    <row r="16" spans="1:16">
      <c r="B16" s="261" t="str">
        <f t="shared" si="2"/>
        <v>Time to Connect Incentive</v>
      </c>
      <c r="C16" s="263" t="s">
        <v>7</v>
      </c>
      <c r="D16" s="183">
        <f t="shared" si="1"/>
        <v>1.0886781593255263E-3</v>
      </c>
      <c r="E16" s="184">
        <f t="shared" si="1"/>
        <v>9.214939207504595E-4</v>
      </c>
      <c r="F16" s="184">
        <f t="shared" si="1"/>
        <v>9.5548765587146847E-5</v>
      </c>
      <c r="G16" s="184">
        <f t="shared" si="1"/>
        <v>5.4285062703344762E-4</v>
      </c>
      <c r="H16" s="184">
        <f t="shared" si="1"/>
        <v>8.9935764171638775E-4</v>
      </c>
      <c r="I16" s="184">
        <f t="shared" si="1"/>
        <v>8.8751649850670269E-4</v>
      </c>
      <c r="J16" s="184">
        <f t="shared" si="1"/>
        <v>8.747863789367263E-4</v>
      </c>
      <c r="K16" s="185">
        <f t="shared" si="1"/>
        <v>8.5972390991471775E-4</v>
      </c>
      <c r="L16" s="181"/>
      <c r="M16" s="532">
        <f>AVERAGE(D54:INDEX(D54:K54,0,MATCH('RFPR cover'!$C$7,$D$6:$K$6,0)))/AVERAGE($D$65:INDEX($D$65:$K$65,0,MATCH('RFPR cover'!$C$7,$D$6:$K$6,0)))</f>
        <v>6.5795342794467641E-4</v>
      </c>
      <c r="N16" s="533">
        <f t="shared" si="3"/>
        <v>7.7203287358897847E-4</v>
      </c>
    </row>
    <row r="17" spans="2:16">
      <c r="B17" s="261" t="str">
        <f t="shared" si="2"/>
        <v>Losses discretionary reward scheme</v>
      </c>
      <c r="C17" s="263" t="s">
        <v>7</v>
      </c>
      <c r="D17" s="183">
        <f t="shared" si="1"/>
        <v>0</v>
      </c>
      <c r="E17" s="184">
        <f t="shared" si="1"/>
        <v>2.68769060218884E-4</v>
      </c>
      <c r="F17" s="184">
        <f t="shared" si="1"/>
        <v>0</v>
      </c>
      <c r="G17" s="184">
        <f t="shared" si="1"/>
        <v>0</v>
      </c>
      <c r="H17" s="184">
        <f t="shared" si="1"/>
        <v>0</v>
      </c>
      <c r="I17" s="184">
        <f t="shared" si="1"/>
        <v>0</v>
      </c>
      <c r="J17" s="184">
        <f t="shared" si="1"/>
        <v>0</v>
      </c>
      <c r="K17" s="185">
        <f t="shared" si="1"/>
        <v>0</v>
      </c>
      <c r="L17" s="181"/>
      <c r="M17" s="532">
        <f>AVERAGE(D55:INDEX(D55:K55,0,MATCH('RFPR cover'!$C$7,$D$6:$K$6,0)))/AVERAGE($D$65:INDEX($D$65:$K$65,0,MATCH('RFPR cover'!$C$7,$D$6:$K$6,0)))</f>
        <v>6.6934412713572946E-5</v>
      </c>
      <c r="N17" s="533">
        <f t="shared" si="3"/>
        <v>3.2561230524061973E-5</v>
      </c>
    </row>
    <row r="18" spans="2:16">
      <c r="B18" s="261" t="str">
        <f t="shared" si="2"/>
        <v xml:space="preserve">Network Innovation </v>
      </c>
      <c r="C18" s="263" t="s">
        <v>7</v>
      </c>
      <c r="D18" s="183">
        <f t="shared" si="1"/>
        <v>-1.49429081256394E-4</v>
      </c>
      <c r="E18" s="184">
        <f t="shared" si="1"/>
        <v>-1.3699801987930972E-4</v>
      </c>
      <c r="F18" s="184">
        <f t="shared" si="1"/>
        <v>-3.890794910449925E-4</v>
      </c>
      <c r="G18" s="184">
        <f t="shared" si="1"/>
        <v>-3.8616040821558799E-4</v>
      </c>
      <c r="H18" s="184">
        <f t="shared" si="1"/>
        <v>-3.8206053152908185E-4</v>
      </c>
      <c r="I18" s="184">
        <f t="shared" si="1"/>
        <v>-3.7318186538745971E-4</v>
      </c>
      <c r="J18" s="184">
        <f t="shared" si="1"/>
        <v>-3.6424949970430661E-4</v>
      </c>
      <c r="K18" s="185">
        <f t="shared" si="1"/>
        <v>-3.5946783505083727E-4</v>
      </c>
      <c r="L18" s="181"/>
      <c r="M18" s="532">
        <f>AVERAGE(D56:INDEX(D56:K56,0,MATCH('RFPR cover'!$C$7,$D$6:$K$6,0)))/AVERAGE($D$65:INDEX($D$65:$K$65,0,MATCH('RFPR cover'!$C$7,$D$6:$K$6,0)))</f>
        <v>-2.6697337883751848E-4</v>
      </c>
      <c r="N18" s="533">
        <f t="shared" si="3"/>
        <v>-3.1967452990667029E-4</v>
      </c>
    </row>
    <row r="19" spans="2:16">
      <c r="B19" s="261" t="str">
        <f>B57</f>
        <v>Penalties and fines</v>
      </c>
      <c r="C19" s="263" t="s">
        <v>7</v>
      </c>
      <c r="D19" s="193">
        <f t="shared" si="1"/>
        <v>-2.8569314563942614E-4</v>
      </c>
      <c r="E19" s="194">
        <f t="shared" si="1"/>
        <v>-2.2726255258827304E-4</v>
      </c>
      <c r="F19" s="194">
        <f t="shared" si="1"/>
        <v>-2.34226468586883E-4</v>
      </c>
      <c r="G19" s="194">
        <f t="shared" si="1"/>
        <v>-3.2293488432075246E-4</v>
      </c>
      <c r="H19" s="194">
        <f t="shared" si="1"/>
        <v>-3.1035346926399959E-4</v>
      </c>
      <c r="I19" s="194">
        <f t="shared" si="1"/>
        <v>-3.0535581757828648E-4</v>
      </c>
      <c r="J19" s="194">
        <f t="shared" si="1"/>
        <v>-2.9213874033643414E-4</v>
      </c>
      <c r="K19" s="195">
        <f t="shared" si="1"/>
        <v>-2.7854335471793885E-4</v>
      </c>
      <c r="L19" s="181"/>
      <c r="M19" s="532">
        <f>AVERAGE(D57:INDEX(D57:K57,0,MATCH('RFPR cover'!$C$7,$D$6:$K$6,0)))/AVERAGE($D$65:INDEX($D$65:$K$65,0,MATCH('RFPR cover'!$C$7,$D$6:$K$6,0)))</f>
        <v>-2.676687949588019E-4</v>
      </c>
      <c r="N19" s="533">
        <f t="shared" si="3"/>
        <v>-2.8241925910214616E-4</v>
      </c>
    </row>
    <row r="20" spans="2:16">
      <c r="B20" s="262" t="str">
        <f>B58</f>
        <v>RoRE - Operational performance</v>
      </c>
      <c r="C20" s="263" t="s">
        <v>7</v>
      </c>
      <c r="D20" s="196">
        <f t="shared" ref="D20:K20" si="4">SUM(D10:D19)</f>
        <v>6.7372105906565311E-2</v>
      </c>
      <c r="E20" s="197">
        <f t="shared" si="4"/>
        <v>7.909626424966236E-2</v>
      </c>
      <c r="F20" s="197">
        <f t="shared" si="4"/>
        <v>8.0931024970460799E-2</v>
      </c>
      <c r="G20" s="197">
        <f t="shared" si="4"/>
        <v>8.8526406131062399E-2</v>
      </c>
      <c r="H20" s="197">
        <f t="shared" si="4"/>
        <v>9.9051765478925857E-2</v>
      </c>
      <c r="I20" s="197">
        <f t="shared" si="4"/>
        <v>9.0625914027660778E-2</v>
      </c>
      <c r="J20" s="197">
        <f t="shared" si="4"/>
        <v>8.0116185191283606E-2</v>
      </c>
      <c r="K20" s="198">
        <f t="shared" si="4"/>
        <v>8.6917127410723244E-2</v>
      </c>
      <c r="L20" s="182"/>
      <c r="M20" s="199">
        <f>SUM(M10:M19)</f>
        <v>7.9094181113612674E-2</v>
      </c>
      <c r="N20" s="201">
        <f>SUM(N10:N19)</f>
        <v>8.4229805743043479E-2</v>
      </c>
    </row>
    <row r="21" spans="2:16">
      <c r="B21" s="261" t="str">
        <f>B59</f>
        <v>Debt performance - at notional gearing</v>
      </c>
      <c r="C21" s="263" t="s">
        <v>7</v>
      </c>
      <c r="D21" s="183">
        <f>(D59)/D$65</f>
        <v>-3.4554489857600672E-2</v>
      </c>
      <c r="E21" s="184">
        <f t="shared" ref="E21:K21" si="5">(E59)/E$65</f>
        <v>-2.147238764119782E-2</v>
      </c>
      <c r="F21" s="184">
        <f t="shared" si="5"/>
        <v>-1.8776468912118098E-3</v>
      </c>
      <c r="G21" s="184">
        <f t="shared" si="5"/>
        <v>-1.3373868012049574E-2</v>
      </c>
      <c r="H21" s="184">
        <f t="shared" si="5"/>
        <v>-1.7535502574902939E-2</v>
      </c>
      <c r="I21" s="184">
        <f t="shared" si="5"/>
        <v>1.3325121872304372E-3</v>
      </c>
      <c r="J21" s="184">
        <f t="shared" si="5"/>
        <v>6.9137859044157042E-3</v>
      </c>
      <c r="K21" s="185">
        <f t="shared" si="5"/>
        <v>1.2713297279635586E-2</v>
      </c>
      <c r="L21" s="181"/>
      <c r="M21" s="532">
        <f>AVERAGE(D59:INDEX(D59:K59,0,MATCH('RFPR cover'!$C$7,$D$6:$K$6,0)))/AVERAGE($D$65:INDEX($D$65:$K$65,0,MATCH('RFPR cover'!$C$7,$D$6:$K$6,0)))</f>
        <v>-1.7673841602981653E-2</v>
      </c>
      <c r="N21" s="533">
        <f>AVERAGE(D59:K59)/AVERAGE($D$65:$K$65)</f>
        <v>-8.0672514198869491E-3</v>
      </c>
    </row>
    <row r="22" spans="2:16">
      <c r="B22" s="261" t="str">
        <f>B61</f>
        <v>Tax performance - at notional gearing</v>
      </c>
      <c r="C22" s="263" t="s">
        <v>7</v>
      </c>
      <c r="D22" s="183">
        <f>(D61)/D$65</f>
        <v>-4.8034329125097803E-3</v>
      </c>
      <c r="E22" s="184">
        <f t="shared" ref="E22:K22" si="6">(E61)/E$65</f>
        <v>-1.5761796251559613E-3</v>
      </c>
      <c r="F22" s="184">
        <f t="shared" si="6"/>
        <v>6.034057775224008E-3</v>
      </c>
      <c r="G22" s="184">
        <f t="shared" si="6"/>
        <v>3.4320536147576927E-3</v>
      </c>
      <c r="H22" s="184">
        <f t="shared" si="6"/>
        <v>-4.13757587570158E-4</v>
      </c>
      <c r="I22" s="184">
        <f t="shared" si="6"/>
        <v>1.4168133182224526E-3</v>
      </c>
      <c r="J22" s="184">
        <f t="shared" si="6"/>
        <v>2.0800352452513189E-3</v>
      </c>
      <c r="K22" s="185">
        <f t="shared" si="6"/>
        <v>2.0847280086156842E-3</v>
      </c>
      <c r="L22" s="181"/>
      <c r="M22" s="532">
        <f>AVERAGE(D61:INDEX(D61:K61,0,MATCH('RFPR cover'!$C$7,$D$6:$K$6,0)))/AVERAGE($D$65:INDEX($D$65:$K$65,0,MATCH('RFPR cover'!$C$7,$D$6:$K$6,0)))</f>
        <v>8.2673979161058898E-4</v>
      </c>
      <c r="N22" s="533">
        <f>AVERAGE(D61:K61)/AVERAGE($D$65:$K$65)</f>
        <v>1.0732259997933422E-3</v>
      </c>
    </row>
    <row r="23" spans="2:16">
      <c r="B23" s="262" t="str">
        <f>B63</f>
        <v>RoRE - including financing and tax</v>
      </c>
      <c r="C23" s="263" t="s">
        <v>7</v>
      </c>
      <c r="D23" s="199">
        <f>SUM(D20:D22)</f>
        <v>2.8014183136454859E-2</v>
      </c>
      <c r="E23" s="200">
        <f t="shared" ref="E23:K23" si="7">SUM(E20:E22)</f>
        <v>5.6047696983308581E-2</v>
      </c>
      <c r="F23" s="200">
        <f t="shared" si="7"/>
        <v>8.5087435854472995E-2</v>
      </c>
      <c r="G23" s="200">
        <f t="shared" si="7"/>
        <v>7.8584591733770512E-2</v>
      </c>
      <c r="H23" s="200">
        <f t="shared" si="7"/>
        <v>8.1102505316452758E-2</v>
      </c>
      <c r="I23" s="200">
        <f t="shared" si="7"/>
        <v>9.3375239533113663E-2</v>
      </c>
      <c r="J23" s="200">
        <f t="shared" si="7"/>
        <v>8.911000634095062E-2</v>
      </c>
      <c r="K23" s="201">
        <f t="shared" si="7"/>
        <v>0.10171515269897452</v>
      </c>
      <c r="L23" s="182"/>
      <c r="M23" s="199">
        <f>SUM(M20:M22)</f>
        <v>6.2247079302241611E-2</v>
      </c>
      <c r="N23" s="201">
        <f>SUM(N20:N22)</f>
        <v>7.7235780322949865E-2</v>
      </c>
    </row>
    <row r="26" spans="2:16" s="32" customFormat="1">
      <c r="B26" s="494"/>
      <c r="C26" s="384"/>
    </row>
    <row r="27" spans="2:16">
      <c r="B27" s="556" t="s">
        <v>216</v>
      </c>
      <c r="C27" s="448"/>
      <c r="D27" s="226"/>
      <c r="E27" s="226"/>
      <c r="F27" s="226"/>
      <c r="G27" s="226"/>
      <c r="H27" s="226"/>
      <c r="I27" s="226"/>
      <c r="J27" s="226"/>
      <c r="K27" s="226"/>
      <c r="L27" s="557"/>
      <c r="M27" s="226"/>
      <c r="N27" s="226"/>
      <c r="O27" s="226"/>
    </row>
    <row r="28" spans="2:16">
      <c r="B28" s="206"/>
      <c r="L28" s="50"/>
    </row>
    <row r="29" spans="2:16">
      <c r="B29" s="261" t="s">
        <v>215</v>
      </c>
      <c r="C29" s="263" t="s">
        <v>7</v>
      </c>
      <c r="D29" s="183">
        <f t="shared" ref="D29:K38" si="8">D48/D$66</f>
        <v>4.2679874096929457E-2</v>
      </c>
      <c r="E29" s="184">
        <f t="shared" si="8"/>
        <v>4.1912424878829645E-2</v>
      </c>
      <c r="F29" s="184">
        <f t="shared" si="8"/>
        <v>4.0083440966179343E-2</v>
      </c>
      <c r="G29" s="184">
        <f t="shared" si="8"/>
        <v>3.930569818405534E-2</v>
      </c>
      <c r="H29" s="184">
        <f t="shared" si="8"/>
        <v>3.9188787565618555E-2</v>
      </c>
      <c r="I29" s="184">
        <f t="shared" si="8"/>
        <v>3.957687008481954E-2</v>
      </c>
      <c r="J29" s="184">
        <f t="shared" si="8"/>
        <v>3.9995835504215281E-2</v>
      </c>
      <c r="K29" s="185">
        <f t="shared" si="8"/>
        <v>3.9711518503560771E-2</v>
      </c>
      <c r="L29" s="181"/>
      <c r="M29" s="532">
        <f>AVERAGE(D48:INDEX(D48:K48,0,MATCH('RFPR cover'!$C$7,$D$6:$K$6,0)))/AVERAGE($D$66:INDEX($D$66:$K$66,0,MATCH('RFPR cover'!$C$7,$D$6:$K$6,0)))</f>
        <v>4.0930672204196737E-2</v>
      </c>
      <c r="N29" s="533">
        <f>AVERAGE(D48:K48)/AVERAGE($D$66:$K$66)</f>
        <v>4.0246759398850827E-2</v>
      </c>
      <c r="P29" s="340"/>
    </row>
    <row r="30" spans="2:16">
      <c r="B30" s="261" t="str">
        <f t="shared" ref="B30:B37" si="9">B49</f>
        <v>Totex outperformance</v>
      </c>
      <c r="C30" s="263" t="s">
        <v>7</v>
      </c>
      <c r="D30" s="183">
        <f t="shared" si="8"/>
        <v>-1.0259973134757449E-2</v>
      </c>
      <c r="E30" s="184">
        <f t="shared" si="8"/>
        <v>-3.2658046216497154E-3</v>
      </c>
      <c r="F30" s="184">
        <f t="shared" si="8"/>
        <v>-9.1842928790394137E-4</v>
      </c>
      <c r="G30" s="184">
        <f t="shared" si="8"/>
        <v>3.4369239572044534E-3</v>
      </c>
      <c r="H30" s="184">
        <f t="shared" si="8"/>
        <v>8.6713619436114674E-3</v>
      </c>
      <c r="I30" s="184">
        <f t="shared" si="8"/>
        <v>3.2425148334233396E-3</v>
      </c>
      <c r="J30" s="184">
        <f t="shared" si="8"/>
        <v>-3.712184249163582E-3</v>
      </c>
      <c r="K30" s="185">
        <f t="shared" si="8"/>
        <v>1.1159753005652354E-3</v>
      </c>
      <c r="L30" s="181"/>
      <c r="M30" s="532">
        <f>AVERAGE(D49:INDEX(D49:K49,0,MATCH('RFPR cover'!$C$7,$D$6:$K$6,0)))/AVERAGE($D$66:INDEX($D$66:$K$66,0,MATCH('RFPR cover'!$C$7,$D$6:$K$6,0)))</f>
        <v>-2.5241028094314245E-3</v>
      </c>
      <c r="N30" s="533">
        <f t="shared" ref="N30:N38" si="10">AVERAGE(D49:K49)/AVERAGE($D$66:$K$66)</f>
        <v>-2.5829101157606384E-6</v>
      </c>
    </row>
    <row r="31" spans="2:16">
      <c r="B31" s="261" t="str">
        <f t="shared" si="9"/>
        <v>IQI Reward</v>
      </c>
      <c r="C31" s="263" t="s">
        <v>7</v>
      </c>
      <c r="D31" s="183">
        <f t="shared" si="8"/>
        <v>-1.1902699034897846E-3</v>
      </c>
      <c r="E31" s="184">
        <f t="shared" si="8"/>
        <v>-1.0730964770095794E-3</v>
      </c>
      <c r="F31" s="184">
        <f t="shared" si="8"/>
        <v>-9.8874704747193513E-4</v>
      </c>
      <c r="G31" s="184">
        <f t="shared" si="8"/>
        <v>-9.6016315985341652E-4</v>
      </c>
      <c r="H31" s="184">
        <f t="shared" si="8"/>
        <v>-8.888788373457952E-4</v>
      </c>
      <c r="I31" s="184">
        <f t="shared" si="8"/>
        <v>-8.4140553091472618E-4</v>
      </c>
      <c r="J31" s="184">
        <f t="shared" si="8"/>
        <v>-7.747355312511554E-4</v>
      </c>
      <c r="K31" s="185">
        <f t="shared" si="8"/>
        <v>-7.6846303937006942E-4</v>
      </c>
      <c r="L31" s="181"/>
      <c r="M31" s="532">
        <f>AVERAGE(D50:INDEX(D50:K50,0,MATCH('RFPR cover'!$C$7,$D$6:$K$6,0)))/AVERAGE($D$66:INDEX($D$66:$K$66,0,MATCH('RFPR cover'!$C$7,$D$6:$K$6,0)))</f>
        <v>-1.0489242216577056E-3</v>
      </c>
      <c r="N31" s="533">
        <f t="shared" si="10"/>
        <v>-9.2841343840235457E-4</v>
      </c>
    </row>
    <row r="32" spans="2:16">
      <c r="B32" s="261" t="str">
        <f t="shared" si="9"/>
        <v>Broad measure of customer service</v>
      </c>
      <c r="C32" s="263" t="s">
        <v>7</v>
      </c>
      <c r="D32" s="183">
        <f t="shared" si="8"/>
        <v>1.6639581487907249E-3</v>
      </c>
      <c r="E32" s="184">
        <f t="shared" si="8"/>
        <v>2.6181506072388777E-3</v>
      </c>
      <c r="F32" s="184">
        <f t="shared" si="8"/>
        <v>2.5994323435115062E-3</v>
      </c>
      <c r="G32" s="184">
        <f t="shared" si="8"/>
        <v>2.7309089420605812E-3</v>
      </c>
      <c r="H32" s="184">
        <f t="shared" si="8"/>
        <v>4.2078021698538862E-3</v>
      </c>
      <c r="I32" s="184">
        <f t="shared" si="8"/>
        <v>4.3266811556827945E-3</v>
      </c>
      <c r="J32" s="184">
        <f t="shared" si="8"/>
        <v>4.4672014719162791E-3</v>
      </c>
      <c r="K32" s="185">
        <f t="shared" si="8"/>
        <v>4.3590741160672028E-3</v>
      </c>
      <c r="L32" s="181"/>
      <c r="M32" s="532">
        <f>AVERAGE(D51:INDEX(D51:K51,0,MATCH('RFPR cover'!$C$7,$D$6:$K$6,0)))/AVERAGE($D$66:INDEX($D$66:$K$66,0,MATCH('RFPR cover'!$C$7,$D$6:$K$6,0)))</f>
        <v>2.4195479842167166E-3</v>
      </c>
      <c r="N32" s="533">
        <f t="shared" si="10"/>
        <v>3.421670132841597E-3</v>
      </c>
    </row>
    <row r="33" spans="2:15">
      <c r="B33" s="261" t="str">
        <f t="shared" si="9"/>
        <v>Interruptions-related quality of service</v>
      </c>
      <c r="C33" s="263" t="s">
        <v>7</v>
      </c>
      <c r="D33" s="183">
        <f t="shared" si="8"/>
        <v>1.4565399339623789E-2</v>
      </c>
      <c r="E33" s="184">
        <f t="shared" si="8"/>
        <v>1.448326677365694E-2</v>
      </c>
      <c r="F33" s="184">
        <f t="shared" si="8"/>
        <v>1.3643441126815366E-2</v>
      </c>
      <c r="G33" s="184">
        <f t="shared" si="8"/>
        <v>1.3588741465759885E-2</v>
      </c>
      <c r="H33" s="184">
        <f t="shared" si="8"/>
        <v>1.338107257444348E-2</v>
      </c>
      <c r="I33" s="184">
        <f t="shared" si="8"/>
        <v>1.3335661096282585E-2</v>
      </c>
      <c r="J33" s="184">
        <f t="shared" si="8"/>
        <v>1.3283528605918452E-2</v>
      </c>
      <c r="K33" s="185">
        <f t="shared" si="8"/>
        <v>1.2962004530155781E-2</v>
      </c>
      <c r="L33" s="181"/>
      <c r="M33" s="532">
        <f>AVERAGE(D52:INDEX(D52:K52,0,MATCH('RFPR cover'!$C$7,$D$6:$K$6,0)))/AVERAGE($D$66:INDEX($D$66:$K$66,0,MATCH('RFPR cover'!$C$7,$D$6:$K$6,0)))</f>
        <v>1.4049325465876587E-2</v>
      </c>
      <c r="N33" s="533">
        <f t="shared" si="10"/>
        <v>1.3626345891692756E-2</v>
      </c>
    </row>
    <row r="34" spans="2:15">
      <c r="B34" s="261" t="str">
        <f t="shared" si="9"/>
        <v>Incentive on connections engagement</v>
      </c>
      <c r="C34" s="263" t="s">
        <v>7</v>
      </c>
      <c r="D34" s="183">
        <f t="shared" si="8"/>
        <v>0</v>
      </c>
      <c r="E34" s="184">
        <f t="shared" si="8"/>
        <v>0</v>
      </c>
      <c r="F34" s="184">
        <f t="shared" si="8"/>
        <v>0</v>
      </c>
      <c r="G34" s="184">
        <f t="shared" si="8"/>
        <v>0</v>
      </c>
      <c r="H34" s="184">
        <f t="shared" si="8"/>
        <v>0</v>
      </c>
      <c r="I34" s="184">
        <f t="shared" si="8"/>
        <v>0</v>
      </c>
      <c r="J34" s="184">
        <f t="shared" si="8"/>
        <v>0</v>
      </c>
      <c r="K34" s="185">
        <f t="shared" si="8"/>
        <v>0</v>
      </c>
      <c r="L34" s="181"/>
      <c r="M34" s="532">
        <f>AVERAGE(D53:INDEX(D53:K53,0,MATCH('RFPR cover'!$C$7,$D$6:$K$6,0)))/AVERAGE($D$66:INDEX($D$66:$K$66,0,MATCH('RFPR cover'!$C$7,$D$6:$K$6,0)))</f>
        <v>0</v>
      </c>
      <c r="N34" s="533">
        <f t="shared" si="10"/>
        <v>0</v>
      </c>
    </row>
    <row r="35" spans="2:15">
      <c r="B35" s="261" t="str">
        <f t="shared" si="9"/>
        <v>Time to Connect Incentive</v>
      </c>
      <c r="C35" s="263" t="s">
        <v>7</v>
      </c>
      <c r="D35" s="183">
        <f t="shared" si="8"/>
        <v>7.7441077953483946E-4</v>
      </c>
      <c r="E35" s="184">
        <f t="shared" si="8"/>
        <v>6.4370074549586391E-4</v>
      </c>
      <c r="F35" s="184">
        <f t="shared" si="8"/>
        <v>6.3832055080061817E-5</v>
      </c>
      <c r="G35" s="184">
        <f t="shared" si="8"/>
        <v>3.5561871508669817E-4</v>
      </c>
      <c r="H35" s="184">
        <f t="shared" si="8"/>
        <v>5.8741225944565338E-4</v>
      </c>
      <c r="I35" s="184">
        <f t="shared" si="8"/>
        <v>5.8541875265889515E-4</v>
      </c>
      <c r="J35" s="184">
        <f t="shared" si="8"/>
        <v>5.8313020188802405E-4</v>
      </c>
      <c r="K35" s="185">
        <f t="shared" si="8"/>
        <v>5.690156992755322E-4</v>
      </c>
      <c r="L35" s="181"/>
      <c r="M35" s="532">
        <f>AVERAGE(D54:INDEX(D54:K54,0,MATCH('RFPR cover'!$C$7,$D$6:$K$6,0)))/AVERAGE($D$66:INDEX($D$66:$K$66,0,MATCH('RFPR cover'!$C$7,$D$6:$K$6,0)))</f>
        <v>4.4884126808051884E-4</v>
      </c>
      <c r="N35" s="533">
        <f t="shared" si="10"/>
        <v>5.1786368852231731E-4</v>
      </c>
    </row>
    <row r="36" spans="2:15">
      <c r="B36" s="261" t="str">
        <f t="shared" si="9"/>
        <v>Losses discretionary reward scheme</v>
      </c>
      <c r="C36" s="263" t="s">
        <v>7</v>
      </c>
      <c r="D36" s="183">
        <f t="shared" si="8"/>
        <v>0</v>
      </c>
      <c r="E36" s="184">
        <f t="shared" si="8"/>
        <v>1.8774605076962697E-4</v>
      </c>
      <c r="F36" s="184">
        <f t="shared" si="8"/>
        <v>0</v>
      </c>
      <c r="G36" s="184">
        <f t="shared" si="8"/>
        <v>0</v>
      </c>
      <c r="H36" s="184">
        <f t="shared" si="8"/>
        <v>0</v>
      </c>
      <c r="I36" s="184">
        <f t="shared" si="8"/>
        <v>0</v>
      </c>
      <c r="J36" s="184">
        <f t="shared" si="8"/>
        <v>0</v>
      </c>
      <c r="K36" s="185">
        <f t="shared" si="8"/>
        <v>0</v>
      </c>
      <c r="L36" s="181"/>
      <c r="M36" s="532">
        <f>AVERAGE(D55:INDEX(D55:K55,0,MATCH('RFPR cover'!$C$7,$D$6:$K$6,0)))/AVERAGE($D$66:INDEX($D$66:$K$66,0,MATCH('RFPR cover'!$C$7,$D$6:$K$6,0)))</f>
        <v>4.5661175099327889E-5</v>
      </c>
      <c r="N36" s="533">
        <f t="shared" si="10"/>
        <v>2.1841400177207337E-5</v>
      </c>
    </row>
    <row r="37" spans="2:15">
      <c r="B37" s="261" t="str">
        <f t="shared" si="9"/>
        <v xml:space="preserve">Network Innovation </v>
      </c>
      <c r="C37" s="263" t="s">
        <v>7</v>
      </c>
      <c r="D37" s="183">
        <f t="shared" si="8"/>
        <v>-1.0629357290737896E-4</v>
      </c>
      <c r="E37" s="184">
        <f t="shared" si="8"/>
        <v>-9.5698653612333003E-5</v>
      </c>
      <c r="F37" s="184">
        <f t="shared" si="8"/>
        <v>-2.5992741350755103E-4</v>
      </c>
      <c r="G37" s="184">
        <f t="shared" si="8"/>
        <v>-2.5297174093255847E-4</v>
      </c>
      <c r="H37" s="184">
        <f t="shared" si="8"/>
        <v>-2.4954148345500833E-4</v>
      </c>
      <c r="I37" s="184">
        <f t="shared" si="8"/>
        <v>-2.4615617007416843E-4</v>
      </c>
      <c r="J37" s="184">
        <f t="shared" si="8"/>
        <v>-2.4280771787776932E-4</v>
      </c>
      <c r="K37" s="185">
        <f t="shared" si="8"/>
        <v>-2.3791689305093758E-4</v>
      </c>
      <c r="L37" s="181"/>
      <c r="M37" s="532">
        <f>AVERAGE(D56:INDEX(D56:K56,0,MATCH('RFPR cover'!$C$7,$D$6:$K$6,0)))/AVERAGE($D$66:INDEX($D$66:$K$66,0,MATCH('RFPR cover'!$C$7,$D$6:$K$6,0)))</f>
        <v>-1.8212333094075507E-4</v>
      </c>
      <c r="N37" s="533">
        <f t="shared" si="10"/>
        <v>-2.1443106485157513E-4</v>
      </c>
    </row>
    <row r="38" spans="2:15">
      <c r="B38" s="261" t="str">
        <f>B57</f>
        <v>Penalties and fines</v>
      </c>
      <c r="C38" s="263" t="s">
        <v>7</v>
      </c>
      <c r="D38" s="193">
        <f t="shared" si="8"/>
        <v>-2.0322245810410733E-4</v>
      </c>
      <c r="E38" s="194">
        <f t="shared" si="8"/>
        <v>-1.5875207771878444E-4</v>
      </c>
      <c r="F38" s="194">
        <f t="shared" si="8"/>
        <v>-1.564767137719831E-4</v>
      </c>
      <c r="G38" s="194">
        <f t="shared" si="8"/>
        <v>-2.1155301827023871E-4</v>
      </c>
      <c r="H38" s="194">
        <f t="shared" si="8"/>
        <v>-2.0270626962066012E-4</v>
      </c>
      <c r="I38" s="194">
        <f t="shared" si="8"/>
        <v>-2.0141712536566163E-4</v>
      </c>
      <c r="J38" s="194">
        <f t="shared" si="8"/>
        <v>-1.947388833817447E-4</v>
      </c>
      <c r="K38" s="195">
        <f t="shared" si="8"/>
        <v>-1.84356326415422E-4</v>
      </c>
      <c r="L38" s="181"/>
      <c r="M38" s="532">
        <f>AVERAGE(D57:INDEX(D57:K57,0,MATCH('RFPR cover'!$C$7,$D$6:$K$6,0)))/AVERAGE($D$66:INDEX($D$66:$K$66,0,MATCH('RFPR cover'!$C$7,$D$6:$K$6,0)))</f>
        <v>-1.8259772842918448E-4</v>
      </c>
      <c r="N38" s="533">
        <f t="shared" si="10"/>
        <v>-1.8944099951142987E-4</v>
      </c>
    </row>
    <row r="39" spans="2:15">
      <c r="B39" s="262" t="str">
        <f>B58</f>
        <v>RoRE - Operational performance</v>
      </c>
      <c r="C39" s="263" t="s">
        <v>7</v>
      </c>
      <c r="D39" s="196">
        <f t="shared" ref="D39:K39" si="11">SUM(D29:D38)</f>
        <v>4.7923883295620091E-2</v>
      </c>
      <c r="E39" s="197">
        <f t="shared" si="11"/>
        <v>5.5251937226000532E-2</v>
      </c>
      <c r="F39" s="197">
        <f t="shared" si="11"/>
        <v>5.4066566028930882E-2</v>
      </c>
      <c r="G39" s="197">
        <f t="shared" si="11"/>
        <v>5.7993203345110753E-2</v>
      </c>
      <c r="H39" s="197">
        <f t="shared" si="11"/>
        <v>6.4695309922551597E-2</v>
      </c>
      <c r="I39" s="197">
        <f t="shared" si="11"/>
        <v>5.9778167096512597E-2</v>
      </c>
      <c r="J39" s="197">
        <f t="shared" si="11"/>
        <v>5.340522940226379E-2</v>
      </c>
      <c r="K39" s="198">
        <f t="shared" si="11"/>
        <v>5.75268518907881E-2</v>
      </c>
      <c r="L39" s="182"/>
      <c r="M39" s="199">
        <f>SUM(M29:M38)</f>
        <v>5.3956300007010821E-2</v>
      </c>
      <c r="N39" s="201">
        <f>SUM(N29:N38)</f>
        <v>5.6499612099203587E-2</v>
      </c>
    </row>
    <row r="40" spans="2:15">
      <c r="B40" s="261" t="s">
        <v>462</v>
      </c>
      <c r="C40" s="263" t="s">
        <v>7</v>
      </c>
      <c r="D40" s="183">
        <f>(D59+D60)/D$66</f>
        <v>-1.3957837495789721E-2</v>
      </c>
      <c r="E40" s="184">
        <f t="shared" ref="E40:K40" si="12">(E59+E60)/E$66</f>
        <v>-7.000749733556395E-3</v>
      </c>
      <c r="F40" s="184">
        <f t="shared" si="12"/>
        <v>2.8243451764812656E-3</v>
      </c>
      <c r="G40" s="184">
        <f t="shared" si="12"/>
        <v>-2.4827105873635718E-3</v>
      </c>
      <c r="H40" s="184">
        <f t="shared" si="12"/>
        <v>-4.491230905976756E-3</v>
      </c>
      <c r="I40" s="184">
        <f t="shared" si="12"/>
        <v>4.1415832641479283E-3</v>
      </c>
      <c r="J40" s="184">
        <f t="shared" si="12"/>
        <v>6.3831577754804485E-3</v>
      </c>
      <c r="K40" s="185">
        <f t="shared" si="12"/>
        <v>8.8778827070401453E-3</v>
      </c>
      <c r="L40" s="181"/>
      <c r="M40" s="532">
        <f>(AVERAGE(D59:INDEX(D59:K59,0,MATCH('RFPR cover'!$C$7,$D$6:$K$6,0)))+AVERAGE(D60:INDEX(D60:K60,0,MATCH('RFPR cover'!$C$7,$D$6:$K$6,0))))/AVERAGE($D$66:INDEX($D$66:$K$66,0,MATCH('RFPR cover'!$C$7,$D$6:$K$6,0)))</f>
        <v>-4.9072264187266599E-3</v>
      </c>
      <c r="N40" s="533">
        <f>(AVERAGE(D59:K59)+AVERAGE(D60:K60))/AVERAGE($D$66:$K$66)</f>
        <v>-3.7844103385093375E-4</v>
      </c>
    </row>
    <row r="41" spans="2:15">
      <c r="B41" s="261" t="s">
        <v>463</v>
      </c>
      <c r="C41" s="263" t="s">
        <v>7</v>
      </c>
      <c r="D41" s="183">
        <f>(D61+D62)/D$66</f>
        <v>-3.4168318656494102E-3</v>
      </c>
      <c r="E41" s="184">
        <f t="shared" ref="E41:K41" si="13">(E61+E62)/E$66</f>
        <v>-1.1010251689148518E-3</v>
      </c>
      <c r="F41" s="184">
        <f t="shared" si="13"/>
        <v>4.0310966436617832E-3</v>
      </c>
      <c r="G41" s="184">
        <f t="shared" si="13"/>
        <v>2.2483210588860338E-3</v>
      </c>
      <c r="H41" s="184">
        <f t="shared" si="13"/>
        <v>-2.7024430338249561E-4</v>
      </c>
      <c r="I41" s="184">
        <f t="shared" si="13"/>
        <v>9.345506104955348E-4</v>
      </c>
      <c r="J41" s="184">
        <f t="shared" si="13"/>
        <v>1.3865457918673639E-3</v>
      </c>
      <c r="K41" s="185">
        <f t="shared" si="13"/>
        <v>1.3797952481505525E-3</v>
      </c>
      <c r="L41" s="181"/>
      <c r="M41" s="532">
        <f>(AVERAGE(D61:INDEX(D61:K61,0,MATCH('RFPR cover'!$C$7,$D$6:$K$6,0)))+AVERAGE(D62:INDEX(D62:K62,0,MATCH('RFPR cover'!$C$7,$D$6:$K$6,0))))/AVERAGE($D$66:INDEX($D$66:$K$66,0,MATCH('RFPR cover'!$C$7,$D$6:$K$6,0)))</f>
        <v>5.6398359014298244E-4</v>
      </c>
      <c r="N41" s="533">
        <f>(AVERAGE(D61:K61)+AVERAGE(D62:K62))/AVERAGE($D$66:$K$66)</f>
        <v>7.1989780990456317E-4</v>
      </c>
    </row>
    <row r="42" spans="2:15">
      <c r="B42" s="262" t="str">
        <f>B63</f>
        <v>RoRE - including financing and tax</v>
      </c>
      <c r="C42" s="263" t="s">
        <v>7</v>
      </c>
      <c r="D42" s="199">
        <f>SUM(D39:D41)</f>
        <v>3.054921393418096E-2</v>
      </c>
      <c r="E42" s="200">
        <f t="shared" ref="E42:K42" si="14">SUM(E39:E41)</f>
        <v>4.7150162323529282E-2</v>
      </c>
      <c r="F42" s="200">
        <f t="shared" si="14"/>
        <v>6.0922007849073929E-2</v>
      </c>
      <c r="G42" s="200">
        <f t="shared" si="14"/>
        <v>5.7758813816633212E-2</v>
      </c>
      <c r="H42" s="200">
        <f t="shared" si="14"/>
        <v>5.9933834713192344E-2</v>
      </c>
      <c r="I42" s="200">
        <f t="shared" si="14"/>
        <v>6.4854300971156062E-2</v>
      </c>
      <c r="J42" s="200">
        <f t="shared" si="14"/>
        <v>6.1174932969611608E-2</v>
      </c>
      <c r="K42" s="201">
        <f t="shared" si="14"/>
        <v>6.7784529845978811E-2</v>
      </c>
      <c r="L42" s="182"/>
      <c r="M42" s="199">
        <f>SUM(M39:M41)</f>
        <v>4.9613057178427143E-2</v>
      </c>
      <c r="N42" s="201">
        <f>SUM(N39:N41)</f>
        <v>5.6841068875257215E-2</v>
      </c>
    </row>
    <row r="43" spans="2:15" s="32" customFormat="1">
      <c r="B43" s="495"/>
      <c r="C43" s="496"/>
      <c r="D43" s="497"/>
      <c r="E43" s="497"/>
      <c r="F43" s="497"/>
      <c r="G43" s="497"/>
      <c r="H43" s="497"/>
      <c r="I43" s="497"/>
      <c r="J43" s="497"/>
      <c r="K43" s="497"/>
      <c r="L43" s="498"/>
      <c r="M43" s="497"/>
      <c r="N43" s="497"/>
    </row>
    <row r="44" spans="2:15" s="32" customFormat="1">
      <c r="B44" s="495"/>
      <c r="C44" s="496"/>
      <c r="D44" s="497"/>
      <c r="E44" s="497"/>
      <c r="F44" s="497"/>
      <c r="G44" s="497"/>
      <c r="H44" s="497"/>
      <c r="I44" s="497"/>
      <c r="J44" s="497"/>
      <c r="K44" s="497"/>
      <c r="L44" s="498"/>
      <c r="M44" s="497"/>
      <c r="N44" s="497"/>
    </row>
    <row r="45" spans="2:15" s="32" customFormat="1">
      <c r="B45" s="550" t="s">
        <v>398</v>
      </c>
      <c r="C45" s="551"/>
      <c r="D45" s="552"/>
      <c r="E45" s="552"/>
      <c r="F45" s="552"/>
      <c r="G45" s="552"/>
      <c r="H45" s="552"/>
      <c r="I45" s="552"/>
      <c r="J45" s="552"/>
      <c r="K45" s="552"/>
      <c r="L45" s="553"/>
      <c r="M45" s="552"/>
      <c r="N45" s="552"/>
      <c r="O45" s="226"/>
    </row>
    <row r="46" spans="2:15" s="32" customFormat="1">
      <c r="B46" s="555" t="str">
        <f>"Input values provided in "&amp;'RFPR cover'!C14&amp;" prices"</f>
        <v>Input values provided in £m 12/13 prices</v>
      </c>
      <c r="C46" s="554"/>
      <c r="D46" s="554"/>
      <c r="E46" s="554"/>
      <c r="F46" s="554"/>
      <c r="G46" s="554"/>
      <c r="H46" s="554"/>
      <c r="I46" s="554"/>
      <c r="J46" s="554"/>
      <c r="K46" s="554"/>
      <c r="L46" s="554"/>
      <c r="M46" s="554"/>
      <c r="N46" s="554"/>
      <c r="O46" s="554"/>
    </row>
    <row r="48" spans="2:15">
      <c r="B48" s="256" t="s">
        <v>228</v>
      </c>
      <c r="C48" s="360" t="str">
        <f>'RFPR cover'!$C$14</f>
        <v>£m 12/13</v>
      </c>
      <c r="D48" s="186">
        <f>'R9 - RAV'!D50</f>
        <v>31.061764321358304</v>
      </c>
      <c r="E48" s="187">
        <f>'R9 - RAV'!E50</f>
        <v>31.644267361256443</v>
      </c>
      <c r="F48" s="187">
        <f>'R9 - RAV'!F50</f>
        <v>31.993505946572125</v>
      </c>
      <c r="G48" s="187">
        <f>'R9 - RAV'!G50</f>
        <v>32.365146368187709</v>
      </c>
      <c r="H48" s="187">
        <f>'R9 - RAV'!H50</f>
        <v>32.815782309664257</v>
      </c>
      <c r="I48" s="187">
        <f>'R9 - RAV'!I50</f>
        <v>33.253606709008253</v>
      </c>
      <c r="J48" s="187">
        <f>'R9 - RAV'!J50</f>
        <v>33.737521867876154</v>
      </c>
      <c r="K48" s="188">
        <f>'R9 - RAV'!K50</f>
        <v>34.328607415403418</v>
      </c>
      <c r="M48" s="96">
        <f>SUM(D48:INDEX(D48:K48,0,MATCH('RFPR cover'!$C$7,$D$6:$K$6,0)))</f>
        <v>127.06468399737459</v>
      </c>
      <c r="N48" s="96">
        <f>SUM(D48:K48)</f>
        <v>261.20020229932663</v>
      </c>
    </row>
    <row r="49" spans="2:14">
      <c r="B49" s="256" t="s">
        <v>102</v>
      </c>
      <c r="C49" s="360" t="str">
        <f>'RFPR cover'!$C$14</f>
        <v>£m 12/13</v>
      </c>
      <c r="D49" s="260">
        <f>'R4 - Totex'!D35+'R4 - Totex'!D63</f>
        <v>-7.4670526612034109</v>
      </c>
      <c r="E49" s="260">
        <f>'R4 - Totex'!E35+'R4 - Totex'!E63</f>
        <v>-2.4657126113767411</v>
      </c>
      <c r="F49" s="260">
        <f>'R4 - Totex'!F35+'R4 - Totex'!F63</f>
        <v>-0.73306513053241851</v>
      </c>
      <c r="G49" s="260">
        <f>'R4 - Totex'!G35+'R4 - Totex'!G63</f>
        <v>2.8300361543094787</v>
      </c>
      <c r="H49" s="260">
        <f>'R4 - Totex'!H35+'R4 - Totex'!H63</f>
        <v>7.2611974890366735</v>
      </c>
      <c r="I49" s="260">
        <f>'R4 - Totex'!I35+'R4 - Totex'!I63</f>
        <v>2.7244527621233896</v>
      </c>
      <c r="J49" s="260">
        <f>'R4 - Totex'!J35+'R4 - Totex'!J63</f>
        <v>-3.1313234416753808</v>
      </c>
      <c r="K49" s="260">
        <f>'R4 - Totex'!K35+'R4 - Totex'!K63</f>
        <v>0.96470443392779615</v>
      </c>
      <c r="M49" s="96">
        <f>SUM(D49:INDEX(D49:K49,0,MATCH('RFPR cover'!$C$7,$D$6:$K$6,0)))</f>
        <v>-7.8357942488030918</v>
      </c>
      <c r="N49" s="96">
        <f>SUM(D49:K49)</f>
        <v>-1.6763005390613372E-2</v>
      </c>
    </row>
    <row r="50" spans="2:14">
      <c r="B50" s="258" t="s">
        <v>110</v>
      </c>
      <c r="C50" s="360" t="str">
        <f>'RFPR cover'!$C$14</f>
        <v>£m 12/13</v>
      </c>
      <c r="D50" s="251">
        <f>'R4 - Totex'!D79</f>
        <v>-0.86626036283610952</v>
      </c>
      <c r="E50" s="189">
        <f>'R4 - Totex'!E79</f>
        <v>-0.81019773780890636</v>
      </c>
      <c r="F50" s="189">
        <f>'R4 - Totex'!F79</f>
        <v>-0.78919084241395188</v>
      </c>
      <c r="G50" s="189">
        <f>'R4 - Totex'!G79</f>
        <v>-0.79061873066036981</v>
      </c>
      <c r="H50" s="189">
        <f>'R4 - Totex'!H79</f>
        <v>-0.74432653414361061</v>
      </c>
      <c r="I50" s="189">
        <f>'R4 - Totex'!I79</f>
        <v>-0.70697274816976396</v>
      </c>
      <c r="J50" s="189">
        <f>'R4 - Totex'!J79</f>
        <v>-0.65350946162011747</v>
      </c>
      <c r="K50" s="190">
        <f>'R4 - Totex'!K79</f>
        <v>-0.66429758885743451</v>
      </c>
      <c r="M50" s="96">
        <f>SUM(D50:INDEX(D50:K50,0,MATCH('RFPR cover'!$C$7,$D$6:$K$6,0)))</f>
        <v>-3.2562676737193375</v>
      </c>
      <c r="N50" s="96">
        <f t="shared" ref="N50:N57" si="15">SUM(D50:K50)</f>
        <v>-6.0253740065102637</v>
      </c>
    </row>
    <row r="51" spans="2:14">
      <c r="B51" s="259" t="str">
        <f>'R5 - Output Incentives'!B39</f>
        <v>Broad measure of customer service</v>
      </c>
      <c r="C51" s="360" t="str">
        <f>'RFPR cover'!$C$14</f>
        <v>£m 12/13</v>
      </c>
      <c r="D51" s="251">
        <f>'R5 - Output Incentives'!D39</f>
        <v>1.2110034753373273</v>
      </c>
      <c r="E51" s="189">
        <f>'R5 - Output Incentives'!E39</f>
        <v>1.9767278568831024</v>
      </c>
      <c r="F51" s="189">
        <f>'R5 - Output Incentives'!F39</f>
        <v>2.0747957793847651</v>
      </c>
      <c r="G51" s="189">
        <f>'R5 - Output Incentives'!G39</f>
        <v>2.2486884017197775</v>
      </c>
      <c r="H51" s="189">
        <f>'R5 - Output Incentives'!H39</f>
        <v>3.5235160000000003</v>
      </c>
      <c r="I51" s="189">
        <f>'R5 - Output Incentives'!I39</f>
        <v>3.6354000000000006</v>
      </c>
      <c r="J51" s="189">
        <f>'R5 - Output Incentives'!J39</f>
        <v>3.7681999999999998</v>
      </c>
      <c r="K51" s="190">
        <f>'R5 - Output Incentives'!K39</f>
        <v>3.7681999999999998</v>
      </c>
      <c r="M51" s="96">
        <f>SUM(D51:INDEX(D51:K51,0,MATCH('RFPR cover'!$C$7,$D$6:$K$6,0)))</f>
        <v>7.5112155133249718</v>
      </c>
      <c r="N51" s="96">
        <f t="shared" si="15"/>
        <v>22.206531513324972</v>
      </c>
    </row>
    <row r="52" spans="2:14">
      <c r="B52" s="259" t="str">
        <f>'R5 - Output Incentives'!B40</f>
        <v>Interruptions-related quality of service</v>
      </c>
      <c r="C52" s="360" t="str">
        <f>'RFPR cover'!$C$14</f>
        <v>£m 12/13</v>
      </c>
      <c r="D52" s="251">
        <f>'R5 - Output Incentives'!D40</f>
        <v>10.600476480000001</v>
      </c>
      <c r="E52" s="189">
        <f>'R5 - Output Incentives'!E40</f>
        <v>10.935</v>
      </c>
      <c r="F52" s="189">
        <f>'R5 - Output Incentives'!F40</f>
        <v>10.88982144</v>
      </c>
      <c r="G52" s="189">
        <f>'R5 - Output Incentives'!G40</f>
        <v>11.189258219999999</v>
      </c>
      <c r="H52" s="189">
        <f>'R5 - Output Incentives'!H40</f>
        <v>11.205</v>
      </c>
      <c r="I52" s="189">
        <f>'R5 - Output Incentives'!I40</f>
        <v>11.205</v>
      </c>
      <c r="J52" s="189">
        <f>'R5 - Output Incentives'!J40</f>
        <v>11.205</v>
      </c>
      <c r="K52" s="190">
        <f>'R5 - Output Incentives'!K40</f>
        <v>11.205</v>
      </c>
      <c r="M52" s="96">
        <f>SUM(D52:INDEX(D52:K52,0,MATCH('RFPR cover'!$C$7,$D$6:$K$6,0)))</f>
        <v>43.614556139999998</v>
      </c>
      <c r="N52" s="96">
        <f t="shared" si="15"/>
        <v>88.434556139999998</v>
      </c>
    </row>
    <row r="53" spans="2:14">
      <c r="B53" s="259" t="str">
        <f>'R5 - Output Incentives'!B41</f>
        <v>Incentive on connections engagement</v>
      </c>
      <c r="C53" s="360" t="str">
        <f>'RFPR cover'!$C$14</f>
        <v>£m 12/13</v>
      </c>
      <c r="D53" s="251">
        <f>'R5 - Output Incentives'!D41</f>
        <v>0</v>
      </c>
      <c r="E53" s="189">
        <f>'R5 - Output Incentives'!E41</f>
        <v>0</v>
      </c>
      <c r="F53" s="189">
        <f>'R5 - Output Incentives'!F41</f>
        <v>0</v>
      </c>
      <c r="G53" s="189">
        <f>'R5 - Output Incentives'!G41</f>
        <v>0</v>
      </c>
      <c r="H53" s="189">
        <f>'R5 - Output Incentives'!H41</f>
        <v>0</v>
      </c>
      <c r="I53" s="189">
        <f>'R5 - Output Incentives'!I41</f>
        <v>0</v>
      </c>
      <c r="J53" s="189">
        <f>'R5 - Output Incentives'!J41</f>
        <v>0</v>
      </c>
      <c r="K53" s="190">
        <f>'R5 - Output Incentives'!K41</f>
        <v>0</v>
      </c>
      <c r="M53" s="96">
        <f>SUM(D53:INDEX(D53:K53,0,MATCH('RFPR cover'!$C$7,$D$6:$K$6,0)))</f>
        <v>0</v>
      </c>
      <c r="N53" s="96">
        <f t="shared" si="15"/>
        <v>0</v>
      </c>
    </row>
    <row r="54" spans="2:14">
      <c r="B54" s="259" t="str">
        <f>'R5 - Output Incentives'!B42</f>
        <v>Time to Connect Incentive</v>
      </c>
      <c r="C54" s="360" t="str">
        <f>'RFPR cover'!$C$14</f>
        <v>£m 12/13</v>
      </c>
      <c r="D54" s="251">
        <f>'R5 - Output Incentives'!D42</f>
        <v>0.56360440677966106</v>
      </c>
      <c r="E54" s="189">
        <f>'R5 - Output Incentives'!E42</f>
        <v>0.48599999999999999</v>
      </c>
      <c r="F54" s="189">
        <f>'R5 - Output Incentives'!F42</f>
        <v>5.0949000000000147E-2</v>
      </c>
      <c r="G54" s="189">
        <f>'R5 - Output Incentives'!G42</f>
        <v>0.2928240000000002</v>
      </c>
      <c r="H54" s="189">
        <f>'R5 - Output Incentives'!H42</f>
        <v>0.49188540981830003</v>
      </c>
      <c r="I54" s="189">
        <f>'R5 - Output Incentives'!I42</f>
        <v>0.49188540981830003</v>
      </c>
      <c r="J54" s="189">
        <f>'R5 - Output Incentives'!J42</f>
        <v>0.49188540981830003</v>
      </c>
      <c r="K54" s="190">
        <f>'R5 - Output Incentives'!K42</f>
        <v>0.49188540981830003</v>
      </c>
      <c r="M54" s="96">
        <f>SUM(D54:INDEX(D54:K54,0,MATCH('RFPR cover'!$C$7,$D$6:$K$6,0)))</f>
        <v>1.3933774067796614</v>
      </c>
      <c r="N54" s="96">
        <f t="shared" si="15"/>
        <v>3.3609190460528615</v>
      </c>
    </row>
    <row r="55" spans="2:14">
      <c r="B55" s="259" t="str">
        <f>'R5 - Output Incentives'!B43</f>
        <v>Losses discretionary reward scheme</v>
      </c>
      <c r="C55" s="360" t="str">
        <f>'RFPR cover'!$C$14</f>
        <v>£m 12/13</v>
      </c>
      <c r="D55" s="251">
        <f>'R5 - Output Incentives'!D43</f>
        <v>0</v>
      </c>
      <c r="E55" s="189">
        <f>'R5 - Output Incentives'!E43</f>
        <v>0.14174999999999999</v>
      </c>
      <c r="F55" s="189">
        <f>'R5 - Output Incentives'!F43</f>
        <v>0</v>
      </c>
      <c r="G55" s="189">
        <f>'R5 - Output Incentives'!G43</f>
        <v>0</v>
      </c>
      <c r="H55" s="189">
        <f>'R5 - Output Incentives'!H43</f>
        <v>0</v>
      </c>
      <c r="I55" s="189">
        <f>'R5 - Output Incentives'!I43</f>
        <v>0</v>
      </c>
      <c r="J55" s="189">
        <f>'R5 - Output Incentives'!J43</f>
        <v>0</v>
      </c>
      <c r="K55" s="190">
        <f>'R5 - Output Incentives'!K43</f>
        <v>0</v>
      </c>
      <c r="M55" s="96">
        <f>SUM(D55:INDEX(D55:K55,0,MATCH('RFPR cover'!$C$7,$D$6:$K$6,0)))</f>
        <v>0.14174999999999999</v>
      </c>
      <c r="N55" s="96">
        <f t="shared" si="15"/>
        <v>0.14174999999999999</v>
      </c>
    </row>
    <row r="56" spans="2:14">
      <c r="B56" s="256" t="s">
        <v>504</v>
      </c>
      <c r="C56" s="360" t="str">
        <f>'RFPR cover'!$C$14</f>
        <v>£m 12/13</v>
      </c>
      <c r="D56" s="251">
        <f>-'R6 - Innovation'!D28</f>
        <v>-7.7358848412386841E-2</v>
      </c>
      <c r="E56" s="189">
        <f>-'R6 - Innovation'!E28</f>
        <v>-7.2253366150393378E-2</v>
      </c>
      <c r="F56" s="189">
        <f>-'R6 - Innovation'!F28</f>
        <v>-0.20746695017395372</v>
      </c>
      <c r="G56" s="189">
        <f>-'R6 - Innovation'!G28</f>
        <v>-0.2083023022249437</v>
      </c>
      <c r="H56" s="189">
        <f>-'R6 - Innovation'!H28</f>
        <v>-0.20896025386288281</v>
      </c>
      <c r="I56" s="189">
        <f>-'R6 - Innovation'!I28</f>
        <v>-0.20682738304214407</v>
      </c>
      <c r="J56" s="189">
        <f>-'R6 - Innovation'!J28</f>
        <v>-0.20481459102728322</v>
      </c>
      <c r="K56" s="190">
        <f>-'R6 - Innovation'!K28</f>
        <v>-0.20566716979875307</v>
      </c>
      <c r="M56" s="96">
        <f>SUM(D56:INDEX(D56:K56,0,MATCH('RFPR cover'!$C$7,$D$6:$K$6,0)))</f>
        <v>-0.56538146696167768</v>
      </c>
      <c r="N56" s="96">
        <f t="shared" si="15"/>
        <v>-1.3916508646927408</v>
      </c>
    </row>
    <row r="57" spans="2:14">
      <c r="B57" s="256" t="s">
        <v>35</v>
      </c>
      <c r="C57" s="360" t="str">
        <f>'RFPR cover'!$C$14</f>
        <v>£m 12/13</v>
      </c>
      <c r="D57" s="252">
        <f>-'R13 - Other Activities '!D8</f>
        <v>-0.1479022193013225</v>
      </c>
      <c r="E57" s="252">
        <f>-'R13 - Other Activities '!E8</f>
        <v>-0.11985928292174858</v>
      </c>
      <c r="F57" s="252">
        <f>-'R13 - Other Activities '!F8</f>
        <v>-0.12489543192631718</v>
      </c>
      <c r="G57" s="252">
        <f>-'R13 - Other Activities '!G8</f>
        <v>-0.174197246640582</v>
      </c>
      <c r="H57" s="252">
        <f>-'R13 - Other Activities '!H8</f>
        <v>-0.16974153144027479</v>
      </c>
      <c r="I57" s="252">
        <f>-'R13 - Other Activities '!I8</f>
        <v>-0.16923637106760012</v>
      </c>
      <c r="J57" s="252">
        <f>-'R13 - Other Activities '!J8</f>
        <v>-0.16426728567590401</v>
      </c>
      <c r="K57" s="252">
        <f>-'R13 - Other Activities '!K8</f>
        <v>-0.15936675787135968</v>
      </c>
      <c r="M57" s="96">
        <f>SUM(D57:INDEX(D57:K57,0,MATCH('RFPR cover'!$C$7,$D$6:$K$6,0)))</f>
        <v>-0.5668541807899703</v>
      </c>
      <c r="N57" s="96">
        <f t="shared" si="15"/>
        <v>-1.229466126845109</v>
      </c>
    </row>
    <row r="58" spans="2:14">
      <c r="B58" s="257" t="s">
        <v>103</v>
      </c>
      <c r="C58" s="360" t="str">
        <f>'RFPR cover'!$C$14</f>
        <v>£m 12/13</v>
      </c>
      <c r="D58" s="253">
        <f t="shared" ref="D58:K58" si="16">SUM(D48:D57)</f>
        <v>34.878274591722068</v>
      </c>
      <c r="E58" s="150">
        <f t="shared" si="16"/>
        <v>41.715722219881755</v>
      </c>
      <c r="F58" s="150">
        <f t="shared" si="16"/>
        <v>43.154453810910248</v>
      </c>
      <c r="G58" s="150">
        <f t="shared" si="16"/>
        <v>47.752834864691074</v>
      </c>
      <c r="H58" s="150">
        <f t="shared" si="16"/>
        <v>54.174352889072466</v>
      </c>
      <c r="I58" s="150">
        <f t="shared" si="16"/>
        <v>50.227308378670443</v>
      </c>
      <c r="J58" s="150">
        <f t="shared" si="16"/>
        <v>45.048692497695761</v>
      </c>
      <c r="K58" s="151">
        <f t="shared" si="16"/>
        <v>49.72906574262197</v>
      </c>
      <c r="M58" s="149">
        <f>SUM(M48:M57)</f>
        <v>167.50128548720514</v>
      </c>
      <c r="N58" s="151">
        <f>SUM(N48:N57)</f>
        <v>366.68070499526573</v>
      </c>
    </row>
    <row r="59" spans="2:14">
      <c r="B59" s="256" t="s">
        <v>443</v>
      </c>
      <c r="C59" s="360" t="str">
        <f>'RFPR cover'!$C$14</f>
        <v>£m 12/13</v>
      </c>
      <c r="D59" s="251">
        <f>'R7 - Financing'!D87+'R10 - Tax'!D100</f>
        <v>-17.888723670025968</v>
      </c>
      <c r="E59" s="251">
        <f>'R7 - Financing'!E87+'R10 - Tax'!E100</f>
        <v>-11.324632923376708</v>
      </c>
      <c r="F59" s="251">
        <f>'R7 - Financing'!F87+'R10 - Tax'!F100</f>
        <v>-1.0012084496591285</v>
      </c>
      <c r="G59" s="251">
        <f>'R7 - Financing'!G87+'R10 - Tax'!G100</f>
        <v>-7.2141199286468014</v>
      </c>
      <c r="H59" s="251">
        <f>'R7 - Financing'!H87+'R10 - Tax'!H100</f>
        <v>-9.5906872531428657</v>
      </c>
      <c r="I59" s="251">
        <f>'R7 - Financing'!I87+'R10 - Tax'!I100</f>
        <v>0.73851393681868882</v>
      </c>
      <c r="J59" s="251">
        <f>'R7 - Financing'!J87+'R10 - Tax'!J100</f>
        <v>3.8875667190006458</v>
      </c>
      <c r="K59" s="251">
        <f>'R7 - Financing'!K87+'R10 - Tax'!K100</f>
        <v>7.2738298544654381</v>
      </c>
      <c r="M59" s="96">
        <f>SUM(D59:INDEX(D59:K59,0,MATCH('RFPR cover'!$C$7,$D$6:$K$6,0)))</f>
        <v>-37.428684971708606</v>
      </c>
      <c r="N59" s="96">
        <f>SUM(D59:K59)</f>
        <v>-35.119461714566697</v>
      </c>
    </row>
    <row r="60" spans="2:14">
      <c r="B60" s="256" t="s">
        <v>438</v>
      </c>
      <c r="C60" s="360" t="str">
        <f>'RFPR cover'!$C$14</f>
        <v>£m 12/13</v>
      </c>
      <c r="D60" s="251">
        <f>'R7 - Financing'!D89+'R10 - Tax'!D101</f>
        <v>7.7304214748179989</v>
      </c>
      <c r="E60" s="251">
        <f>'R7 - Financing'!E89+'R10 - Tax'!E101</f>
        <v>6.0390023033788172</v>
      </c>
      <c r="F60" s="251">
        <f>'R7 - Financing'!F89+'R10 - Tax'!F101</f>
        <v>3.255523498987555</v>
      </c>
      <c r="G60" s="251">
        <f>'R7 - Financing'!G89+'R10 - Tax'!G101</f>
        <v>5.1698033215837773</v>
      </c>
      <c r="H60" s="251">
        <f>'R7 - Financing'!H89+'R10 - Tax'!H101</f>
        <v>5.8298345994038927</v>
      </c>
      <c r="I60" s="251">
        <f>'R7 - Financing'!I89+'R10 - Tax'!I101</f>
        <v>2.7413615743934008</v>
      </c>
      <c r="J60" s="251">
        <f>'R7 - Financing'!J89+'R10 - Tax'!J101</f>
        <v>1.4967919853869338</v>
      </c>
      <c r="K60" s="251">
        <f>'R7 - Financing'!K89+'R10 - Tax'!K101</f>
        <v>0.40065255301673974</v>
      </c>
      <c r="M60" s="96">
        <f>SUM(D60:INDEX(D60:K60,0,MATCH('RFPR cover'!$C$7,$D$6:$K$6,0)))</f>
        <v>22.194750598768149</v>
      </c>
      <c r="N60" s="96">
        <f>SUM(D60:K60)</f>
        <v>32.663391310969118</v>
      </c>
    </row>
    <row r="61" spans="2:14">
      <c r="B61" s="256" t="s">
        <v>444</v>
      </c>
      <c r="C61" s="360" t="str">
        <f>'RFPR cover'!$C$14</f>
        <v>£m 12/13</v>
      </c>
      <c r="D61" s="251">
        <f>'R10 - Tax'!D93-'R10 - Tax'!D100</f>
        <v>-2.486718351030575</v>
      </c>
      <c r="E61" s="251">
        <f>'R10 - Tax'!E93-'R10 - Tax'!E100</f>
        <v>-0.83128415779667009</v>
      </c>
      <c r="F61" s="251">
        <f>'R10 - Tax'!F93-'R10 - Tax'!F100</f>
        <v>3.2175110552264847</v>
      </c>
      <c r="G61" s="251">
        <f>'R10 - Tax'!G93-'R10 - Tax'!G100</f>
        <v>1.8513152930850074</v>
      </c>
      <c r="H61" s="251">
        <f>'R10 - Tax'!H93-'R10 - Tax'!H100</f>
        <v>-0.22629631537790251</v>
      </c>
      <c r="I61" s="251">
        <f>'R10 - Tax'!I93-'R10 - Tax'!I100</f>
        <v>0.78523588107090658</v>
      </c>
      <c r="J61" s="251">
        <f>'R10 - Tax'!J93-'R10 - Tax'!J100</f>
        <v>1.1695872428769918</v>
      </c>
      <c r="K61" s="251">
        <f>'R10 - Tax'!K93-'R10 - Tax'!K100</f>
        <v>1.192763489594393</v>
      </c>
      <c r="M61" s="96">
        <f>SUM(D61:INDEX(D61:K61,0,MATCH('RFPR cover'!$C$7,$D$6:$K$6,0)))</f>
        <v>1.750823839484247</v>
      </c>
      <c r="N61" s="96">
        <f>SUM(D61:K61)</f>
        <v>4.6721141376486361</v>
      </c>
    </row>
    <row r="62" spans="2:14">
      <c r="B62" s="256" t="s">
        <v>439</v>
      </c>
      <c r="C62" s="360" t="str">
        <f>'RFPR cover'!$C$14</f>
        <v>£m 12/13</v>
      </c>
      <c r="D62" s="251">
        <f>'R10 - Tax'!D95-'R10 - Tax'!D101</f>
        <v>0</v>
      </c>
      <c r="E62" s="251">
        <f>'R10 - Tax'!E95-'R10 - Tax'!E101</f>
        <v>0</v>
      </c>
      <c r="F62" s="251">
        <f>'R10 - Tax'!F95-'R10 - Tax'!F101</f>
        <v>0</v>
      </c>
      <c r="G62" s="251">
        <f>'R10 - Tax'!G95-'R10 - Tax'!G101</f>
        <v>0</v>
      </c>
      <c r="H62" s="251">
        <f>'R10 - Tax'!H95-'R10 - Tax'!H101</f>
        <v>0</v>
      </c>
      <c r="I62" s="251">
        <f>'R10 - Tax'!I95-'R10 - Tax'!I101</f>
        <v>0</v>
      </c>
      <c r="J62" s="251">
        <f>'R10 - Tax'!J95-'R10 - Tax'!J101</f>
        <v>0</v>
      </c>
      <c r="K62" s="251">
        <f>'R10 - Tax'!K95-'R10 - Tax'!K101</f>
        <v>0</v>
      </c>
      <c r="M62" s="96">
        <f>SUM(D62:INDEX(D62:K62,0,MATCH('RFPR cover'!$C$7,$D$6:$K$6,0)))</f>
        <v>0</v>
      </c>
      <c r="N62" s="96">
        <f>SUM(D62:K62)</f>
        <v>0</v>
      </c>
    </row>
    <row r="63" spans="2:14">
      <c r="B63" s="257" t="s">
        <v>104</v>
      </c>
      <c r="C63" s="360" t="str">
        <f>'RFPR cover'!$C$14</f>
        <v>£m 12/13</v>
      </c>
      <c r="D63" s="254">
        <f>SUM(D58:D62)</f>
        <v>22.233254045483523</v>
      </c>
      <c r="E63" s="153">
        <f t="shared" ref="E63:K63" si="17">SUM(E58:E62)</f>
        <v>35.598807442087192</v>
      </c>
      <c r="F63" s="153">
        <f t="shared" si="17"/>
        <v>48.626279915465162</v>
      </c>
      <c r="G63" s="153">
        <f t="shared" si="17"/>
        <v>47.559833550713059</v>
      </c>
      <c r="H63" s="153">
        <f t="shared" si="17"/>
        <v>50.187203919955593</v>
      </c>
      <c r="I63" s="153">
        <f t="shared" si="17"/>
        <v>54.49241977095344</v>
      </c>
      <c r="J63" s="153">
        <f t="shared" si="17"/>
        <v>51.602638444960334</v>
      </c>
      <c r="K63" s="154">
        <f t="shared" si="17"/>
        <v>58.596311639698541</v>
      </c>
      <c r="M63" s="152">
        <f>SUM(M58:M62)</f>
        <v>154.01817495374891</v>
      </c>
      <c r="N63" s="154">
        <f>SUM(N58:N62)</f>
        <v>368.89674872931681</v>
      </c>
    </row>
    <row r="64" spans="2:14">
      <c r="B64" s="256"/>
      <c r="D64" s="445"/>
    </row>
    <row r="65" spans="2:11">
      <c r="B65" s="256" t="s">
        <v>232</v>
      </c>
      <c r="C65" s="360" t="str">
        <f>'RFPR cover'!$C$14</f>
        <v>£m 12/13</v>
      </c>
      <c r="D65" s="250">
        <f>'R9 - RAV'!D46</f>
        <v>517.69607202263842</v>
      </c>
      <c r="E65" s="187">
        <f>'R9 - RAV'!E46</f>
        <v>527.40445602094076</v>
      </c>
      <c r="F65" s="187">
        <f>'R9 - RAV'!F46</f>
        <v>533.22509910953545</v>
      </c>
      <c r="G65" s="187">
        <f>'R9 - RAV'!G46</f>
        <v>539.41910613646189</v>
      </c>
      <c r="H65" s="187">
        <f>'R9 - RAV'!H46</f>
        <v>546.92970516107096</v>
      </c>
      <c r="I65" s="187">
        <f>'R9 - RAV'!I46</f>
        <v>554.22677848347087</v>
      </c>
      <c r="J65" s="187">
        <f>'R9 - RAV'!J46</f>
        <v>562.29203113126925</v>
      </c>
      <c r="K65" s="188">
        <f>'R9 - RAV'!K46</f>
        <v>572.14345692339032</v>
      </c>
    </row>
    <row r="66" spans="2:11">
      <c r="B66" s="256" t="s">
        <v>107</v>
      </c>
      <c r="C66" s="360" t="str">
        <f>'RFPR cover'!$C$14</f>
        <v>£m 12/13</v>
      </c>
      <c r="D66" s="255">
        <f>'R8 - Net Debt'!D62</f>
        <v>727.78481611296502</v>
      </c>
      <c r="E66" s="191">
        <f>'R8 - Net Debt'!E62</f>
        <v>755.00922346395316</v>
      </c>
      <c r="F66" s="191">
        <f>'R8 - Net Debt'!F62</f>
        <v>798.17264125519682</v>
      </c>
      <c r="G66" s="191">
        <f>'R8 - Net Debt'!G62</f>
        <v>823.42123059696416</v>
      </c>
      <c r="H66" s="191">
        <f>'R8 - Net Debt'!H62</f>
        <v>837.3768199569023</v>
      </c>
      <c r="I66" s="191">
        <f>'R8 - Net Debt'!I62</f>
        <v>840.22831107514253</v>
      </c>
      <c r="J66" s="191">
        <f>'R8 - Net Debt'!J62</f>
        <v>843.52586819496389</v>
      </c>
      <c r="K66" s="192">
        <f>'R8 - Net Debt'!K62</f>
        <v>864.44962844534166</v>
      </c>
    </row>
  </sheetData>
  <sheetProtection password="DA3D" sheet="1" objects="1" scenarios="1" formatCells="0" formatColumns="0" formatRows="0"/>
  <conditionalFormatting sqref="D5:K6">
    <cfRule type="expression" dxfId="51" priority="4">
      <formula>AND(D$5="Actuals",E$5="Forecast")</formula>
    </cfRule>
  </conditionalFormatting>
  <pageMargins left="0.70866141732283472" right="0.70866141732283472" top="0.74803149606299213" bottom="0.74803149606299213" header="0.31496062992125984" footer="0.31496062992125984"/>
  <pageSetup paperSize="8"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L71"/>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64.375" style="222" customWidth="1"/>
    <col min="3" max="3" width="13.375" style="143" customWidth="1"/>
    <col min="4" max="11" width="11.125" customWidth="1"/>
    <col min="12" max="12" width="5" style="43" customWidth="1"/>
  </cols>
  <sheetData>
    <row r="1" spans="1:12" s="32" customFormat="1" ht="20.25">
      <c r="A1" s="267" t="s">
        <v>119</v>
      </c>
      <c r="B1" s="799"/>
      <c r="C1" s="288"/>
      <c r="D1" s="287"/>
      <c r="E1" s="287"/>
      <c r="F1" s="287"/>
      <c r="G1" s="287"/>
      <c r="H1" s="287"/>
      <c r="I1" s="287"/>
      <c r="J1" s="287"/>
      <c r="K1" s="287"/>
      <c r="L1" s="289"/>
    </row>
    <row r="2" spans="1:12" s="32" customFormat="1" ht="20.25">
      <c r="A2" s="125" t="str">
        <f>'RFPR cover'!C5</f>
        <v>NPgY</v>
      </c>
      <c r="B2" s="413"/>
      <c r="C2" s="141"/>
      <c r="D2" s="30"/>
      <c r="E2" s="30"/>
      <c r="F2" s="30"/>
      <c r="G2" s="30"/>
      <c r="H2" s="30"/>
      <c r="I2" s="27"/>
      <c r="J2" s="27"/>
      <c r="K2" s="27"/>
      <c r="L2" s="126"/>
    </row>
    <row r="3" spans="1:12" s="32" customFormat="1" ht="20.25">
      <c r="A3" s="272">
        <f>'RFPR cover'!C7</f>
        <v>2019</v>
      </c>
      <c r="B3" s="414"/>
      <c r="C3" s="290"/>
      <c r="D3" s="273"/>
      <c r="E3" s="273"/>
      <c r="F3" s="273"/>
      <c r="G3" s="273"/>
      <c r="H3" s="273"/>
      <c r="I3" s="266"/>
      <c r="J3" s="266"/>
      <c r="K3" s="266"/>
      <c r="L3" s="274"/>
    </row>
    <row r="4" spans="1:12" s="36" customFormat="1" ht="12.75" customHeight="1">
      <c r="B4" s="234"/>
      <c r="C4" s="145"/>
      <c r="L4" s="58"/>
    </row>
    <row r="5" spans="1:12" s="2" customFormat="1">
      <c r="B5" s="133"/>
      <c r="C5" s="143"/>
      <c r="D5" s="409" t="str">
        <f>IF(D6&lt;='RFPR cover'!$C$7,"Actuals","Forecast")</f>
        <v>Actuals</v>
      </c>
      <c r="E5" s="410" t="str">
        <f>IF(E6&lt;='RFPR cover'!$C$7,"Actuals","Forecast")</f>
        <v>Actuals</v>
      </c>
      <c r="F5" s="410" t="str">
        <f>IF(F6&lt;='RFPR cover'!$C$7,"Actuals","Forecast")</f>
        <v>Actuals</v>
      </c>
      <c r="G5" s="410" t="str">
        <f>IF(G6&lt;='RFPR cover'!$C$7,"Actuals","Forecast")</f>
        <v>Actuals</v>
      </c>
      <c r="H5" s="410" t="str">
        <f>IF(H6&lt;='RFPR cover'!$C$7,"Actuals","Forecast")</f>
        <v>Forecast</v>
      </c>
      <c r="I5" s="410" t="str">
        <f>IF(I6&lt;='RFPR cover'!$C$7,"Actuals","Forecast")</f>
        <v>Forecast</v>
      </c>
      <c r="J5" s="410" t="str">
        <f>IF(J6&lt;='RFPR cover'!$C$7,"Actuals","Forecast")</f>
        <v>Forecast</v>
      </c>
      <c r="K5" s="411" t="str">
        <f>IF(K6&lt;='RFPR cover'!$C$7,"Actuals","Forecast")</f>
        <v>Forecast</v>
      </c>
      <c r="L5" s="55"/>
    </row>
    <row r="6" spans="1:12" s="2" customFormat="1">
      <c r="B6" s="133"/>
      <c r="C6" s="143"/>
      <c r="D6" s="91">
        <f>'RFPR cover'!$C$13</f>
        <v>2016</v>
      </c>
      <c r="E6" s="92">
        <f>D6+1</f>
        <v>2017</v>
      </c>
      <c r="F6" s="92">
        <f t="shared" ref="F6:K6" si="0">E6+1</f>
        <v>2018</v>
      </c>
      <c r="G6" s="92">
        <f t="shared" si="0"/>
        <v>2019</v>
      </c>
      <c r="H6" s="92">
        <f t="shared" si="0"/>
        <v>2020</v>
      </c>
      <c r="I6" s="92">
        <f t="shared" si="0"/>
        <v>2021</v>
      </c>
      <c r="J6" s="92">
        <f t="shared" si="0"/>
        <v>2022</v>
      </c>
      <c r="K6" s="92">
        <f t="shared" si="0"/>
        <v>2023</v>
      </c>
      <c r="L6" s="55"/>
    </row>
    <row r="7" spans="1:12" s="2" customFormat="1">
      <c r="B7" s="800"/>
      <c r="C7" s="159"/>
      <c r="D7" s="51"/>
      <c r="E7" s="51"/>
      <c r="F7" s="51"/>
      <c r="G7" s="51"/>
      <c r="H7" s="51"/>
      <c r="I7" s="51"/>
      <c r="J7" s="51"/>
      <c r="K7" s="51"/>
      <c r="L7" s="58"/>
    </row>
    <row r="8" spans="1:12" s="2" customFormat="1">
      <c r="B8" s="801" t="s">
        <v>155</v>
      </c>
      <c r="C8" s="157"/>
      <c r="D8" s="81"/>
      <c r="E8" s="81"/>
      <c r="F8" s="81"/>
      <c r="G8" s="81"/>
      <c r="H8" s="81"/>
      <c r="I8" s="81"/>
      <c r="J8" s="81"/>
      <c r="K8" s="81"/>
      <c r="L8" s="285"/>
    </row>
    <row r="9" spans="1:12" s="36" customFormat="1">
      <c r="A9" s="2"/>
      <c r="B9" s="802"/>
      <c r="C9" s="145"/>
      <c r="L9" s="58"/>
    </row>
    <row r="10" spans="1:12" s="2" customFormat="1">
      <c r="B10" s="803" t="s">
        <v>391</v>
      </c>
      <c r="C10" s="158" t="str">
        <f>'RFPR cover'!$C$14</f>
        <v>£m 12/13</v>
      </c>
      <c r="D10" s="621">
        <v>323.60000000000002</v>
      </c>
      <c r="E10" s="622">
        <v>322</v>
      </c>
      <c r="F10" s="622">
        <v>322</v>
      </c>
      <c r="G10" s="622">
        <v>322</v>
      </c>
      <c r="H10" s="622"/>
      <c r="I10" s="622"/>
      <c r="J10" s="622"/>
      <c r="K10" s="622"/>
      <c r="L10" s="58"/>
    </row>
    <row r="11" spans="1:12" s="2" customFormat="1">
      <c r="B11" s="803" t="s">
        <v>392</v>
      </c>
      <c r="C11" s="158" t="str">
        <f>'RFPR cover'!$C$14</f>
        <v>£m 12/13</v>
      </c>
      <c r="D11" s="623">
        <v>0</v>
      </c>
      <c r="E11" s="624">
        <v>1.2</v>
      </c>
      <c r="F11" s="624">
        <v>-2.8</v>
      </c>
      <c r="G11" s="624">
        <v>-7.9</v>
      </c>
      <c r="H11" s="624"/>
      <c r="I11" s="624"/>
      <c r="J11" s="624"/>
      <c r="K11" s="624"/>
      <c r="L11" s="58"/>
    </row>
    <row r="12" spans="1:12" s="2" customFormat="1">
      <c r="B12" s="803" t="s">
        <v>147</v>
      </c>
      <c r="C12" s="158" t="str">
        <f>'RFPR cover'!$C$14</f>
        <v>£m 12/13</v>
      </c>
      <c r="D12" s="623">
        <v>0</v>
      </c>
      <c r="E12" s="624">
        <v>0</v>
      </c>
      <c r="F12" s="624">
        <v>-7.1184018338814683</v>
      </c>
      <c r="G12" s="624">
        <v>-1.2680552279999584</v>
      </c>
      <c r="H12" s="624"/>
      <c r="I12" s="624"/>
      <c r="J12" s="624"/>
      <c r="K12" s="624"/>
      <c r="L12" s="58"/>
    </row>
    <row r="13" spans="1:12" s="2" customFormat="1">
      <c r="B13" s="803" t="s">
        <v>380</v>
      </c>
      <c r="C13" s="159" t="s">
        <v>127</v>
      </c>
      <c r="D13" s="853">
        <v>1.0820000000000001</v>
      </c>
      <c r="E13" s="854">
        <v>1.087</v>
      </c>
      <c r="F13" s="854">
        <v>1.121</v>
      </c>
      <c r="G13" s="854">
        <v>1.159</v>
      </c>
      <c r="H13" s="854"/>
      <c r="I13" s="854"/>
      <c r="J13" s="854"/>
      <c r="K13" s="854"/>
      <c r="L13" s="58"/>
    </row>
    <row r="14" spans="1:12" s="2" customFormat="1">
      <c r="B14" s="804" t="s">
        <v>196</v>
      </c>
      <c r="C14" s="279" t="s">
        <v>128</v>
      </c>
      <c r="D14" s="656">
        <f>SUM(D10:D12)*D13</f>
        <v>350.13520000000005</v>
      </c>
      <c r="E14" s="657">
        <f t="shared" ref="E14:K14" si="1">SUM(E10:E12)*E13</f>
        <v>351.3184</v>
      </c>
      <c r="F14" s="657">
        <f t="shared" si="1"/>
        <v>349.84347154421886</v>
      </c>
      <c r="G14" s="657">
        <f t="shared" si="1"/>
        <v>362.57222399074806</v>
      </c>
      <c r="H14" s="657">
        <f t="shared" si="1"/>
        <v>0</v>
      </c>
      <c r="I14" s="657">
        <f t="shared" si="1"/>
        <v>0</v>
      </c>
      <c r="J14" s="657">
        <f t="shared" si="1"/>
        <v>0</v>
      </c>
      <c r="K14" s="658">
        <f t="shared" si="1"/>
        <v>0</v>
      </c>
      <c r="L14" s="58"/>
    </row>
    <row r="15" spans="1:12" s="2" customFormat="1">
      <c r="B15" s="222" t="s">
        <v>131</v>
      </c>
      <c r="C15" s="159" t="s">
        <v>128</v>
      </c>
      <c r="D15" s="625">
        <f>'R5 - Output Incentives'!D102</f>
        <v>8.0071736145861934</v>
      </c>
      <c r="E15" s="626">
        <f>'R5 - Output Incentives'!E102</f>
        <v>12.91239504929672</v>
      </c>
      <c r="F15" s="627">
        <f>'R5 - Output Incentives'!F102</f>
        <v>18.300072702589507</v>
      </c>
      <c r="G15" s="627">
        <f>'R5 - Output Incentives'!G102</f>
        <v>20.096163444317376</v>
      </c>
      <c r="H15" s="627">
        <f>'R5 - Output Incentives'!H102</f>
        <v>20.209826451228658</v>
      </c>
      <c r="I15" s="627">
        <f>'R5 - Output Incentives'!I102</f>
        <v>21.147537209115477</v>
      </c>
      <c r="J15" s="627">
        <f>'R5 - Output Incentives'!J102</f>
        <v>23.87883803268717</v>
      </c>
      <c r="K15" s="628">
        <f>'R5 - Output Incentives'!K102</f>
        <v>24.739193318651623</v>
      </c>
      <c r="L15" s="58"/>
    </row>
    <row r="16" spans="1:12" s="2" customFormat="1">
      <c r="B16" s="805" t="s">
        <v>393</v>
      </c>
      <c r="C16" s="159" t="s">
        <v>128</v>
      </c>
      <c r="D16" s="623">
        <v>0</v>
      </c>
      <c r="E16" s="624">
        <v>0</v>
      </c>
      <c r="F16" s="624">
        <v>0.59087356208055442</v>
      </c>
      <c r="G16" s="624">
        <v>2.3262015593388146</v>
      </c>
      <c r="H16" s="624"/>
      <c r="I16" s="624"/>
      <c r="J16" s="624"/>
      <c r="K16" s="624"/>
      <c r="L16" s="58"/>
    </row>
    <row r="17" spans="2:12" s="2" customFormat="1">
      <c r="B17" s="805" t="s">
        <v>134</v>
      </c>
      <c r="C17" s="159" t="s">
        <v>128</v>
      </c>
      <c r="D17" s="625">
        <f>'R6 - Innovation'!D12</f>
        <v>0.73822394229707533</v>
      </c>
      <c r="E17" s="626">
        <f>'R6 - Innovation'!E12</f>
        <v>0.70427741300225</v>
      </c>
      <c r="F17" s="627">
        <f>'R6 - Innovation'!F12</f>
        <v>2.0979214020467616</v>
      </c>
      <c r="G17" s="627">
        <f>'R6 - Innovation'!G12</f>
        <v>2.1707300613004969</v>
      </c>
      <c r="H17" s="627">
        <f>'R6 - Innovation'!H12</f>
        <v>2.2347482610740688</v>
      </c>
      <c r="I17" s="627">
        <f>'R6 - Innovation'!I12</f>
        <v>2.2733193217341707</v>
      </c>
      <c r="J17" s="627">
        <f>'R6 - Innovation'!J12</f>
        <v>2.3192946279947444</v>
      </c>
      <c r="K17" s="628">
        <f>'R6 - Innovation'!K12</f>
        <v>2.4005643081222749</v>
      </c>
      <c r="L17" s="58"/>
    </row>
    <row r="18" spans="2:12" s="2" customFormat="1">
      <c r="B18" s="805" t="s">
        <v>133</v>
      </c>
      <c r="C18" s="159" t="s">
        <v>128</v>
      </c>
      <c r="D18" s="625">
        <f>'R6 - Innovation'!D17</f>
        <v>1.58060117</v>
      </c>
      <c r="E18" s="626">
        <f>'R6 - Innovation'!E17</f>
        <v>8.3856570000000005E-2</v>
      </c>
      <c r="F18" s="627">
        <f>'R6 - Innovation'!F17</f>
        <v>0.24265197999999999</v>
      </c>
      <c r="G18" s="627">
        <f>'R6 - Innovation'!G17</f>
        <v>0.65832199000000002</v>
      </c>
      <c r="H18" s="627">
        <f>'R6 - Innovation'!H17</f>
        <v>8.9907860000000006E-2</v>
      </c>
      <c r="I18" s="627">
        <f>'R6 - Innovation'!I17</f>
        <v>0</v>
      </c>
      <c r="J18" s="627">
        <f>'R6 - Innovation'!J17</f>
        <v>0</v>
      </c>
      <c r="K18" s="628">
        <f>'R6 - Innovation'!K17</f>
        <v>0</v>
      </c>
      <c r="L18" s="58"/>
    </row>
    <row r="19" spans="2:12" s="2" customFormat="1">
      <c r="B19" s="568" t="s">
        <v>541</v>
      </c>
      <c r="C19" s="159" t="s">
        <v>128</v>
      </c>
      <c r="D19" s="623">
        <v>-10.991663877009819</v>
      </c>
      <c r="E19" s="624">
        <v>-11.798477154550016</v>
      </c>
      <c r="F19" s="624">
        <v>-7.5166364663786425</v>
      </c>
      <c r="G19" s="624">
        <v>0</v>
      </c>
      <c r="H19" s="624"/>
      <c r="I19" s="624"/>
      <c r="J19" s="624"/>
      <c r="K19" s="624"/>
      <c r="L19" s="58"/>
    </row>
    <row r="20" spans="2:12" s="2" customFormat="1">
      <c r="B20" s="568" t="s">
        <v>243</v>
      </c>
      <c r="C20" s="159" t="s">
        <v>128</v>
      </c>
      <c r="D20" s="623"/>
      <c r="E20" s="624"/>
      <c r="F20" s="624"/>
      <c r="G20" s="624"/>
      <c r="H20" s="624"/>
      <c r="I20" s="624"/>
      <c r="J20" s="624"/>
      <c r="K20" s="624"/>
      <c r="L20" s="58"/>
    </row>
    <row r="21" spans="2:12" s="2" customFormat="1">
      <c r="B21" s="568" t="s">
        <v>243</v>
      </c>
      <c r="C21" s="159" t="s">
        <v>128</v>
      </c>
      <c r="D21" s="623"/>
      <c r="E21" s="624"/>
      <c r="F21" s="624"/>
      <c r="G21" s="624"/>
      <c r="H21" s="624"/>
      <c r="I21" s="624"/>
      <c r="J21" s="624"/>
      <c r="K21" s="624"/>
      <c r="L21" s="58"/>
    </row>
    <row r="22" spans="2:12" s="2" customFormat="1">
      <c r="B22" s="568" t="s">
        <v>243</v>
      </c>
      <c r="C22" s="159" t="s">
        <v>128</v>
      </c>
      <c r="D22" s="623"/>
      <c r="E22" s="624"/>
      <c r="F22" s="624"/>
      <c r="G22" s="624"/>
      <c r="H22" s="624"/>
      <c r="I22" s="624"/>
      <c r="J22" s="624"/>
      <c r="K22" s="624"/>
      <c r="L22" s="58"/>
    </row>
    <row r="23" spans="2:12" s="2" customFormat="1">
      <c r="B23" s="568" t="s">
        <v>243</v>
      </c>
      <c r="C23" s="159" t="s">
        <v>128</v>
      </c>
      <c r="D23" s="623"/>
      <c r="E23" s="624"/>
      <c r="F23" s="624"/>
      <c r="G23" s="624"/>
      <c r="H23" s="624"/>
      <c r="I23" s="624"/>
      <c r="J23" s="624"/>
      <c r="K23" s="624"/>
      <c r="L23" s="58"/>
    </row>
    <row r="24" spans="2:12" s="2" customFormat="1">
      <c r="B24" s="568" t="s">
        <v>243</v>
      </c>
      <c r="C24" s="159" t="s">
        <v>128</v>
      </c>
      <c r="D24" s="623"/>
      <c r="E24" s="624"/>
      <c r="F24" s="624"/>
      <c r="G24" s="624"/>
      <c r="H24" s="624"/>
      <c r="I24" s="624"/>
      <c r="J24" s="624"/>
      <c r="K24" s="624"/>
      <c r="L24" s="58"/>
    </row>
    <row r="25" spans="2:12" s="2" customFormat="1">
      <c r="B25" s="805" t="s">
        <v>135</v>
      </c>
      <c r="C25" s="159" t="s">
        <v>128</v>
      </c>
      <c r="D25" s="623">
        <v>-13.587624</v>
      </c>
      <c r="E25" s="624">
        <v>-12.665098202797887</v>
      </c>
      <c r="F25" s="624">
        <v>-0.6775375118742093</v>
      </c>
      <c r="G25" s="624">
        <v>3.1135834761637997</v>
      </c>
      <c r="H25" s="624"/>
      <c r="I25" s="624"/>
      <c r="J25" s="624"/>
      <c r="K25" s="624"/>
      <c r="L25" s="58"/>
    </row>
    <row r="26" spans="2:12" s="2" customFormat="1">
      <c r="B26" s="800" t="s">
        <v>148</v>
      </c>
      <c r="C26" s="159" t="s">
        <v>128</v>
      </c>
      <c r="D26" s="629">
        <f>SUM(D14:D24,-D25)</f>
        <v>363.05715884987347</v>
      </c>
      <c r="E26" s="630">
        <f t="shared" ref="E26:K26" si="2">SUM(E14:E24,-E25)</f>
        <v>365.88555008054686</v>
      </c>
      <c r="F26" s="630">
        <f t="shared" si="2"/>
        <v>364.23589223643125</v>
      </c>
      <c r="G26" s="630">
        <f t="shared" si="2"/>
        <v>384.71005756954094</v>
      </c>
      <c r="H26" s="630">
        <f t="shared" si="2"/>
        <v>22.534482572302725</v>
      </c>
      <c r="I26" s="630">
        <f t="shared" si="2"/>
        <v>23.420856530849647</v>
      </c>
      <c r="J26" s="630">
        <f t="shared" si="2"/>
        <v>26.198132660681914</v>
      </c>
      <c r="K26" s="631">
        <f t="shared" si="2"/>
        <v>27.139757626773896</v>
      </c>
      <c r="L26" s="58"/>
    </row>
    <row r="27" spans="2:12" s="2" customFormat="1">
      <c r="B27" s="234"/>
      <c r="C27" s="145"/>
      <c r="D27" s="948"/>
      <c r="E27" s="948"/>
      <c r="F27" s="948"/>
      <c r="G27" s="61"/>
      <c r="H27" s="61"/>
      <c r="I27" s="61"/>
      <c r="J27" s="61"/>
      <c r="K27" s="61"/>
      <c r="L27" s="58"/>
    </row>
    <row r="28" spans="2:12" s="2" customFormat="1">
      <c r="B28" s="234" t="s">
        <v>150</v>
      </c>
      <c r="C28" s="145"/>
      <c r="D28" s="629">
        <f>IF(ISBLANK(D33),0,D33-D26)</f>
        <v>-0.65227911987341258</v>
      </c>
      <c r="E28" s="630">
        <f t="shared" ref="E28:K28" si="3">IF(ISBLANK(E33),0,E33-E26)</f>
        <v>3.0018438794531335</v>
      </c>
      <c r="F28" s="630">
        <f t="shared" si="3"/>
        <v>-1.7015628564312237</v>
      </c>
      <c r="G28" s="630">
        <f t="shared" si="3"/>
        <v>-7.877025121540953</v>
      </c>
      <c r="H28" s="630">
        <f t="shared" si="3"/>
        <v>0</v>
      </c>
      <c r="I28" s="630">
        <f t="shared" si="3"/>
        <v>0</v>
      </c>
      <c r="J28" s="630">
        <f t="shared" si="3"/>
        <v>0</v>
      </c>
      <c r="K28" s="631">
        <f t="shared" si="3"/>
        <v>0</v>
      </c>
      <c r="L28" s="58"/>
    </row>
    <row r="29" spans="2:12" s="2" customFormat="1">
      <c r="B29" s="234"/>
      <c r="C29" s="145"/>
      <c r="D29" s="778"/>
      <c r="E29" s="778"/>
      <c r="F29" s="778"/>
      <c r="G29" s="36"/>
      <c r="H29" s="36"/>
      <c r="I29" s="36"/>
      <c r="J29" s="36"/>
      <c r="K29" s="36"/>
      <c r="L29" s="58"/>
    </row>
    <row r="30" spans="2:12" s="2" customFormat="1">
      <c r="B30" s="234"/>
      <c r="C30" s="145"/>
      <c r="D30" s="778"/>
      <c r="E30" s="778"/>
      <c r="F30" s="778"/>
      <c r="G30" s="36"/>
      <c r="H30" s="36"/>
      <c r="I30" s="36"/>
      <c r="J30" s="36"/>
      <c r="K30" s="36"/>
      <c r="L30" s="58"/>
    </row>
    <row r="31" spans="2:12" s="2" customFormat="1">
      <c r="B31" s="801" t="s">
        <v>193</v>
      </c>
      <c r="C31" s="157"/>
      <c r="D31" s="949"/>
      <c r="E31" s="949"/>
      <c r="F31" s="949"/>
      <c r="G31" s="81"/>
      <c r="H31" s="81"/>
      <c r="I31" s="81"/>
      <c r="J31" s="81"/>
      <c r="K31" s="81"/>
      <c r="L31" s="286"/>
    </row>
    <row r="32" spans="2:12" s="2" customFormat="1">
      <c r="B32" s="234"/>
      <c r="C32" s="145"/>
      <c r="D32" s="778"/>
      <c r="E32" s="778"/>
      <c r="F32" s="778"/>
      <c r="G32" s="36"/>
      <c r="H32" s="36"/>
      <c r="I32" s="36"/>
      <c r="J32" s="36"/>
      <c r="K32" s="36"/>
      <c r="L32" s="58"/>
    </row>
    <row r="33" spans="2:12" s="2" customFormat="1">
      <c r="B33" s="802" t="s">
        <v>149</v>
      </c>
      <c r="C33" s="145"/>
      <c r="D33" s="665">
        <v>362.40487973000006</v>
      </c>
      <c r="E33" s="666">
        <v>368.88739396</v>
      </c>
      <c r="F33" s="666">
        <v>362.53432938000003</v>
      </c>
      <c r="G33" s="666">
        <v>376.83303244799998</v>
      </c>
      <c r="H33" s="666"/>
      <c r="I33" s="666"/>
      <c r="J33" s="666"/>
      <c r="K33" s="667"/>
      <c r="L33" s="58"/>
    </row>
    <row r="34" spans="2:12" s="2" customFormat="1">
      <c r="B34" s="133"/>
      <c r="C34" s="143"/>
      <c r="D34" s="947"/>
      <c r="E34" s="947"/>
      <c r="F34" s="947"/>
      <c r="L34" s="58"/>
    </row>
    <row r="35" spans="2:12" s="2" customFormat="1">
      <c r="B35" s="416" t="s">
        <v>136</v>
      </c>
      <c r="C35" s="143"/>
      <c r="L35" s="58"/>
    </row>
    <row r="36" spans="2:12" s="2" customFormat="1">
      <c r="B36" s="934" t="s">
        <v>137</v>
      </c>
      <c r="C36" s="159" t="s">
        <v>128</v>
      </c>
      <c r="D36" s="621">
        <v>0</v>
      </c>
      <c r="E36" s="622">
        <v>0</v>
      </c>
      <c r="F36" s="622">
        <v>0</v>
      </c>
      <c r="G36" s="622">
        <v>0</v>
      </c>
      <c r="H36" s="622"/>
      <c r="I36" s="622"/>
      <c r="J36" s="622"/>
      <c r="K36" s="632"/>
      <c r="L36" s="58"/>
    </row>
    <row r="37" spans="2:12" s="2" customFormat="1">
      <c r="B37" s="934" t="s">
        <v>138</v>
      </c>
      <c r="C37" s="159" t="s">
        <v>128</v>
      </c>
      <c r="D37" s="623">
        <v>2.5524942113331468</v>
      </c>
      <c r="E37" s="624">
        <v>2.3887561700000002</v>
      </c>
      <c r="F37" s="624">
        <v>2.16304644</v>
      </c>
      <c r="G37" s="624">
        <v>1.9253897398000002</v>
      </c>
      <c r="H37" s="624"/>
      <c r="I37" s="624"/>
      <c r="J37" s="624"/>
      <c r="K37" s="633"/>
      <c r="L37" s="58"/>
    </row>
    <row r="38" spans="2:12" s="2" customFormat="1">
      <c r="B38" s="934" t="s">
        <v>139</v>
      </c>
      <c r="C38" s="159" t="s">
        <v>128</v>
      </c>
      <c r="D38" s="623">
        <v>60.231381491653153</v>
      </c>
      <c r="E38" s="624">
        <v>55.159448353309173</v>
      </c>
      <c r="F38" s="624">
        <v>45.655768879999997</v>
      </c>
      <c r="G38" s="624">
        <v>44.598520148499375</v>
      </c>
      <c r="H38" s="624"/>
      <c r="I38" s="624"/>
      <c r="J38" s="624"/>
      <c r="K38" s="633"/>
      <c r="L38" s="58"/>
    </row>
    <row r="39" spans="2:12" s="2" customFormat="1">
      <c r="B39" s="934" t="s">
        <v>140</v>
      </c>
      <c r="C39" s="159" t="s">
        <v>128</v>
      </c>
      <c r="D39" s="623">
        <v>0</v>
      </c>
      <c r="E39" s="624">
        <v>0</v>
      </c>
      <c r="F39" s="624">
        <v>0</v>
      </c>
      <c r="G39" s="624">
        <v>0</v>
      </c>
      <c r="H39" s="624"/>
      <c r="I39" s="624"/>
      <c r="J39" s="624"/>
      <c r="K39" s="633"/>
      <c r="L39" s="58"/>
    </row>
    <row r="40" spans="2:12" s="2" customFormat="1">
      <c r="B40" s="934" t="s">
        <v>141</v>
      </c>
      <c r="C40" s="159" t="s">
        <v>128</v>
      </c>
      <c r="D40" s="623">
        <v>0</v>
      </c>
      <c r="E40" s="624">
        <v>0</v>
      </c>
      <c r="F40" s="624">
        <v>0</v>
      </c>
      <c r="G40" s="624">
        <v>0</v>
      </c>
      <c r="H40" s="624"/>
      <c r="I40" s="624"/>
      <c r="J40" s="624"/>
      <c r="K40" s="633"/>
      <c r="L40" s="58"/>
    </row>
    <row r="41" spans="2:12" s="2" customFormat="1">
      <c r="B41" s="934" t="s">
        <v>142</v>
      </c>
      <c r="C41" s="159" t="s">
        <v>128</v>
      </c>
      <c r="D41" s="623">
        <v>11.611213620000003</v>
      </c>
      <c r="E41" s="624">
        <v>14.010810109999996</v>
      </c>
      <c r="F41" s="624">
        <v>16.137005279999997</v>
      </c>
      <c r="G41" s="624">
        <v>13.146760080000004</v>
      </c>
      <c r="H41" s="624"/>
      <c r="I41" s="624"/>
      <c r="J41" s="624"/>
      <c r="K41" s="633"/>
      <c r="L41" s="58"/>
    </row>
    <row r="42" spans="2:12" s="2" customFormat="1">
      <c r="B42" s="934" t="s">
        <v>143</v>
      </c>
      <c r="C42" s="159" t="s">
        <v>128</v>
      </c>
      <c r="D42" s="623">
        <v>0</v>
      </c>
      <c r="E42" s="624">
        <v>4.3020000000000003E-2</v>
      </c>
      <c r="F42" s="624">
        <v>5.3775000000000003E-2</v>
      </c>
      <c r="G42" s="624">
        <v>7.17E-2</v>
      </c>
      <c r="H42" s="624"/>
      <c r="I42" s="624"/>
      <c r="J42" s="624"/>
      <c r="K42" s="633"/>
      <c r="L42" s="58"/>
    </row>
    <row r="43" spans="2:12" s="2" customFormat="1">
      <c r="B43" s="935" t="s">
        <v>144</v>
      </c>
      <c r="C43" s="159" t="s">
        <v>128</v>
      </c>
      <c r="D43" s="634">
        <v>0</v>
      </c>
      <c r="E43" s="635">
        <v>0</v>
      </c>
      <c r="F43" s="635">
        <v>0</v>
      </c>
      <c r="G43" s="635">
        <v>0</v>
      </c>
      <c r="H43" s="635"/>
      <c r="I43" s="635"/>
      <c r="J43" s="635"/>
      <c r="K43" s="636"/>
      <c r="L43" s="58"/>
    </row>
    <row r="44" spans="2:12" s="2" customFormat="1">
      <c r="B44" s="933" t="s">
        <v>533</v>
      </c>
      <c r="C44" s="159" t="s">
        <v>128</v>
      </c>
      <c r="D44" s="634"/>
      <c r="E44" s="635"/>
      <c r="F44" s="635"/>
      <c r="G44" s="635"/>
      <c r="H44" s="635"/>
      <c r="I44" s="635"/>
      <c r="J44" s="635"/>
      <c r="K44" s="636"/>
      <c r="L44" s="58"/>
    </row>
    <row r="45" spans="2:12" s="2" customFormat="1">
      <c r="B45" s="416" t="s">
        <v>176</v>
      </c>
      <c r="C45" s="159" t="s">
        <v>128</v>
      </c>
      <c r="D45" s="637">
        <f>SUM(D36:D44)</f>
        <v>74.395089322986308</v>
      </c>
      <c r="E45" s="638">
        <f t="shared" ref="E45:K45" si="4">SUM(E36:E44)</f>
        <v>71.602034633309174</v>
      </c>
      <c r="F45" s="638">
        <f t="shared" si="4"/>
        <v>64.009595599999997</v>
      </c>
      <c r="G45" s="638">
        <f t="shared" si="4"/>
        <v>59.742369968299379</v>
      </c>
      <c r="H45" s="638">
        <f t="shared" si="4"/>
        <v>0</v>
      </c>
      <c r="I45" s="638">
        <f t="shared" si="4"/>
        <v>0</v>
      </c>
      <c r="J45" s="638">
        <f t="shared" si="4"/>
        <v>0</v>
      </c>
      <c r="K45" s="639">
        <f t="shared" si="4"/>
        <v>0</v>
      </c>
      <c r="L45" s="58"/>
    </row>
    <row r="46" spans="2:12" s="2" customFormat="1">
      <c r="B46" s="133"/>
      <c r="C46" s="143"/>
      <c r="L46" s="58"/>
    </row>
    <row r="47" spans="2:12" s="2" customFormat="1">
      <c r="B47" s="416" t="s">
        <v>145</v>
      </c>
      <c r="C47" s="143"/>
      <c r="L47" s="55"/>
    </row>
    <row r="48" spans="2:12" s="2" customFormat="1">
      <c r="B48" s="568" t="s">
        <v>542</v>
      </c>
      <c r="C48" s="159" t="s">
        <v>128</v>
      </c>
      <c r="D48" s="640">
        <v>23.504256774583396</v>
      </c>
      <c r="E48" s="641">
        <v>25.306005000000003</v>
      </c>
      <c r="F48" s="641">
        <v>27.096811999999996</v>
      </c>
      <c r="G48" s="641">
        <v>28.538512000000001</v>
      </c>
      <c r="H48" s="641"/>
      <c r="I48" s="641"/>
      <c r="J48" s="641"/>
      <c r="K48" s="642"/>
      <c r="L48" s="58"/>
    </row>
    <row r="49" spans="2:12" s="2" customFormat="1">
      <c r="B49" s="568" t="s">
        <v>543</v>
      </c>
      <c r="C49" s="159" t="s">
        <v>128</v>
      </c>
      <c r="D49" s="643">
        <v>-47.772511000000002</v>
      </c>
      <c r="E49" s="644">
        <v>-44.899661000000002</v>
      </c>
      <c r="F49" s="644">
        <v>-33.842848064187116</v>
      </c>
      <c r="G49" s="644">
        <v>-32.048763157899366</v>
      </c>
      <c r="H49" s="644"/>
      <c r="I49" s="644"/>
      <c r="J49" s="644"/>
      <c r="K49" s="645"/>
      <c r="L49" s="58"/>
    </row>
    <row r="50" spans="2:12" s="2" customFormat="1">
      <c r="B50" s="568" t="s">
        <v>544</v>
      </c>
      <c r="C50" s="159" t="s">
        <v>128</v>
      </c>
      <c r="D50" s="643">
        <v>-4.9345660000000002</v>
      </c>
      <c r="E50" s="644">
        <v>-3.6859109999999999</v>
      </c>
      <c r="F50" s="644">
        <v>-5.4199263300000018</v>
      </c>
      <c r="G50" s="644">
        <v>-4.9620084400000009</v>
      </c>
      <c r="H50" s="644"/>
      <c r="I50" s="644"/>
      <c r="J50" s="644"/>
      <c r="K50" s="645"/>
      <c r="L50" s="58"/>
    </row>
    <row r="51" spans="2:12" s="2" customFormat="1">
      <c r="B51" s="946" t="s">
        <v>589</v>
      </c>
      <c r="C51" s="159" t="s">
        <v>128</v>
      </c>
      <c r="D51" s="643"/>
      <c r="E51" s="644"/>
      <c r="F51" s="644"/>
      <c r="G51" s="644">
        <v>0.61933064999999987</v>
      </c>
      <c r="H51" s="644"/>
      <c r="I51" s="644"/>
      <c r="J51" s="644"/>
      <c r="K51" s="645"/>
      <c r="L51" s="58"/>
    </row>
    <row r="52" spans="2:12" s="2" customFormat="1">
      <c r="B52" s="568" t="s">
        <v>243</v>
      </c>
      <c r="C52" s="159" t="s">
        <v>128</v>
      </c>
      <c r="D52" s="643"/>
      <c r="E52" s="644"/>
      <c r="F52" s="644"/>
      <c r="G52" s="644"/>
      <c r="H52" s="644"/>
      <c r="I52" s="644"/>
      <c r="J52" s="644"/>
      <c r="K52" s="645"/>
      <c r="L52" s="58"/>
    </row>
    <row r="53" spans="2:12" s="2" customFormat="1">
      <c r="B53" s="568" t="s">
        <v>243</v>
      </c>
      <c r="C53" s="159" t="s">
        <v>128</v>
      </c>
      <c r="D53" s="643"/>
      <c r="E53" s="644"/>
      <c r="F53" s="644"/>
      <c r="G53" s="644"/>
      <c r="H53" s="644"/>
      <c r="I53" s="644"/>
      <c r="J53" s="644"/>
      <c r="K53" s="645"/>
      <c r="L53" s="58"/>
    </row>
    <row r="54" spans="2:12" s="2" customFormat="1">
      <c r="B54" s="568" t="s">
        <v>243</v>
      </c>
      <c r="C54" s="159" t="s">
        <v>128</v>
      </c>
      <c r="D54" s="643"/>
      <c r="E54" s="644"/>
      <c r="F54" s="644"/>
      <c r="G54" s="644"/>
      <c r="H54" s="644"/>
      <c r="I54" s="644"/>
      <c r="J54" s="644"/>
      <c r="K54" s="645"/>
      <c r="L54" s="58"/>
    </row>
    <row r="55" spans="2:12" s="2" customFormat="1">
      <c r="B55" s="568" t="s">
        <v>243</v>
      </c>
      <c r="C55" s="159" t="s">
        <v>128</v>
      </c>
      <c r="D55" s="643"/>
      <c r="E55" s="644"/>
      <c r="F55" s="644"/>
      <c r="G55" s="644"/>
      <c r="H55" s="644"/>
      <c r="I55" s="644"/>
      <c r="J55" s="644"/>
      <c r="K55" s="645"/>
      <c r="L55" s="58"/>
    </row>
    <row r="56" spans="2:12" s="2" customFormat="1">
      <c r="B56" s="568" t="s">
        <v>243</v>
      </c>
      <c r="C56" s="159" t="s">
        <v>128</v>
      </c>
      <c r="D56" s="643"/>
      <c r="E56" s="644"/>
      <c r="F56" s="644"/>
      <c r="G56" s="644"/>
      <c r="H56" s="644"/>
      <c r="I56" s="644"/>
      <c r="J56" s="644"/>
      <c r="K56" s="645"/>
      <c r="L56" s="58"/>
    </row>
    <row r="57" spans="2:12" s="2" customFormat="1">
      <c r="B57" s="568" t="s">
        <v>243</v>
      </c>
      <c r="C57" s="159" t="s">
        <v>128</v>
      </c>
      <c r="D57" s="643"/>
      <c r="E57" s="644"/>
      <c r="F57" s="644"/>
      <c r="G57" s="644"/>
      <c r="H57" s="644"/>
      <c r="I57" s="644"/>
      <c r="J57" s="644"/>
      <c r="K57" s="645"/>
      <c r="L57" s="58"/>
    </row>
    <row r="58" spans="2:12" s="2" customFormat="1">
      <c r="B58" s="568" t="s">
        <v>243</v>
      </c>
      <c r="C58" s="159" t="s">
        <v>128</v>
      </c>
      <c r="D58" s="643"/>
      <c r="E58" s="644"/>
      <c r="F58" s="644"/>
      <c r="G58" s="644"/>
      <c r="H58" s="644"/>
      <c r="I58" s="644"/>
      <c r="J58" s="644"/>
      <c r="K58" s="645"/>
      <c r="L58" s="58"/>
    </row>
    <row r="59" spans="2:12" s="2" customFormat="1">
      <c r="B59" s="568" t="s">
        <v>243</v>
      </c>
      <c r="C59" s="159" t="s">
        <v>128</v>
      </c>
      <c r="D59" s="643"/>
      <c r="E59" s="644"/>
      <c r="F59" s="644"/>
      <c r="G59" s="644"/>
      <c r="H59" s="644"/>
      <c r="I59" s="644"/>
      <c r="J59" s="644"/>
      <c r="K59" s="645"/>
      <c r="L59" s="58"/>
    </row>
    <row r="60" spans="2:12" s="2" customFormat="1">
      <c r="B60" s="568" t="s">
        <v>243</v>
      </c>
      <c r="C60" s="159" t="s">
        <v>128</v>
      </c>
      <c r="D60" s="643"/>
      <c r="E60" s="644"/>
      <c r="F60" s="644"/>
      <c r="G60" s="644"/>
      <c r="H60" s="644"/>
      <c r="I60" s="644"/>
      <c r="J60" s="644"/>
      <c r="K60" s="645"/>
      <c r="L60" s="58"/>
    </row>
    <row r="61" spans="2:12" s="2" customFormat="1">
      <c r="B61" s="568" t="s">
        <v>243</v>
      </c>
      <c r="C61" s="159" t="s">
        <v>128</v>
      </c>
      <c r="D61" s="643"/>
      <c r="E61" s="644"/>
      <c r="F61" s="644"/>
      <c r="G61" s="644"/>
      <c r="H61" s="644"/>
      <c r="I61" s="644"/>
      <c r="J61" s="644"/>
      <c r="K61" s="645"/>
      <c r="L61" s="58"/>
    </row>
    <row r="62" spans="2:12" s="2" customFormat="1">
      <c r="B62" s="568" t="s">
        <v>243</v>
      </c>
      <c r="C62" s="159" t="s">
        <v>128</v>
      </c>
      <c r="D62" s="643"/>
      <c r="E62" s="644"/>
      <c r="F62" s="644"/>
      <c r="G62" s="644"/>
      <c r="H62" s="644"/>
      <c r="I62" s="644"/>
      <c r="J62" s="644"/>
      <c r="K62" s="645"/>
      <c r="L62" s="58"/>
    </row>
    <row r="63" spans="2:12" s="2" customFormat="1">
      <c r="B63" s="806" t="s">
        <v>154</v>
      </c>
      <c r="C63" s="159" t="s">
        <v>128</v>
      </c>
      <c r="D63" s="646"/>
      <c r="E63" s="647"/>
      <c r="F63" s="648"/>
      <c r="G63" s="647"/>
      <c r="H63" s="647"/>
      <c r="I63" s="647"/>
      <c r="J63" s="647"/>
      <c r="K63" s="649"/>
      <c r="L63" s="58"/>
    </row>
    <row r="64" spans="2:12" s="2" customFormat="1">
      <c r="B64" s="802" t="s">
        <v>177</v>
      </c>
      <c r="C64" s="159" t="s">
        <v>128</v>
      </c>
      <c r="D64" s="629">
        <f t="shared" ref="D64:K64" si="5">SUM(D48:D63)</f>
        <v>-29.202820225416605</v>
      </c>
      <c r="E64" s="630">
        <f t="shared" si="5"/>
        <v>-23.279567</v>
      </c>
      <c r="F64" s="630">
        <f t="shared" si="5"/>
        <v>-12.165962394187122</v>
      </c>
      <c r="G64" s="630">
        <f t="shared" si="5"/>
        <v>-7.8529289478993665</v>
      </c>
      <c r="H64" s="630">
        <f t="shared" si="5"/>
        <v>0</v>
      </c>
      <c r="I64" s="630">
        <f t="shared" si="5"/>
        <v>0</v>
      </c>
      <c r="J64" s="630">
        <f t="shared" si="5"/>
        <v>0</v>
      </c>
      <c r="K64" s="631">
        <f t="shared" si="5"/>
        <v>0</v>
      </c>
      <c r="L64" s="58"/>
    </row>
    <row r="65" spans="1:12" s="2" customFormat="1">
      <c r="B65" s="234"/>
      <c r="C65" s="145"/>
      <c r="D65" s="56"/>
      <c r="E65" s="56"/>
      <c r="F65" s="56"/>
      <c r="G65" s="56"/>
      <c r="H65" s="56"/>
      <c r="I65" s="56"/>
      <c r="J65" s="56"/>
      <c r="K65" s="56"/>
      <c r="L65" s="58"/>
    </row>
    <row r="66" spans="1:12" s="2" customFormat="1">
      <c r="B66" s="802" t="s">
        <v>146</v>
      </c>
      <c r="C66" s="159" t="s">
        <v>128</v>
      </c>
      <c r="D66" s="650">
        <f t="shared" ref="D66:K66" si="6">D33+D45+D64</f>
        <v>407.59714882756981</v>
      </c>
      <c r="E66" s="651">
        <f t="shared" si="6"/>
        <v>417.2098615933092</v>
      </c>
      <c r="F66" s="651">
        <f t="shared" si="6"/>
        <v>414.3779625858129</v>
      </c>
      <c r="G66" s="651">
        <f t="shared" si="6"/>
        <v>428.72247346839998</v>
      </c>
      <c r="H66" s="651">
        <f t="shared" si="6"/>
        <v>0</v>
      </c>
      <c r="I66" s="651">
        <f t="shared" si="6"/>
        <v>0</v>
      </c>
      <c r="J66" s="651">
        <f t="shared" si="6"/>
        <v>0</v>
      </c>
      <c r="K66" s="652">
        <f t="shared" si="6"/>
        <v>0</v>
      </c>
      <c r="L66" s="58"/>
    </row>
    <row r="67" spans="1:12" s="2" customFormat="1">
      <c r="B67" s="802" t="s">
        <v>194</v>
      </c>
      <c r="C67" s="159" t="s">
        <v>128</v>
      </c>
      <c r="D67" s="653">
        <v>407.62961705458349</v>
      </c>
      <c r="E67" s="654">
        <v>417.21253992999999</v>
      </c>
      <c r="F67" s="654">
        <v>414.37080744000008</v>
      </c>
      <c r="G67" s="654">
        <v>428.68229551000002</v>
      </c>
      <c r="H67" s="654"/>
      <c r="I67" s="654"/>
      <c r="J67" s="654"/>
      <c r="K67" s="655"/>
      <c r="L67" s="58"/>
    </row>
    <row r="68" spans="1:12" s="2" customFormat="1">
      <c r="B68" s="234" t="s">
        <v>122</v>
      </c>
      <c r="C68" s="145"/>
      <c r="D68" s="116" t="str">
        <f>IF(ABS(D66-D67)&lt;'RFPR cover'!$F$14,"OK","Error")</f>
        <v>OK</v>
      </c>
      <c r="E68" s="116" t="str">
        <f>IF(ABS(E66-E67)&lt;'RFPR cover'!$F$14,"OK","Error")</f>
        <v>OK</v>
      </c>
      <c r="F68" s="116" t="str">
        <f>IF(ABS(F66-F67)&lt;'RFPR cover'!$F$14,"OK","Error")</f>
        <v>OK</v>
      </c>
      <c r="G68" s="116" t="str">
        <f>IF(ABS(G66-G67)&lt;'RFPR cover'!$F$14,"OK","Error")</f>
        <v>OK</v>
      </c>
      <c r="H68" s="116" t="str">
        <f>IF(ABS(H66-H67)&lt;'RFPR cover'!$F$14,"OK","Error")</f>
        <v>OK</v>
      </c>
      <c r="I68" s="116" t="str">
        <f>IF(ABS(I66-I67)&lt;'RFPR cover'!$F$14,"OK","Error")</f>
        <v>OK</v>
      </c>
      <c r="J68" s="116" t="str">
        <f>IF(ABS(J66-J67)&lt;'RFPR cover'!$F$14,"OK","Error")</f>
        <v>OK</v>
      </c>
      <c r="K68" s="116" t="str">
        <f>IF(ABS(K66-K67)&lt;'RFPR cover'!$F$14,"OK","Error")</f>
        <v>OK</v>
      </c>
      <c r="L68" s="58"/>
    </row>
    <row r="69" spans="1:12" s="2" customFormat="1">
      <c r="B69" s="133"/>
      <c r="C69" s="145"/>
      <c r="D69" s="49"/>
      <c r="E69" s="49"/>
      <c r="F69" s="49"/>
      <c r="G69" s="49"/>
      <c r="H69" s="49"/>
      <c r="I69" s="49"/>
      <c r="J69" s="49"/>
      <c r="K69" s="49"/>
      <c r="L69" s="58"/>
    </row>
    <row r="70" spans="1:12" s="2" customFormat="1">
      <c r="B70" s="133"/>
      <c r="C70" s="143"/>
      <c r="L70" s="55"/>
    </row>
    <row r="71" spans="1:12" s="2" customFormat="1">
      <c r="A71" s="81"/>
      <c r="B71" s="807"/>
      <c r="C71" s="157"/>
      <c r="D71" s="81"/>
      <c r="E71" s="81"/>
      <c r="F71" s="81"/>
      <c r="G71" s="81"/>
      <c r="H71" s="81"/>
      <c r="I71" s="81"/>
      <c r="J71" s="81"/>
      <c r="K71" s="81"/>
      <c r="L71" s="285"/>
    </row>
  </sheetData>
  <sheetProtection password="DA3D" sheet="1" objects="1" scenarios="1" formatCells="0" formatColumns="0" formatRows="0"/>
  <conditionalFormatting sqref="D6:K6">
    <cfRule type="expression" dxfId="50" priority="12">
      <formula>AND(D$5="Actuals",E$5="Forecast")</formula>
    </cfRule>
  </conditionalFormatting>
  <conditionalFormatting sqref="D5:K5">
    <cfRule type="expression" dxfId="49" priority="5">
      <formula>AND(D$5="Actuals",E$5="Forecast")</formula>
    </cfRule>
  </conditionalFormatting>
  <conditionalFormatting sqref="D33:K33 D36:K45 D28:H28 D66:K68 D48:K64">
    <cfRule type="expression" dxfId="48" priority="4">
      <formula>D$5="Forecast"</formula>
    </cfRule>
  </conditionalFormatting>
  <conditionalFormatting sqref="I10:K26 I28:K28">
    <cfRule type="expression" dxfId="47" priority="3">
      <formula>I$5="Forecast"</formula>
    </cfRule>
  </conditionalFormatting>
  <conditionalFormatting sqref="H10:H26">
    <cfRule type="expression" dxfId="46" priority="2">
      <formula>H$5="Forecast"</formula>
    </cfRule>
  </conditionalFormatting>
  <conditionalFormatting sqref="G10:G26">
    <cfRule type="expression" dxfId="45" priority="1">
      <formula>G$5="Forecast"</formula>
    </cfRule>
  </conditionalFormatting>
  <pageMargins left="0.70866141732283472" right="0.70866141732283472" top="0.74803149606299213" bottom="0.74803149606299213" header="0.31496062992125984" footer="0.31496062992125984"/>
  <pageSetup paperSize="8"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L86"/>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74.5" customWidth="1"/>
    <col min="3" max="3" width="13.375" style="143" customWidth="1"/>
    <col min="4" max="11" width="11.125" customWidth="1"/>
    <col min="12" max="12" width="5" customWidth="1"/>
  </cols>
  <sheetData>
    <row r="1" spans="1:12" s="32" customFormat="1" ht="20.25">
      <c r="A1" s="121" t="s">
        <v>309</v>
      </c>
      <c r="B1" s="123"/>
      <c r="C1" s="155"/>
      <c r="D1" s="123"/>
      <c r="E1" s="123"/>
      <c r="F1" s="123"/>
      <c r="G1" s="123"/>
      <c r="H1" s="123"/>
      <c r="I1" s="123"/>
      <c r="J1" s="123"/>
      <c r="K1" s="123"/>
      <c r="L1" s="124"/>
    </row>
    <row r="2" spans="1:12" s="32" customFormat="1" ht="20.25">
      <c r="A2" s="125" t="str">
        <f>'RFPR cover'!C5</f>
        <v>NPgY</v>
      </c>
      <c r="B2" s="30"/>
      <c r="C2" s="141"/>
      <c r="D2" s="30"/>
      <c r="E2" s="30"/>
      <c r="F2" s="30"/>
      <c r="G2" s="30"/>
      <c r="H2" s="30"/>
      <c r="I2" s="27"/>
      <c r="J2" s="27"/>
      <c r="K2" s="27"/>
      <c r="L2" s="126"/>
    </row>
    <row r="3" spans="1:12" s="32" customFormat="1" ht="20.25">
      <c r="A3" s="127">
        <f>'RFPR cover'!C7</f>
        <v>2019</v>
      </c>
      <c r="B3" s="128"/>
      <c r="C3" s="156"/>
      <c r="D3" s="128"/>
      <c r="E3" s="128"/>
      <c r="F3" s="128"/>
      <c r="G3" s="128"/>
      <c r="H3" s="128"/>
      <c r="I3" s="29"/>
      <c r="J3" s="29"/>
      <c r="K3" s="29"/>
      <c r="L3" s="129"/>
    </row>
    <row r="4" spans="1:12" s="2" customFormat="1" ht="12.75" customHeight="1">
      <c r="C4" s="143"/>
    </row>
    <row r="5" spans="1:12" s="2" customFormat="1">
      <c r="B5" s="3"/>
      <c r="C5" s="143"/>
      <c r="D5" s="409" t="str">
        <f>IF(D6&lt;='RFPR cover'!$C$7,"Actuals","N/A")</f>
        <v>Actuals</v>
      </c>
      <c r="E5" s="410" t="str">
        <f>IF(E6&lt;='RFPR cover'!$C$7,"Actuals","N/A")</f>
        <v>Actuals</v>
      </c>
      <c r="F5" s="410" t="str">
        <f>IF(F6&lt;='RFPR cover'!$C$7,"Actuals","N/A")</f>
        <v>Actuals</v>
      </c>
      <c r="G5" s="410" t="str">
        <f>IF(G6&lt;='RFPR cover'!$C$7,"Actuals","N/A")</f>
        <v>Actuals</v>
      </c>
      <c r="H5" s="410" t="str">
        <f>IF(H6&lt;='RFPR cover'!$C$7,"Actuals","N/A")</f>
        <v>N/A</v>
      </c>
      <c r="I5" s="410" t="str">
        <f>IF(I6&lt;='RFPR cover'!$C$7,"Actuals","N/A")</f>
        <v>N/A</v>
      </c>
      <c r="J5" s="410" t="str">
        <f>IF(J6&lt;='RFPR cover'!$C$7,"Actuals","N/A")</f>
        <v>N/A</v>
      </c>
      <c r="K5" s="411" t="str">
        <f>IF(K6&lt;='RFPR cover'!$C$7,"Actuals","N/A")</f>
        <v>N/A</v>
      </c>
    </row>
    <row r="6" spans="1:12" s="2" customFormat="1">
      <c r="C6" s="143"/>
      <c r="D6" s="118">
        <f>'RFPR cover'!$C$13</f>
        <v>2016</v>
      </c>
      <c r="E6" s="119">
        <f>D6+1</f>
        <v>2017</v>
      </c>
      <c r="F6" s="119">
        <f t="shared" ref="F6:K6" si="0">E6+1</f>
        <v>2018</v>
      </c>
      <c r="G6" s="119">
        <f t="shared" si="0"/>
        <v>2019</v>
      </c>
      <c r="H6" s="119">
        <f t="shared" si="0"/>
        <v>2020</v>
      </c>
      <c r="I6" s="119">
        <f t="shared" si="0"/>
        <v>2021</v>
      </c>
      <c r="J6" s="119">
        <f t="shared" si="0"/>
        <v>2022</v>
      </c>
      <c r="K6" s="203">
        <f t="shared" si="0"/>
        <v>2023</v>
      </c>
    </row>
    <row r="7" spans="1:12" s="2" customFormat="1">
      <c r="C7" s="143"/>
    </row>
    <row r="8" spans="1:12" s="2" customFormat="1">
      <c r="B8" s="52" t="s">
        <v>315</v>
      </c>
      <c r="C8" s="144"/>
      <c r="D8" s="52"/>
      <c r="E8" s="52"/>
      <c r="F8" s="52"/>
      <c r="G8" s="52"/>
      <c r="H8" s="52"/>
      <c r="I8" s="52"/>
      <c r="J8" s="52"/>
      <c r="K8" s="52"/>
      <c r="L8" s="36"/>
    </row>
    <row r="9" spans="1:12" s="2" customFormat="1">
      <c r="B9" s="133" t="s">
        <v>160</v>
      </c>
      <c r="C9" s="159" t="s">
        <v>128</v>
      </c>
      <c r="D9" s="621">
        <v>253.85916764499984</v>
      </c>
      <c r="E9" s="622">
        <v>224.29936980000008</v>
      </c>
      <c r="F9" s="622">
        <v>212.1</v>
      </c>
      <c r="G9" s="622">
        <v>226.9764982066153</v>
      </c>
      <c r="H9" s="622"/>
      <c r="I9" s="622"/>
      <c r="J9" s="622"/>
      <c r="K9" s="632"/>
    </row>
    <row r="10" spans="1:12" s="2" customFormat="1">
      <c r="B10" s="133" t="s">
        <v>161</v>
      </c>
      <c r="C10" s="159" t="s">
        <v>128</v>
      </c>
      <c r="D10" s="623">
        <v>0</v>
      </c>
      <c r="E10" s="624">
        <v>0</v>
      </c>
      <c r="F10" s="624">
        <v>0</v>
      </c>
      <c r="G10" s="624">
        <v>0</v>
      </c>
      <c r="H10" s="624"/>
      <c r="I10" s="624"/>
      <c r="J10" s="624"/>
      <c r="K10" s="633"/>
    </row>
    <row r="11" spans="1:12" s="2" customFormat="1" ht="29.25" customHeight="1">
      <c r="B11" s="134" t="s">
        <v>460</v>
      </c>
      <c r="C11" s="159" t="s">
        <v>128</v>
      </c>
      <c r="D11" s="623">
        <v>-0.21508875999999999</v>
      </c>
      <c r="E11" s="624">
        <v>-0.78934152000000002</v>
      </c>
      <c r="F11" s="624">
        <v>-0.4157114400000001</v>
      </c>
      <c r="G11" s="624">
        <v>-0.5</v>
      </c>
      <c r="H11" s="624"/>
      <c r="I11" s="624"/>
      <c r="J11" s="624"/>
      <c r="K11" s="633"/>
    </row>
    <row r="12" spans="1:12" s="2" customFormat="1">
      <c r="B12" s="133" t="s">
        <v>162</v>
      </c>
      <c r="C12" s="159" t="s">
        <v>128</v>
      </c>
      <c r="D12" s="623">
        <v>-57.690527619999969</v>
      </c>
      <c r="E12" s="624">
        <v>-55.585312789999996</v>
      </c>
      <c r="F12" s="624">
        <v>-43.690434969999956</v>
      </c>
      <c r="G12" s="624">
        <v>-39.501131359999995</v>
      </c>
      <c r="H12" s="624"/>
      <c r="I12" s="624"/>
      <c r="J12" s="624"/>
      <c r="K12" s="633"/>
    </row>
    <row r="13" spans="1:12" s="2" customFormat="1">
      <c r="B13" s="133" t="s">
        <v>163</v>
      </c>
      <c r="C13" s="159" t="s">
        <v>128</v>
      </c>
      <c r="D13" s="623">
        <v>-3.3035140099999998</v>
      </c>
      <c r="E13" s="624">
        <v>-2.4723702800000003</v>
      </c>
      <c r="F13" s="624">
        <v>-2.0259090899999999</v>
      </c>
      <c r="G13" s="624">
        <v>-1.27738295</v>
      </c>
      <c r="H13" s="624"/>
      <c r="I13" s="624"/>
      <c r="J13" s="624"/>
      <c r="K13" s="633"/>
    </row>
    <row r="14" spans="1:12" s="2" customFormat="1">
      <c r="B14" s="133" t="s">
        <v>164</v>
      </c>
      <c r="C14" s="159" t="s">
        <v>128</v>
      </c>
      <c r="D14" s="659">
        <v>0</v>
      </c>
      <c r="E14" s="660">
        <v>0</v>
      </c>
      <c r="F14" s="660">
        <v>0</v>
      </c>
      <c r="G14" s="660">
        <v>0</v>
      </c>
      <c r="H14" s="660"/>
      <c r="I14" s="660"/>
      <c r="J14" s="660"/>
      <c r="K14" s="661"/>
    </row>
    <row r="15" spans="1:12" s="2" customFormat="1">
      <c r="A15" s="3">
        <v>1</v>
      </c>
      <c r="B15" s="907" t="s">
        <v>243</v>
      </c>
      <c r="C15" s="159" t="s">
        <v>128</v>
      </c>
      <c r="D15" s="621"/>
      <c r="E15" s="622"/>
      <c r="F15" s="622"/>
      <c r="G15" s="622"/>
      <c r="H15" s="622"/>
      <c r="I15" s="622"/>
      <c r="J15" s="622"/>
      <c r="K15" s="632"/>
    </row>
    <row r="16" spans="1:12" s="2" customFormat="1">
      <c r="A16" s="3">
        <v>2</v>
      </c>
      <c r="B16" s="907" t="s">
        <v>243</v>
      </c>
      <c r="C16" s="159" t="s">
        <v>128</v>
      </c>
      <c r="D16" s="623"/>
      <c r="E16" s="624"/>
      <c r="F16" s="624"/>
      <c r="G16" s="624"/>
      <c r="H16" s="624"/>
      <c r="I16" s="624"/>
      <c r="J16" s="624"/>
      <c r="K16" s="633"/>
    </row>
    <row r="17" spans="1:11" s="2" customFormat="1">
      <c r="A17" s="3">
        <v>3</v>
      </c>
      <c r="B17" s="907" t="s">
        <v>243</v>
      </c>
      <c r="C17" s="159" t="s">
        <v>128</v>
      </c>
      <c r="D17" s="623"/>
      <c r="E17" s="624"/>
      <c r="F17" s="624"/>
      <c r="G17" s="624"/>
      <c r="H17" s="624"/>
      <c r="I17" s="624"/>
      <c r="J17" s="624"/>
      <c r="K17" s="633"/>
    </row>
    <row r="18" spans="1:11" s="2" customFormat="1">
      <c r="B18" s="12" t="s">
        <v>165</v>
      </c>
      <c r="C18" s="159" t="s">
        <v>128</v>
      </c>
      <c r="D18" s="662">
        <f>SUM(D9:D17)</f>
        <v>192.65003725499989</v>
      </c>
      <c r="E18" s="663">
        <f t="shared" ref="E18:K18" si="1">SUM(E9:E17)</f>
        <v>165.45234521000009</v>
      </c>
      <c r="F18" s="663">
        <f t="shared" si="1"/>
        <v>165.96794450000004</v>
      </c>
      <c r="G18" s="663">
        <f t="shared" si="1"/>
        <v>185.69798389661531</v>
      </c>
      <c r="H18" s="663">
        <f t="shared" si="1"/>
        <v>0</v>
      </c>
      <c r="I18" s="663">
        <f t="shared" si="1"/>
        <v>0</v>
      </c>
      <c r="J18" s="663">
        <f t="shared" si="1"/>
        <v>0</v>
      </c>
      <c r="K18" s="664">
        <f t="shared" si="1"/>
        <v>0</v>
      </c>
    </row>
    <row r="19" spans="1:11" s="2" customFormat="1">
      <c r="B19" s="133" t="s">
        <v>166</v>
      </c>
      <c r="C19" s="159" t="s">
        <v>128</v>
      </c>
      <c r="D19" s="665">
        <v>123.928846135</v>
      </c>
      <c r="E19" s="666">
        <v>120.94205091000001</v>
      </c>
      <c r="F19" s="666">
        <v>127.09161473605067</v>
      </c>
      <c r="G19" s="666">
        <v>133.01642267446709</v>
      </c>
      <c r="H19" s="666"/>
      <c r="I19" s="666"/>
      <c r="J19" s="666"/>
      <c r="K19" s="667"/>
    </row>
    <row r="20" spans="1:11" s="2" customFormat="1">
      <c r="A20" s="3">
        <v>1</v>
      </c>
      <c r="B20" s="907" t="s">
        <v>243</v>
      </c>
      <c r="C20" s="159" t="s">
        <v>128</v>
      </c>
      <c r="D20" s="621"/>
      <c r="E20" s="622"/>
      <c r="F20" s="622"/>
      <c r="G20" s="622"/>
      <c r="H20" s="622"/>
      <c r="I20" s="622"/>
      <c r="J20" s="622"/>
      <c r="K20" s="632"/>
    </row>
    <row r="21" spans="1:11" s="2" customFormat="1">
      <c r="A21" s="3">
        <v>2</v>
      </c>
      <c r="B21" s="907" t="s">
        <v>243</v>
      </c>
      <c r="C21" s="159" t="s">
        <v>128</v>
      </c>
      <c r="D21" s="623"/>
      <c r="E21" s="624"/>
      <c r="F21" s="624"/>
      <c r="G21" s="624"/>
      <c r="H21" s="624"/>
      <c r="I21" s="624"/>
      <c r="J21" s="624"/>
      <c r="K21" s="633"/>
    </row>
    <row r="22" spans="1:11" s="2" customFormat="1">
      <c r="A22" s="3">
        <v>3</v>
      </c>
      <c r="B22" s="907" t="s">
        <v>243</v>
      </c>
      <c r="C22" s="159" t="s">
        <v>128</v>
      </c>
      <c r="D22" s="623"/>
      <c r="E22" s="624"/>
      <c r="F22" s="624"/>
      <c r="G22" s="624"/>
      <c r="H22" s="624"/>
      <c r="I22" s="624"/>
      <c r="J22" s="624"/>
      <c r="K22" s="633"/>
    </row>
    <row r="23" spans="1:11" s="2" customFormat="1">
      <c r="B23" s="12" t="s">
        <v>167</v>
      </c>
      <c r="C23" s="159" t="s">
        <v>128</v>
      </c>
      <c r="D23" s="637">
        <f>SUM(D18:D22)</f>
        <v>316.57888338999987</v>
      </c>
      <c r="E23" s="638">
        <f t="shared" ref="E23:K23" si="2">SUM(E18:E22)</f>
        <v>286.39439612000012</v>
      </c>
      <c r="F23" s="638">
        <f t="shared" si="2"/>
        <v>293.05955923605075</v>
      </c>
      <c r="G23" s="638">
        <f t="shared" si="2"/>
        <v>318.71440657108241</v>
      </c>
      <c r="H23" s="638">
        <f t="shared" si="2"/>
        <v>0</v>
      </c>
      <c r="I23" s="638">
        <f t="shared" si="2"/>
        <v>0</v>
      </c>
      <c r="J23" s="638">
        <f t="shared" si="2"/>
        <v>0</v>
      </c>
      <c r="K23" s="639">
        <f t="shared" si="2"/>
        <v>0</v>
      </c>
    </row>
    <row r="24" spans="1:11" s="2" customFormat="1">
      <c r="C24" s="143"/>
      <c r="D24" s="53"/>
      <c r="E24" s="53"/>
      <c r="F24" s="53"/>
      <c r="G24" s="53"/>
      <c r="H24" s="53"/>
      <c r="I24" s="53"/>
      <c r="J24" s="53"/>
      <c r="K24" s="53"/>
    </row>
    <row r="25" spans="1:11" s="2" customFormat="1">
      <c r="B25" s="12" t="s">
        <v>450</v>
      </c>
      <c r="C25" s="159" t="s">
        <v>128</v>
      </c>
      <c r="D25" s="55"/>
    </row>
    <row r="26" spans="1:11" s="2" customFormat="1" ht="21" customHeight="1">
      <c r="A26" s="3">
        <v>1</v>
      </c>
      <c r="B26" s="943" t="s">
        <v>545</v>
      </c>
      <c r="C26" s="159" t="s">
        <v>128</v>
      </c>
      <c r="D26" s="621">
        <v>6.354969285688326</v>
      </c>
      <c r="E26" s="622">
        <v>8.094216225000002</v>
      </c>
      <c r="F26" s="622">
        <v>9.5626619549999994</v>
      </c>
      <c r="G26" s="622">
        <v>5.1060997700000001</v>
      </c>
      <c r="H26" s="622"/>
      <c r="I26" s="622"/>
      <c r="J26" s="622"/>
      <c r="K26" s="632"/>
    </row>
    <row r="27" spans="1:11" s="2" customFormat="1" ht="62.25" customHeight="1">
      <c r="A27" s="3">
        <v>2</v>
      </c>
      <c r="B27" s="943" t="s">
        <v>546</v>
      </c>
      <c r="C27" s="159" t="s">
        <v>128</v>
      </c>
      <c r="D27" s="623">
        <v>8.4992940000000017E-2</v>
      </c>
      <c r="E27" s="624">
        <v>3.7637198401328287E-2</v>
      </c>
      <c r="F27" s="624">
        <v>8.8637290909090449E-3</v>
      </c>
      <c r="G27" s="624">
        <v>-0.24296385999999992</v>
      </c>
      <c r="H27" s="624"/>
      <c r="I27" s="624"/>
      <c r="J27" s="624"/>
      <c r="K27" s="633"/>
    </row>
    <row r="28" spans="1:11" s="2" customFormat="1" ht="33" customHeight="1">
      <c r="A28" s="3">
        <v>3</v>
      </c>
      <c r="B28" s="943" t="s">
        <v>547</v>
      </c>
      <c r="C28" s="159" t="s">
        <v>128</v>
      </c>
      <c r="D28" s="623">
        <v>0.72271016999999993</v>
      </c>
      <c r="E28" s="624">
        <v>-4.3931635000000017E-2</v>
      </c>
      <c r="F28" s="624">
        <v>0.46542402499999996</v>
      </c>
      <c r="G28" s="624">
        <v>0.61866771000000009</v>
      </c>
      <c r="H28" s="624"/>
      <c r="I28" s="624"/>
      <c r="J28" s="624"/>
      <c r="K28" s="633"/>
    </row>
    <row r="29" spans="1:11" s="2" customFormat="1" ht="30" customHeight="1">
      <c r="A29" s="3">
        <v>4</v>
      </c>
      <c r="B29" s="943" t="s">
        <v>548</v>
      </c>
      <c r="C29" s="159" t="s">
        <v>128</v>
      </c>
      <c r="D29" s="623">
        <v>0</v>
      </c>
      <c r="E29" s="624">
        <v>-0.3416056268677003</v>
      </c>
      <c r="F29" s="624">
        <v>-0.55312807999999991</v>
      </c>
      <c r="G29" s="624">
        <v>-0.35541862499999999</v>
      </c>
      <c r="H29" s="624"/>
      <c r="I29" s="624"/>
      <c r="J29" s="624"/>
      <c r="K29" s="633"/>
    </row>
    <row r="30" spans="1:11" s="2" customFormat="1" ht="31.5" customHeight="1">
      <c r="A30" s="3">
        <v>5</v>
      </c>
      <c r="B30" s="943" t="s">
        <v>549</v>
      </c>
      <c r="C30" s="159" t="s">
        <v>128</v>
      </c>
      <c r="D30" s="623">
        <v>-1.58060117</v>
      </c>
      <c r="E30" s="624">
        <v>-8.3856570000000005E-2</v>
      </c>
      <c r="F30" s="624">
        <v>-0.24265197999999999</v>
      </c>
      <c r="G30" s="624">
        <v>-0.65832199000000002</v>
      </c>
      <c r="H30" s="624"/>
      <c r="I30" s="624"/>
      <c r="J30" s="624"/>
      <c r="K30" s="633"/>
    </row>
    <row r="31" spans="1:11" s="2" customFormat="1" ht="28.5" customHeight="1">
      <c r="A31" s="3">
        <v>6</v>
      </c>
      <c r="B31" s="943" t="s">
        <v>550</v>
      </c>
      <c r="C31" s="159" t="s">
        <v>128</v>
      </c>
      <c r="D31" s="623">
        <v>-4.1711802216431897</v>
      </c>
      <c r="E31" s="624">
        <v>-4.641256496632006</v>
      </c>
      <c r="F31" s="624">
        <v>-5.4660625298644341</v>
      </c>
      <c r="G31" s="624">
        <v>-6.1694980458901396</v>
      </c>
      <c r="H31" s="624"/>
      <c r="I31" s="624"/>
      <c r="J31" s="624"/>
      <c r="K31" s="633"/>
    </row>
    <row r="32" spans="1:11" s="2" customFormat="1" ht="19.5" customHeight="1">
      <c r="A32" s="3">
        <v>7</v>
      </c>
      <c r="B32" s="942" t="s">
        <v>551</v>
      </c>
      <c r="C32" s="159" t="s">
        <v>128</v>
      </c>
      <c r="D32" s="623">
        <v>-1.7262299999999998E-2</v>
      </c>
      <c r="E32" s="624">
        <v>0</v>
      </c>
      <c r="F32" s="624">
        <v>0</v>
      </c>
      <c r="G32" s="624"/>
      <c r="H32" s="624"/>
      <c r="I32" s="624"/>
      <c r="J32" s="624"/>
      <c r="K32" s="633"/>
    </row>
    <row r="33" spans="1:11" s="2" customFormat="1" ht="21" customHeight="1">
      <c r="A33" s="3">
        <v>8</v>
      </c>
      <c r="B33" s="942" t="s">
        <v>552</v>
      </c>
      <c r="C33" s="159" t="s">
        <v>128</v>
      </c>
      <c r="D33" s="623">
        <v>0</v>
      </c>
      <c r="E33" s="624">
        <v>-0.2</v>
      </c>
      <c r="F33" s="624">
        <v>0</v>
      </c>
      <c r="G33" s="624"/>
      <c r="H33" s="624"/>
      <c r="I33" s="624"/>
      <c r="J33" s="624"/>
      <c r="K33" s="633"/>
    </row>
    <row r="34" spans="1:11" s="2" customFormat="1" ht="19.5" customHeight="1">
      <c r="A34" s="3">
        <v>9</v>
      </c>
      <c r="B34" s="943" t="s">
        <v>553</v>
      </c>
      <c r="C34" s="159" t="s">
        <v>128</v>
      </c>
      <c r="D34" s="623">
        <v>0</v>
      </c>
      <c r="E34" s="624">
        <v>0</v>
      </c>
      <c r="F34" s="624">
        <v>0.2665882186224135</v>
      </c>
      <c r="G34" s="624">
        <v>0.27919838097348892</v>
      </c>
      <c r="H34" s="624"/>
      <c r="I34" s="624"/>
      <c r="J34" s="624"/>
      <c r="K34" s="633"/>
    </row>
    <row r="35" spans="1:11" s="2" customFormat="1" ht="18.75" customHeight="1">
      <c r="A35" s="3">
        <v>10</v>
      </c>
      <c r="B35" s="943" t="s">
        <v>554</v>
      </c>
      <c r="C35" s="159" t="s">
        <v>128</v>
      </c>
      <c r="D35" s="623">
        <v>0</v>
      </c>
      <c r="E35" s="624">
        <v>0</v>
      </c>
      <c r="F35" s="624">
        <v>-4.605533648668212E-2</v>
      </c>
      <c r="G35" s="624">
        <v>-0.24160684040296318</v>
      </c>
      <c r="H35" s="624"/>
      <c r="I35" s="624"/>
      <c r="J35" s="624"/>
      <c r="K35" s="633"/>
    </row>
    <row r="36" spans="1:11" s="2" customFormat="1">
      <c r="A36" s="3">
        <v>11</v>
      </c>
      <c r="B36" s="545" t="s">
        <v>587</v>
      </c>
      <c r="C36" s="159" t="s">
        <v>128</v>
      </c>
      <c r="D36" s="623"/>
      <c r="E36" s="624"/>
      <c r="F36" s="624"/>
      <c r="G36" s="624">
        <v>-0.61951065000000005</v>
      </c>
      <c r="H36" s="624"/>
      <c r="I36" s="624"/>
      <c r="J36" s="624"/>
      <c r="K36" s="633"/>
    </row>
    <row r="37" spans="1:11" s="2" customFormat="1">
      <c r="A37" s="3">
        <v>12</v>
      </c>
      <c r="B37" s="545" t="s">
        <v>586</v>
      </c>
      <c r="C37" s="159" t="s">
        <v>128</v>
      </c>
      <c r="D37" s="623"/>
      <c r="E37" s="624"/>
      <c r="F37" s="624"/>
      <c r="G37" s="624">
        <v>-1.350951</v>
      </c>
      <c r="H37" s="624"/>
      <c r="I37" s="624"/>
      <c r="J37" s="624"/>
      <c r="K37" s="633"/>
    </row>
    <row r="38" spans="1:11" s="2" customFormat="1">
      <c r="A38" s="3">
        <v>13</v>
      </c>
      <c r="B38" s="545" t="s">
        <v>588</v>
      </c>
      <c r="C38" s="159" t="s">
        <v>128</v>
      </c>
      <c r="D38" s="623">
        <v>0.22260574363929209</v>
      </c>
      <c r="E38" s="624">
        <v>-6.8545294660850686E-2</v>
      </c>
      <c r="F38" s="624">
        <v>4.6622096311352834E-3</v>
      </c>
      <c r="G38" s="624">
        <v>-0.45333515404558966</v>
      </c>
      <c r="H38" s="624"/>
      <c r="I38" s="624"/>
      <c r="J38" s="624"/>
      <c r="K38" s="633"/>
    </row>
    <row r="39" spans="1:11" s="2" customFormat="1">
      <c r="A39" s="3">
        <v>14</v>
      </c>
      <c r="B39" s="950" t="s">
        <v>243</v>
      </c>
      <c r="C39" s="159" t="s">
        <v>128</v>
      </c>
      <c r="D39" s="623"/>
      <c r="E39" s="624"/>
      <c r="F39" s="624"/>
      <c r="G39" s="624"/>
      <c r="H39" s="624"/>
      <c r="I39" s="624"/>
      <c r="J39" s="624"/>
      <c r="K39" s="633"/>
    </row>
    <row r="40" spans="1:11" s="2" customFormat="1">
      <c r="A40" s="3">
        <v>15</v>
      </c>
      <c r="B40" s="545" t="s">
        <v>243</v>
      </c>
      <c r="C40" s="159" t="s">
        <v>128</v>
      </c>
      <c r="D40" s="623"/>
      <c r="E40" s="624"/>
      <c r="F40" s="624"/>
      <c r="G40" s="624"/>
      <c r="H40" s="624"/>
      <c r="I40" s="624"/>
      <c r="J40" s="624"/>
      <c r="K40" s="633"/>
    </row>
    <row r="41" spans="1:11" s="2" customFormat="1">
      <c r="A41" s="3">
        <v>16</v>
      </c>
      <c r="B41" s="545" t="s">
        <v>243</v>
      </c>
      <c r="C41" s="159" t="s">
        <v>128</v>
      </c>
      <c r="D41" s="623"/>
      <c r="E41" s="624"/>
      <c r="F41" s="624"/>
      <c r="G41" s="624"/>
      <c r="H41" s="624"/>
      <c r="I41" s="624"/>
      <c r="J41" s="624"/>
      <c r="K41" s="633"/>
    </row>
    <row r="42" spans="1:11" s="2" customFormat="1">
      <c r="A42" s="3">
        <v>17</v>
      </c>
      <c r="B42" s="545" t="s">
        <v>243</v>
      </c>
      <c r="C42" s="159" t="s">
        <v>128</v>
      </c>
      <c r="D42" s="623"/>
      <c r="E42" s="624"/>
      <c r="F42" s="624"/>
      <c r="G42" s="624"/>
      <c r="H42" s="624"/>
      <c r="I42" s="624"/>
      <c r="J42" s="624"/>
      <c r="K42" s="633"/>
    </row>
    <row r="43" spans="1:11" s="2" customFormat="1">
      <c r="A43" s="3">
        <v>18</v>
      </c>
      <c r="B43" s="545" t="s">
        <v>243</v>
      </c>
      <c r="C43" s="159" t="s">
        <v>128</v>
      </c>
      <c r="D43" s="623"/>
      <c r="E43" s="624"/>
      <c r="F43" s="624"/>
      <c r="G43" s="624"/>
      <c r="H43" s="624"/>
      <c r="I43" s="624"/>
      <c r="J43" s="624"/>
      <c r="K43" s="633"/>
    </row>
    <row r="44" spans="1:11" s="2" customFormat="1">
      <c r="A44" s="3">
        <v>19</v>
      </c>
      <c r="B44" s="545" t="s">
        <v>243</v>
      </c>
      <c r="C44" s="159" t="s">
        <v>128</v>
      </c>
      <c r="D44" s="623"/>
      <c r="E44" s="624"/>
      <c r="F44" s="624"/>
      <c r="G44" s="624"/>
      <c r="H44" s="624"/>
      <c r="I44" s="624"/>
      <c r="J44" s="624"/>
      <c r="K44" s="633"/>
    </row>
    <row r="45" spans="1:11" s="2" customFormat="1">
      <c r="A45" s="3">
        <v>20</v>
      </c>
      <c r="B45" s="545" t="s">
        <v>243</v>
      </c>
      <c r="C45" s="159" t="s">
        <v>128</v>
      </c>
      <c r="D45" s="623"/>
      <c r="E45" s="624"/>
      <c r="F45" s="624"/>
      <c r="G45" s="624"/>
      <c r="H45" s="624"/>
      <c r="I45" s="624"/>
      <c r="J45" s="624"/>
      <c r="K45" s="633"/>
    </row>
    <row r="46" spans="1:11" s="2" customFormat="1">
      <c r="B46" s="12" t="s">
        <v>403</v>
      </c>
      <c r="C46" s="159" t="s">
        <v>128</v>
      </c>
      <c r="D46" s="637">
        <f>SUM(D26:D45)</f>
        <v>1.6162344476844281</v>
      </c>
      <c r="E46" s="638">
        <f t="shared" ref="E46:K46" si="3">SUM(E26:E45)</f>
        <v>2.7526578002407724</v>
      </c>
      <c r="F46" s="638">
        <f t="shared" si="3"/>
        <v>4.0003022109933406</v>
      </c>
      <c r="G46" s="638">
        <f t="shared" si="3"/>
        <v>-4.0876403043652036</v>
      </c>
      <c r="H46" s="638">
        <f t="shared" si="3"/>
        <v>0</v>
      </c>
      <c r="I46" s="638">
        <f t="shared" si="3"/>
        <v>0</v>
      </c>
      <c r="J46" s="638">
        <f t="shared" si="3"/>
        <v>0</v>
      </c>
      <c r="K46" s="639">
        <f t="shared" si="3"/>
        <v>0</v>
      </c>
    </row>
    <row r="47" spans="1:11" s="2" customFormat="1">
      <c r="C47" s="143"/>
      <c r="D47" s="54"/>
      <c r="E47" s="53"/>
      <c r="F47" s="53"/>
      <c r="G47" s="53"/>
      <c r="H47" s="53"/>
      <c r="I47" s="53"/>
      <c r="J47" s="53"/>
      <c r="K47" s="53"/>
    </row>
    <row r="48" spans="1:11" s="2" customFormat="1">
      <c r="B48" s="12" t="s">
        <v>449</v>
      </c>
      <c r="C48" s="159" t="s">
        <v>128</v>
      </c>
      <c r="D48" s="637">
        <f>D46+D23</f>
        <v>318.19511783768428</v>
      </c>
      <c r="E48" s="638">
        <f t="shared" ref="E48:K48" si="4">E46+E23</f>
        <v>289.14705392024092</v>
      </c>
      <c r="F48" s="638">
        <f t="shared" si="4"/>
        <v>297.05986144704411</v>
      </c>
      <c r="G48" s="638">
        <f t="shared" si="4"/>
        <v>314.6267662667172</v>
      </c>
      <c r="H48" s="638">
        <f t="shared" si="4"/>
        <v>0</v>
      </c>
      <c r="I48" s="638">
        <f t="shared" si="4"/>
        <v>0</v>
      </c>
      <c r="J48" s="638">
        <f t="shared" si="4"/>
        <v>0</v>
      </c>
      <c r="K48" s="639">
        <f t="shared" si="4"/>
        <v>0</v>
      </c>
    </row>
    <row r="49" spans="1:11" s="2" customFormat="1">
      <c r="B49" s="2" t="s">
        <v>404</v>
      </c>
      <c r="C49" s="159" t="s">
        <v>128</v>
      </c>
      <c r="D49" s="621">
        <v>318.19511783768428</v>
      </c>
      <c r="E49" s="621">
        <v>289.14705392024092</v>
      </c>
      <c r="F49" s="621">
        <v>297.05986144704411</v>
      </c>
      <c r="G49" s="622">
        <v>314.6267662667172</v>
      </c>
      <c r="H49" s="622"/>
      <c r="I49" s="622"/>
      <c r="J49" s="622"/>
      <c r="K49" s="632"/>
    </row>
    <row r="50" spans="1:11" s="2" customFormat="1">
      <c r="C50" s="143" t="s">
        <v>407</v>
      </c>
      <c r="D50" s="668" t="str">
        <f>IF(D$5="Actuals",IF(ABS(D48-D49)&lt;1,"OK","ERROR"),"N/A")</f>
        <v>OK</v>
      </c>
      <c r="E50" s="669" t="str">
        <f t="shared" ref="E50:K50" si="5">IF(E$5="Actuals",IF(ABS(E48-E49)&lt;1,"OK","ERROR"),"N/A")</f>
        <v>OK</v>
      </c>
      <c r="F50" s="669" t="str">
        <f t="shared" si="5"/>
        <v>OK</v>
      </c>
      <c r="G50" s="669" t="str">
        <f t="shared" si="5"/>
        <v>OK</v>
      </c>
      <c r="H50" s="669" t="str">
        <f t="shared" si="5"/>
        <v>N/A</v>
      </c>
      <c r="I50" s="669" t="str">
        <f t="shared" si="5"/>
        <v>N/A</v>
      </c>
      <c r="J50" s="669" t="str">
        <f t="shared" si="5"/>
        <v>N/A</v>
      </c>
      <c r="K50" s="670" t="str">
        <f t="shared" si="5"/>
        <v>N/A</v>
      </c>
    </row>
    <row r="51" spans="1:11" s="2" customFormat="1">
      <c r="B51" s="2" t="s">
        <v>84</v>
      </c>
      <c r="C51" s="143"/>
      <c r="D51" s="55"/>
    </row>
    <row r="52" spans="1:11" s="2" customFormat="1">
      <c r="B52" s="12" t="s">
        <v>405</v>
      </c>
      <c r="C52" s="159"/>
      <c r="D52" s="55"/>
    </row>
    <row r="53" spans="1:11" s="2" customFormat="1">
      <c r="A53" s="3">
        <v>1</v>
      </c>
      <c r="B53" s="544" t="s">
        <v>579</v>
      </c>
      <c r="C53" s="159" t="s">
        <v>128</v>
      </c>
      <c r="D53" s="621">
        <v>16.932072223808355</v>
      </c>
      <c r="E53" s="622">
        <v>18.308966734015566</v>
      </c>
      <c r="F53" s="622">
        <v>23.255566839386265</v>
      </c>
      <c r="G53" s="622">
        <v>18.301203804037776</v>
      </c>
      <c r="H53" s="622"/>
      <c r="I53" s="622"/>
      <c r="J53" s="622"/>
      <c r="K53" s="632"/>
    </row>
    <row r="54" spans="1:11" s="2" customFormat="1">
      <c r="A54" s="3">
        <v>2</v>
      </c>
      <c r="B54" s="544" t="s">
        <v>580</v>
      </c>
      <c r="C54" s="159" t="s">
        <v>128</v>
      </c>
      <c r="D54" s="623">
        <v>0.82024882477452832</v>
      </c>
      <c r="E54" s="624">
        <v>0.78253045889138895</v>
      </c>
      <c r="F54" s="624">
        <v>2.3310237800519578</v>
      </c>
      <c r="G54" s="624">
        <v>2.4119222903338851</v>
      </c>
      <c r="H54" s="624"/>
      <c r="I54" s="624"/>
      <c r="J54" s="624"/>
      <c r="K54" s="633"/>
    </row>
    <row r="55" spans="1:11" s="2" customFormat="1">
      <c r="A55" s="3">
        <v>3</v>
      </c>
      <c r="B55" s="544" t="s">
        <v>581</v>
      </c>
      <c r="C55" s="159" t="s">
        <v>128</v>
      </c>
      <c r="D55" s="623">
        <v>-1.7352047652160335E-4</v>
      </c>
      <c r="E55" s="624">
        <v>0</v>
      </c>
      <c r="F55" s="624">
        <v>0</v>
      </c>
      <c r="G55" s="624">
        <v>0</v>
      </c>
      <c r="H55" s="624"/>
      <c r="I55" s="624"/>
      <c r="J55" s="624"/>
      <c r="K55" s="633"/>
    </row>
    <row r="56" spans="1:11" s="2" customFormat="1">
      <c r="A56" s="3">
        <v>4</v>
      </c>
      <c r="B56" s="544" t="s">
        <v>569</v>
      </c>
      <c r="C56" s="159" t="s">
        <v>128</v>
      </c>
      <c r="D56" s="623">
        <v>40.811600793399997</v>
      </c>
      <c r="E56" s="624">
        <v>43.28493699545718</v>
      </c>
      <c r="F56" s="624">
        <v>42.51579210538857</v>
      </c>
      <c r="G56" s="624">
        <v>44.588145163153911</v>
      </c>
      <c r="H56" s="624"/>
      <c r="I56" s="624"/>
      <c r="J56" s="624"/>
      <c r="K56" s="633"/>
    </row>
    <row r="57" spans="1:11" s="2" customFormat="1">
      <c r="A57" s="3">
        <v>5</v>
      </c>
      <c r="B57" s="544" t="s">
        <v>582</v>
      </c>
      <c r="C57" s="159" t="s">
        <v>128</v>
      </c>
      <c r="D57" s="623">
        <v>8.7221531546560858</v>
      </c>
      <c r="E57" s="624">
        <v>5.3860793592417942</v>
      </c>
      <c r="F57" s="624">
        <v>6.643722624590243</v>
      </c>
      <c r="G57" s="624">
        <v>8.1697690688501883</v>
      </c>
      <c r="H57" s="624"/>
      <c r="I57" s="624"/>
      <c r="J57" s="624"/>
      <c r="K57" s="633"/>
    </row>
    <row r="58" spans="1:11" s="2" customFormat="1">
      <c r="A58" s="3">
        <v>6</v>
      </c>
      <c r="B58" s="544" t="s">
        <v>583</v>
      </c>
      <c r="C58" s="159" t="s">
        <v>128</v>
      </c>
      <c r="D58" s="623">
        <v>0.54367578254965276</v>
      </c>
      <c r="E58" s="624">
        <v>0.16936976129734344</v>
      </c>
      <c r="F58" s="624">
        <v>0.21151716670100493</v>
      </c>
      <c r="G58" s="624">
        <v>0.19372553597901679</v>
      </c>
      <c r="H58" s="624"/>
      <c r="I58" s="624"/>
      <c r="J58" s="624"/>
      <c r="K58" s="633"/>
    </row>
    <row r="59" spans="1:11" s="2" customFormat="1">
      <c r="A59" s="3">
        <v>7</v>
      </c>
      <c r="B59" s="544" t="s">
        <v>584</v>
      </c>
      <c r="C59" s="159" t="s">
        <v>128</v>
      </c>
      <c r="D59" s="623">
        <v>0.22753745999999997</v>
      </c>
      <c r="E59" s="624">
        <v>0.78934152000000002</v>
      </c>
      <c r="F59" s="624">
        <v>0.4157114400000001</v>
      </c>
      <c r="G59" s="624">
        <v>0.79135485999999999</v>
      </c>
      <c r="H59" s="624"/>
      <c r="I59" s="624"/>
      <c r="J59" s="624"/>
      <c r="K59" s="633"/>
    </row>
    <row r="60" spans="1:11" s="2" customFormat="1">
      <c r="A60" s="3">
        <v>8</v>
      </c>
      <c r="B60" s="544" t="s">
        <v>585</v>
      </c>
      <c r="C60" s="159" t="s">
        <v>128</v>
      </c>
      <c r="D60" s="623">
        <v>0.60478721000000013</v>
      </c>
      <c r="E60" s="624">
        <v>0.61419069000000004</v>
      </c>
      <c r="F60" s="624">
        <v>0.66206239</v>
      </c>
      <c r="G60" s="624">
        <v>0.54632916000000009</v>
      </c>
      <c r="H60" s="624"/>
      <c r="I60" s="624"/>
      <c r="J60" s="624"/>
      <c r="K60" s="633"/>
    </row>
    <row r="61" spans="1:11" s="2" customFormat="1">
      <c r="A61" s="3">
        <v>9</v>
      </c>
      <c r="B61" s="544" t="s">
        <v>243</v>
      </c>
      <c r="C61" s="159" t="s">
        <v>128</v>
      </c>
      <c r="D61" s="623"/>
      <c r="E61" s="624"/>
      <c r="F61" s="624"/>
      <c r="G61" s="624"/>
      <c r="H61" s="624"/>
      <c r="I61" s="624"/>
      <c r="J61" s="624"/>
      <c r="K61" s="633"/>
    </row>
    <row r="62" spans="1:11" s="2" customFormat="1">
      <c r="A62" s="3">
        <v>10</v>
      </c>
      <c r="B62" s="544" t="s">
        <v>243</v>
      </c>
      <c r="C62" s="159" t="s">
        <v>128</v>
      </c>
      <c r="D62" s="623"/>
      <c r="E62" s="624"/>
      <c r="F62" s="624"/>
      <c r="G62" s="624"/>
      <c r="H62" s="624"/>
      <c r="I62" s="624"/>
      <c r="J62" s="624"/>
      <c r="K62" s="633"/>
    </row>
    <row r="63" spans="1:11" s="2" customFormat="1">
      <c r="A63" s="3">
        <v>11</v>
      </c>
      <c r="B63" s="544" t="s">
        <v>243</v>
      </c>
      <c r="C63" s="159" t="s">
        <v>128</v>
      </c>
      <c r="D63" s="623"/>
      <c r="E63" s="624"/>
      <c r="F63" s="624"/>
      <c r="G63" s="624"/>
      <c r="H63" s="624"/>
      <c r="I63" s="624"/>
      <c r="J63" s="624"/>
      <c r="K63" s="633"/>
    </row>
    <row r="64" spans="1:11" s="2" customFormat="1">
      <c r="A64" s="3">
        <v>12</v>
      </c>
      <c r="B64" s="544" t="s">
        <v>243</v>
      </c>
      <c r="C64" s="159" t="s">
        <v>128</v>
      </c>
      <c r="D64" s="623"/>
      <c r="E64" s="624"/>
      <c r="F64" s="624"/>
      <c r="G64" s="624"/>
      <c r="H64" s="624"/>
      <c r="I64" s="624"/>
      <c r="J64" s="624"/>
      <c r="K64" s="633"/>
    </row>
    <row r="65" spans="1:11" s="2" customFormat="1">
      <c r="A65" s="3">
        <v>13</v>
      </c>
      <c r="B65" s="544" t="s">
        <v>243</v>
      </c>
      <c r="C65" s="159" t="s">
        <v>128</v>
      </c>
      <c r="D65" s="623"/>
      <c r="E65" s="624"/>
      <c r="F65" s="624"/>
      <c r="G65" s="624"/>
      <c r="H65" s="624"/>
      <c r="I65" s="624"/>
      <c r="J65" s="624"/>
      <c r="K65" s="633"/>
    </row>
    <row r="66" spans="1:11" s="2" customFormat="1">
      <c r="A66" s="3">
        <v>14</v>
      </c>
      <c r="B66" s="544" t="s">
        <v>243</v>
      </c>
      <c r="C66" s="159" t="s">
        <v>128</v>
      </c>
      <c r="D66" s="623"/>
      <c r="E66" s="624"/>
      <c r="F66" s="624"/>
      <c r="G66" s="624"/>
      <c r="H66" s="624"/>
      <c r="I66" s="624"/>
      <c r="J66" s="624"/>
      <c r="K66" s="633"/>
    </row>
    <row r="67" spans="1:11" s="2" customFormat="1">
      <c r="A67" s="3">
        <v>15</v>
      </c>
      <c r="B67" s="544" t="s">
        <v>243</v>
      </c>
      <c r="C67" s="159" t="s">
        <v>128</v>
      </c>
      <c r="D67" s="623"/>
      <c r="E67" s="624"/>
      <c r="F67" s="624"/>
      <c r="G67" s="624"/>
      <c r="H67" s="624"/>
      <c r="I67" s="624"/>
      <c r="J67" s="624"/>
      <c r="K67" s="633"/>
    </row>
    <row r="68" spans="1:11" s="2" customFormat="1">
      <c r="A68" s="3">
        <v>16</v>
      </c>
      <c r="B68" s="544" t="s">
        <v>243</v>
      </c>
      <c r="C68" s="159" t="s">
        <v>128</v>
      </c>
      <c r="D68" s="623"/>
      <c r="E68" s="624"/>
      <c r="F68" s="624"/>
      <c r="G68" s="624"/>
      <c r="H68" s="624"/>
      <c r="I68" s="624"/>
      <c r="J68" s="624"/>
      <c r="K68" s="633"/>
    </row>
    <row r="69" spans="1:11" s="2" customFormat="1">
      <c r="A69" s="3">
        <v>17</v>
      </c>
      <c r="B69" s="544" t="s">
        <v>243</v>
      </c>
      <c r="C69" s="159" t="s">
        <v>128</v>
      </c>
      <c r="D69" s="623"/>
      <c r="E69" s="624"/>
      <c r="F69" s="624"/>
      <c r="G69" s="624"/>
      <c r="H69" s="624"/>
      <c r="I69" s="624"/>
      <c r="J69" s="624"/>
      <c r="K69" s="633"/>
    </row>
    <row r="70" spans="1:11" s="2" customFormat="1">
      <c r="A70" s="3">
        <v>18</v>
      </c>
      <c r="B70" s="544" t="s">
        <v>243</v>
      </c>
      <c r="C70" s="159" t="s">
        <v>128</v>
      </c>
      <c r="D70" s="623"/>
      <c r="E70" s="624"/>
      <c r="F70" s="624"/>
      <c r="G70" s="624"/>
      <c r="H70" s="624"/>
      <c r="I70" s="624"/>
      <c r="J70" s="624"/>
      <c r="K70" s="633"/>
    </row>
    <row r="71" spans="1:11" s="2" customFormat="1">
      <c r="A71" s="3">
        <v>19</v>
      </c>
      <c r="B71" s="544" t="s">
        <v>243</v>
      </c>
      <c r="C71" s="159" t="s">
        <v>128</v>
      </c>
      <c r="D71" s="623"/>
      <c r="E71" s="624"/>
      <c r="F71" s="624"/>
      <c r="G71" s="624"/>
      <c r="H71" s="624"/>
      <c r="I71" s="624"/>
      <c r="J71" s="624"/>
      <c r="K71" s="633"/>
    </row>
    <row r="72" spans="1:11" s="2" customFormat="1">
      <c r="A72" s="3">
        <v>20</v>
      </c>
      <c r="B72" s="544" t="s">
        <v>243</v>
      </c>
      <c r="C72" s="159" t="s">
        <v>128</v>
      </c>
      <c r="D72" s="623"/>
      <c r="E72" s="624"/>
      <c r="F72" s="624"/>
      <c r="G72" s="624"/>
      <c r="H72" s="624"/>
      <c r="I72" s="624"/>
      <c r="J72" s="624"/>
      <c r="K72" s="633"/>
    </row>
    <row r="73" spans="1:11" s="2" customFormat="1">
      <c r="A73" s="3">
        <v>21</v>
      </c>
      <c r="B73" s="544" t="s">
        <v>243</v>
      </c>
      <c r="C73" s="159" t="s">
        <v>128</v>
      </c>
      <c r="D73" s="623"/>
      <c r="E73" s="624"/>
      <c r="F73" s="624"/>
      <c r="G73" s="624"/>
      <c r="H73" s="624"/>
      <c r="I73" s="624"/>
      <c r="J73" s="624"/>
      <c r="K73" s="633"/>
    </row>
    <row r="74" spans="1:11" s="2" customFormat="1">
      <c r="A74" s="3">
        <v>22</v>
      </c>
      <c r="B74" s="544" t="s">
        <v>243</v>
      </c>
      <c r="C74" s="159" t="s">
        <v>128</v>
      </c>
      <c r="D74" s="623"/>
      <c r="E74" s="624"/>
      <c r="F74" s="624"/>
      <c r="G74" s="624"/>
      <c r="H74" s="624"/>
      <c r="I74" s="624"/>
      <c r="J74" s="624"/>
      <c r="K74" s="633"/>
    </row>
    <row r="75" spans="1:11" s="2" customFormat="1">
      <c r="A75" s="3">
        <v>23</v>
      </c>
      <c r="B75" s="544" t="s">
        <v>243</v>
      </c>
      <c r="C75" s="159" t="s">
        <v>128</v>
      </c>
      <c r="D75" s="623"/>
      <c r="E75" s="624"/>
      <c r="F75" s="624"/>
      <c r="G75" s="624"/>
      <c r="H75" s="624"/>
      <c r="I75" s="624"/>
      <c r="J75" s="624"/>
      <c r="K75" s="633"/>
    </row>
    <row r="76" spans="1:11" s="2" customFormat="1">
      <c r="A76" s="3">
        <v>24</v>
      </c>
      <c r="B76" s="544" t="s">
        <v>243</v>
      </c>
      <c r="C76" s="159" t="s">
        <v>128</v>
      </c>
      <c r="D76" s="623"/>
      <c r="E76" s="624"/>
      <c r="F76" s="624"/>
      <c r="G76" s="624"/>
      <c r="H76" s="624"/>
      <c r="I76" s="624"/>
      <c r="J76" s="624"/>
      <c r="K76" s="633"/>
    </row>
    <row r="77" spans="1:11" s="2" customFormat="1">
      <c r="A77" s="3">
        <v>25</v>
      </c>
      <c r="B77" s="544" t="s">
        <v>243</v>
      </c>
      <c r="C77" s="159" t="s">
        <v>128</v>
      </c>
      <c r="D77" s="659"/>
      <c r="E77" s="660"/>
      <c r="F77" s="660"/>
      <c r="G77" s="660"/>
      <c r="H77" s="660"/>
      <c r="I77" s="660"/>
      <c r="J77" s="660"/>
      <c r="K77" s="661"/>
    </row>
    <row r="78" spans="1:11" s="2" customFormat="1">
      <c r="B78" s="12" t="s">
        <v>171</v>
      </c>
      <c r="C78" s="159" t="s">
        <v>128</v>
      </c>
      <c r="D78" s="637">
        <f>SUM(D53:D77)</f>
        <v>68.661901928712084</v>
      </c>
      <c r="E78" s="638">
        <f t="shared" ref="E78:K78" si="6">SUM(E53:E77)</f>
        <v>69.335415518903275</v>
      </c>
      <c r="F78" s="638">
        <f t="shared" si="6"/>
        <v>76.035396346118034</v>
      </c>
      <c r="G78" s="638">
        <f t="shared" si="6"/>
        <v>75.002449882354767</v>
      </c>
      <c r="H78" s="638">
        <f t="shared" si="6"/>
        <v>0</v>
      </c>
      <c r="I78" s="638">
        <f t="shared" si="6"/>
        <v>0</v>
      </c>
      <c r="J78" s="638">
        <f t="shared" si="6"/>
        <v>0</v>
      </c>
      <c r="K78" s="639">
        <f t="shared" si="6"/>
        <v>0</v>
      </c>
    </row>
    <row r="79" spans="1:11" s="2" customFormat="1">
      <c r="C79" s="143"/>
      <c r="D79" s="54"/>
      <c r="E79" s="53"/>
      <c r="F79" s="53"/>
      <c r="G79" s="53"/>
      <c r="H79" s="53"/>
      <c r="I79" s="53"/>
      <c r="J79" s="53"/>
      <c r="K79" s="53"/>
    </row>
    <row r="80" spans="1:11" s="2" customFormat="1">
      <c r="B80" s="12" t="s">
        <v>406</v>
      </c>
      <c r="C80" s="159" t="s">
        <v>128</v>
      </c>
      <c r="D80" s="637">
        <f>D48-D78</f>
        <v>249.53321590897218</v>
      </c>
      <c r="E80" s="638">
        <f t="shared" ref="E80:K80" si="7">E48-E78</f>
        <v>219.81163840133763</v>
      </c>
      <c r="F80" s="638">
        <f t="shared" si="7"/>
        <v>221.02446510092608</v>
      </c>
      <c r="G80" s="638">
        <f t="shared" si="7"/>
        <v>239.62431638436243</v>
      </c>
      <c r="H80" s="638">
        <f t="shared" si="7"/>
        <v>0</v>
      </c>
      <c r="I80" s="638">
        <f t="shared" si="7"/>
        <v>0</v>
      </c>
      <c r="J80" s="638">
        <f t="shared" si="7"/>
        <v>0</v>
      </c>
      <c r="K80" s="639">
        <f t="shared" si="7"/>
        <v>0</v>
      </c>
    </row>
    <row r="81" spans="2:11" s="2" customFormat="1">
      <c r="B81" s="12" t="s">
        <v>494</v>
      </c>
      <c r="C81" s="159" t="s">
        <v>128</v>
      </c>
      <c r="D81" s="671">
        <f>'R4 - Totex'!D90+'R4 - Totex'!D118</f>
        <v>249.53321590897221</v>
      </c>
      <c r="E81" s="672">
        <f>'R4 - Totex'!E90+'R4 - Totex'!E118</f>
        <v>219.82104188133766</v>
      </c>
      <c r="F81" s="672">
        <f>'R4 - Totex'!F90+'R4 - Totex'!F118</f>
        <v>221.02446510092605</v>
      </c>
      <c r="G81" s="672">
        <f>'R4 - Totex'!G90+'R4 - Totex'!G118</f>
        <v>239.62431638436237</v>
      </c>
      <c r="H81" s="672">
        <f>'R4 - Totex'!H90+'R4 - Totex'!H118</f>
        <v>262.88781572231892</v>
      </c>
      <c r="I81" s="672">
        <f>'R4 - Totex'!I90+'R4 - Totex'!I118</f>
        <v>266.75633071843237</v>
      </c>
      <c r="J81" s="672">
        <f>'R4 - Totex'!J90+'R4 - Totex'!J118</f>
        <v>286.54127837375194</v>
      </c>
      <c r="K81" s="672">
        <f>'R4 - Totex'!K90+'R4 - Totex'!K118</f>
        <v>298.12566041074786</v>
      </c>
    </row>
    <row r="82" spans="2:11" s="2" customFormat="1">
      <c r="C82" s="143" t="s">
        <v>407</v>
      </c>
      <c r="D82" s="599" t="str">
        <f>IF(D$5="Actuals",IF(ABS(D80-('R4 - Totex'!D90+'R4 - Totex'!D118))&lt;'RFPR cover'!$F$14,"OK","Error"),"N/A")</f>
        <v>OK</v>
      </c>
      <c r="E82" s="599" t="str">
        <f>IF(E$5="Actuals",IF(ABS(E80-('R4 - Totex'!E90+'R4 - Totex'!E118))&lt;'RFPR cover'!$F$14,"OK","Error"),"N/A")</f>
        <v>OK</v>
      </c>
      <c r="F82" s="599" t="str">
        <f>IF(F$5="Actuals",IF(ABS(F80-('R4 - Totex'!F90+'R4 - Totex'!F118))&lt;'RFPR cover'!$F$14,"OK","Error"),"N/A")</f>
        <v>OK</v>
      </c>
      <c r="G82" s="599" t="str">
        <f>IF(G$5="Actuals",IF(ABS(G80-('R4 - Totex'!G90+'R4 - Totex'!G118))&lt;'RFPR cover'!$F$14,"OK","Error"),"N/A")</f>
        <v>OK</v>
      </c>
      <c r="H82" s="599" t="str">
        <f>IF(H$5="Actuals",IF(ABS(H80-('R4 - Totex'!H90+'R4 - Totex'!H118))&lt;'RFPR cover'!$F$14,"OK","Error"),"N/A")</f>
        <v>N/A</v>
      </c>
      <c r="I82" s="599" t="str">
        <f>IF(I$5="Actuals",IF(ABS(I80-('R4 - Totex'!I90+'R4 - Totex'!I118))&lt;'RFPR cover'!$F$14,"OK","Error"),"N/A")</f>
        <v>N/A</v>
      </c>
      <c r="J82" s="599" t="str">
        <f>IF(J$5="Actuals",IF(ABS(J80-('R4 - Totex'!J90+'R4 - Totex'!J118))&lt;'RFPR cover'!$F$14,"OK","Error"),"N/A")</f>
        <v>N/A</v>
      </c>
      <c r="K82" s="599" t="str">
        <f>IF(K$5="Actuals",IF(ABS(K80-('R4 - Totex'!K90+'R4 - Totex'!K118))&lt;'RFPR cover'!$F$14,"OK","Error"),"N/A")</f>
        <v>N/A</v>
      </c>
    </row>
    <row r="83" spans="2:11" s="2" customFormat="1">
      <c r="C83" s="143"/>
    </row>
    <row r="84" spans="2:11">
      <c r="D84" s="224"/>
      <c r="E84" s="224"/>
      <c r="F84" s="224"/>
      <c r="G84" s="224"/>
      <c r="H84" s="224"/>
      <c r="I84" s="224"/>
      <c r="J84" s="224"/>
      <c r="K84" s="224"/>
    </row>
    <row r="85" spans="2:11">
      <c r="D85" s="224"/>
      <c r="E85" s="224"/>
      <c r="F85" s="224"/>
      <c r="G85" s="224"/>
      <c r="H85" s="224"/>
      <c r="I85" s="224"/>
      <c r="J85" s="224"/>
      <c r="K85" s="224"/>
    </row>
    <row r="86" spans="2:11">
      <c r="D86" s="224"/>
      <c r="E86" s="224"/>
      <c r="F86" s="224"/>
      <c r="G86" s="224"/>
      <c r="H86" s="224"/>
      <c r="I86" s="224"/>
      <c r="J86" s="224"/>
      <c r="K86" s="224"/>
    </row>
  </sheetData>
  <sheetProtection password="DA3D" sheet="1" objects="1" scenarios="1" formatCells="0" formatColumns="0" formatRows="0"/>
  <conditionalFormatting sqref="D6:J6">
    <cfRule type="expression" dxfId="44" priority="17">
      <formula>AND(D$5="Actuals",E$5="N/A")</formula>
    </cfRule>
  </conditionalFormatting>
  <conditionalFormatting sqref="D5:K5">
    <cfRule type="expression" dxfId="43" priority="8">
      <formula>AND(D$5="Actuals",E$5="N/A")</formula>
    </cfRule>
  </conditionalFormatting>
  <conditionalFormatting sqref="D53:K78 D80:K80 D82:K82 D18:K19 D23:K23 D48:K50 D9:K14 D26:K46">
    <cfRule type="expression" dxfId="42" priority="3">
      <formula>D$5="N/A"</formula>
    </cfRule>
  </conditionalFormatting>
  <conditionalFormatting sqref="D15:K17">
    <cfRule type="expression" dxfId="41" priority="2">
      <formula>D$5="N/A"</formula>
    </cfRule>
  </conditionalFormatting>
  <conditionalFormatting sqref="D20:K22">
    <cfRule type="expression" dxfId="40" priority="1">
      <formula>D$5="N/A"</formula>
    </cfRule>
  </conditionalFormatting>
  <pageMargins left="0.70866141732283472" right="0.70866141732283472" top="0.74803149606299213" bottom="0.74803149606299213" header="0.31496062992125984" footer="0.31496062992125984"/>
  <pageSetup paperSize="8"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T154"/>
  <sheetViews>
    <sheetView showGridLines="0" zoomScale="80" zoomScaleNormal="80" workbookViewId="0">
      <pane ySplit="6" topLeftCell="A7" activePane="bottomLeft" state="frozen"/>
      <selection pane="bottomLeft"/>
    </sheetView>
  </sheetViews>
  <sheetFormatPr defaultColWidth="9.125" defaultRowHeight="12.75"/>
  <cols>
    <col min="1" max="1" width="8.375" style="2" customWidth="1"/>
    <col min="2" max="2" width="75.5" style="133" customWidth="1"/>
    <col min="3" max="3" width="13.375" style="143" customWidth="1"/>
    <col min="4" max="11" width="11.125" style="2" customWidth="1"/>
    <col min="12" max="13" width="12.875" style="2" customWidth="1"/>
    <col min="14" max="14" width="25.5" style="2" customWidth="1"/>
    <col min="15" max="16384" width="9.125" style="2"/>
  </cols>
  <sheetData>
    <row r="1" spans="1:20" s="32" customFormat="1" ht="20.25">
      <c r="A1" s="381" t="s">
        <v>99</v>
      </c>
      <c r="B1" s="412"/>
      <c r="C1" s="291"/>
      <c r="D1" s="268"/>
      <c r="E1" s="268"/>
      <c r="F1" s="268"/>
      <c r="G1" s="268"/>
      <c r="H1" s="268"/>
      <c r="I1" s="269"/>
      <c r="J1" s="269"/>
      <c r="K1" s="270"/>
      <c r="L1" s="270"/>
      <c r="M1" s="270"/>
      <c r="N1" s="270"/>
      <c r="O1" s="382"/>
    </row>
    <row r="2" spans="1:20" s="32" customFormat="1" ht="20.25">
      <c r="A2" s="125" t="str">
        <f>'RFPR cover'!C5</f>
        <v>NPgY</v>
      </c>
      <c r="B2" s="413"/>
      <c r="C2" s="141"/>
      <c r="D2" s="30"/>
      <c r="E2" s="30"/>
      <c r="F2" s="30"/>
      <c r="G2" s="30"/>
      <c r="H2" s="30"/>
      <c r="I2" s="27"/>
      <c r="J2" s="27"/>
      <c r="K2" s="27"/>
      <c r="L2" s="27"/>
      <c r="M2" s="27"/>
      <c r="N2" s="27"/>
      <c r="O2" s="126"/>
    </row>
    <row r="3" spans="1:20" s="32" customFormat="1" ht="20.25">
      <c r="A3" s="272">
        <f>'RFPR cover'!C7</f>
        <v>2019</v>
      </c>
      <c r="B3" s="414"/>
      <c r="C3" s="290"/>
      <c r="D3" s="273"/>
      <c r="E3" s="273"/>
      <c r="F3" s="273"/>
      <c r="G3" s="273"/>
      <c r="H3" s="273"/>
      <c r="I3" s="266"/>
      <c r="J3" s="266"/>
      <c r="K3" s="266"/>
      <c r="L3" s="266"/>
      <c r="M3" s="266"/>
      <c r="N3" s="266"/>
      <c r="O3" s="274"/>
    </row>
    <row r="4" spans="1:20" ht="12.75" customHeight="1"/>
    <row r="5" spans="1:20" ht="12.75" customHeight="1">
      <c r="D5" s="409" t="str">
        <f>IF(D6&lt;='RFPR cover'!$C$7,"Actuals","Forecast")</f>
        <v>Actuals</v>
      </c>
      <c r="E5" s="410" t="str">
        <f>IF(E6&lt;='RFPR cover'!$C$7,"Actuals","Forecast")</f>
        <v>Actuals</v>
      </c>
      <c r="F5" s="410" t="str">
        <f>IF(F6&lt;='RFPR cover'!$C$7,"Actuals","Forecast")</f>
        <v>Actuals</v>
      </c>
      <c r="G5" s="410" t="str">
        <f>IF(G6&lt;='RFPR cover'!$C$7,"Actuals","Forecast")</f>
        <v>Actuals</v>
      </c>
      <c r="H5" s="410" t="str">
        <f>IF(H6&lt;='RFPR cover'!$C$7,"Actuals","Forecast")</f>
        <v>Forecast</v>
      </c>
      <c r="I5" s="410" t="str">
        <f>IF(I6&lt;='RFPR cover'!$C$7,"Actuals","Forecast")</f>
        <v>Forecast</v>
      </c>
      <c r="J5" s="410" t="str">
        <f>IF(J6&lt;='RFPR cover'!$C$7,"Actuals","Forecast")</f>
        <v>Forecast</v>
      </c>
      <c r="K5" s="411" t="str">
        <f>IF(K6&lt;='RFPR cover'!$C$7,"Actuals","Forecast")</f>
        <v>Forecast</v>
      </c>
    </row>
    <row r="6" spans="1:20" ht="27.75" customHeight="1">
      <c r="B6" s="808"/>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2019</v>
      </c>
      <c r="M6" s="120" t="s">
        <v>109</v>
      </c>
      <c r="N6" s="120" t="s">
        <v>310</v>
      </c>
    </row>
    <row r="7" spans="1:20" s="36" customFormat="1">
      <c r="B7" s="809"/>
      <c r="C7" s="165"/>
      <c r="D7" s="58"/>
      <c r="E7" s="58"/>
      <c r="F7" s="58"/>
      <c r="G7" s="58"/>
      <c r="H7" s="58"/>
      <c r="I7" s="58"/>
      <c r="J7" s="58"/>
      <c r="K7" s="58"/>
      <c r="L7" s="58"/>
      <c r="M7" s="58"/>
      <c r="N7" s="58"/>
    </row>
    <row r="8" spans="1:20" s="36" customFormat="1">
      <c r="B8" s="810" t="s">
        <v>394</v>
      </c>
      <c r="C8" s="305"/>
      <c r="D8" s="339"/>
      <c r="E8" s="339"/>
      <c r="F8" s="339"/>
      <c r="G8" s="339"/>
      <c r="H8" s="339"/>
      <c r="I8" s="339"/>
      <c r="J8" s="339"/>
      <c r="K8" s="339"/>
      <c r="L8" s="339"/>
      <c r="M8" s="339"/>
      <c r="N8" s="339"/>
    </row>
    <row r="9" spans="1:20" s="36" customFormat="1">
      <c r="B9" s="809"/>
      <c r="C9" s="165"/>
      <c r="D9" s="58"/>
      <c r="E9" s="58"/>
      <c r="F9" s="58"/>
      <c r="G9" s="58"/>
      <c r="H9" s="58"/>
      <c r="I9" s="58"/>
      <c r="J9" s="58"/>
      <c r="K9" s="58"/>
      <c r="L9" s="58"/>
      <c r="M9" s="58"/>
      <c r="N9" s="58"/>
    </row>
    <row r="10" spans="1:20">
      <c r="A10" s="36"/>
      <c r="B10" s="811" t="str">
        <f>Data!B48</f>
        <v>Totex</v>
      </c>
      <c r="C10" s="157"/>
      <c r="D10" s="82"/>
      <c r="E10" s="82"/>
      <c r="F10" s="82"/>
      <c r="G10" s="82"/>
      <c r="H10" s="82"/>
      <c r="I10" s="82"/>
      <c r="J10" s="82"/>
      <c r="K10" s="82"/>
      <c r="L10" s="82"/>
      <c r="M10" s="82"/>
      <c r="N10" s="82"/>
    </row>
    <row r="11" spans="1:20" s="36" customFormat="1">
      <c r="B11" s="812"/>
      <c r="C11" s="145"/>
      <c r="D11" s="338"/>
      <c r="E11" s="338"/>
      <c r="F11" s="338"/>
      <c r="G11" s="338"/>
      <c r="H11" s="338"/>
      <c r="I11" s="338"/>
      <c r="J11" s="338"/>
      <c r="K11" s="338"/>
      <c r="L11" s="338"/>
      <c r="M11" s="338"/>
      <c r="N11" s="338"/>
    </row>
    <row r="12" spans="1:20">
      <c r="A12" s="36"/>
      <c r="B12" s="323" t="s">
        <v>34</v>
      </c>
      <c r="C12" s="162" t="str">
        <f>'RFPR cover'!$C$14</f>
        <v>£m 12/13</v>
      </c>
      <c r="D12" s="507">
        <v>235.3383709957013</v>
      </c>
      <c r="E12" s="508">
        <v>202.96731004074195</v>
      </c>
      <c r="F12" s="508">
        <v>196.7173054206101</v>
      </c>
      <c r="G12" s="508">
        <v>206.94819634935783</v>
      </c>
      <c r="H12" s="508">
        <v>221.23205150612006</v>
      </c>
      <c r="I12" s="508">
        <v>218.42625423733881</v>
      </c>
      <c r="J12" s="508">
        <v>227.73756568378127</v>
      </c>
      <c r="K12" s="508">
        <v>229.87592772351428</v>
      </c>
      <c r="L12" s="108">
        <f>SUM(D12:INDEX(D12:K12,0,MATCH('RFPR cover'!$C$7,$D$6:$K$6,0)))</f>
        <v>841.97118280641121</v>
      </c>
      <c r="M12" s="109">
        <f>SUM(D12:K12)</f>
        <v>1739.2429819571655</v>
      </c>
      <c r="N12" s="63"/>
      <c r="O12" s="63"/>
    </row>
    <row r="13" spans="1:20" ht="25.5">
      <c r="A13" s="36"/>
      <c r="B13" s="813" t="s">
        <v>506</v>
      </c>
      <c r="C13" s="162" t="str">
        <f>'RFPR cover'!$C$14</f>
        <v>£m 12/13</v>
      </c>
      <c r="D13" s="509">
        <v>241.00990950537141</v>
      </c>
      <c r="E13" s="510">
        <v>227.21543561014761</v>
      </c>
      <c r="F13" s="510">
        <v>223.39646890762009</v>
      </c>
      <c r="G13" s="510">
        <v>223.80683913416129</v>
      </c>
      <c r="H13" s="510">
        <v>212.01047864714533</v>
      </c>
      <c r="I13" s="510">
        <v>202.82323970884471</v>
      </c>
      <c r="J13" s="510">
        <v>188.71800064944367</v>
      </c>
      <c r="K13" s="510">
        <v>193.2722911113564</v>
      </c>
      <c r="L13" s="106">
        <f>SUM(D13:INDEX(D13:K13,0,MATCH('RFPR cover'!$C$7,$D$6:$K$6,0)))</f>
        <v>915.42865315730046</v>
      </c>
      <c r="M13" s="107">
        <f>SUM(D13:K13)</f>
        <v>1712.2526632740908</v>
      </c>
      <c r="N13" s="63"/>
      <c r="O13" s="63"/>
    </row>
    <row r="14" spans="1:20">
      <c r="A14" s="36"/>
      <c r="B14" s="814" t="s">
        <v>195</v>
      </c>
      <c r="C14" s="162" t="str">
        <f>'RFPR cover'!$C$14</f>
        <v>£m 12/13</v>
      </c>
      <c r="D14" s="103">
        <f>D13-D12</f>
        <v>5.6715385096701141</v>
      </c>
      <c r="E14" s="104">
        <f t="shared" ref="E14:M14" si="1">E13-E12</f>
        <v>24.248125569405659</v>
      </c>
      <c r="F14" s="104">
        <f t="shared" si="1"/>
        <v>26.679163487009987</v>
      </c>
      <c r="G14" s="104">
        <f t="shared" si="1"/>
        <v>16.858642784803465</v>
      </c>
      <c r="H14" s="104">
        <f t="shared" si="1"/>
        <v>-9.2215728589747243</v>
      </c>
      <c r="I14" s="104">
        <f t="shared" si="1"/>
        <v>-15.6030145284941</v>
      </c>
      <c r="J14" s="104">
        <f t="shared" si="1"/>
        <v>-39.019565034337603</v>
      </c>
      <c r="K14" s="104">
        <f t="shared" si="1"/>
        <v>-36.603636612157885</v>
      </c>
      <c r="L14" s="103">
        <f t="shared" si="1"/>
        <v>73.457470350889253</v>
      </c>
      <c r="M14" s="105">
        <f t="shared" si="1"/>
        <v>-26.990318683074747</v>
      </c>
      <c r="N14" s="63"/>
      <c r="O14" s="994"/>
      <c r="P14" s="994"/>
      <c r="Q14" s="994"/>
      <c r="R14"/>
      <c r="S14"/>
      <c r="T14"/>
    </row>
    <row r="15" spans="1:20">
      <c r="A15" s="36"/>
      <c r="B15" s="814"/>
      <c r="C15" s="162"/>
      <c r="D15" s="59"/>
      <c r="E15" s="59"/>
      <c r="F15" s="59"/>
      <c r="G15" s="59"/>
      <c r="H15" s="59"/>
      <c r="I15" s="59"/>
      <c r="J15" s="59"/>
      <c r="K15" s="59"/>
      <c r="L15" s="59"/>
      <c r="M15" s="59"/>
      <c r="O15" s="64"/>
      <c r="P15" s="64"/>
      <c r="Q15" s="64"/>
      <c r="R15"/>
      <c r="S15"/>
      <c r="T15"/>
    </row>
    <row r="16" spans="1:20">
      <c r="A16" s="36"/>
      <c r="B16" s="808" t="s">
        <v>178</v>
      </c>
      <c r="C16" s="143" t="s">
        <v>7</v>
      </c>
      <c r="D16" s="110">
        <f>1-INDEX(Data!$D$73:$D$100,MATCH('RFPR cover'!$C$5,Data!$B$73:$B$100,0),0)</f>
        <v>0.44156296542217133</v>
      </c>
      <c r="E16" s="111">
        <f>1-INDEX(Data!$D$73:$D$100,MATCH('RFPR cover'!$C$5,Data!$B$73:$B$100,0),0)</f>
        <v>0.44156296542217133</v>
      </c>
      <c r="F16" s="111">
        <f>1-INDEX(Data!$D$73:$D$100,MATCH('RFPR cover'!$C$5,Data!$B$73:$B$100,0),0)</f>
        <v>0.44156296542217133</v>
      </c>
      <c r="G16" s="111">
        <f>1-INDEX(Data!$D$73:$D$100,MATCH('RFPR cover'!$C$5,Data!$B$73:$B$100,0),0)</f>
        <v>0.44156296542217133</v>
      </c>
      <c r="H16" s="111">
        <f>1-INDEX(Data!$D$73:$D$100,MATCH('RFPR cover'!$C$5,Data!$B$73:$B$100,0),0)</f>
        <v>0.44156296542217133</v>
      </c>
      <c r="I16" s="111">
        <f>1-INDEX(Data!$D$73:$D$100,MATCH('RFPR cover'!$C$5,Data!$B$73:$B$100,0),0)</f>
        <v>0.44156296542217133</v>
      </c>
      <c r="J16" s="111">
        <f>1-INDEX(Data!$D$73:$D$100,MATCH('RFPR cover'!$C$5,Data!$B$73:$B$100,0),0)</f>
        <v>0.44156296542217133</v>
      </c>
      <c r="K16" s="112">
        <f>1-INDEX(Data!$D$73:$D$100,MATCH('RFPR cover'!$C$5,Data!$B$73:$B$100,0),0)</f>
        <v>0.44156296542217133</v>
      </c>
      <c r="L16" s="62"/>
      <c r="M16" s="62"/>
      <c r="O16"/>
      <c r="P16"/>
      <c r="Q16"/>
      <c r="R16"/>
      <c r="S16"/>
      <c r="T16"/>
    </row>
    <row r="17" spans="1:20">
      <c r="A17" s="36"/>
      <c r="B17" s="808"/>
      <c r="O17"/>
      <c r="P17"/>
      <c r="Q17"/>
      <c r="R17"/>
      <c r="S17"/>
      <c r="T17"/>
    </row>
    <row r="18" spans="1:20">
      <c r="A18" s="36"/>
      <c r="B18" s="815" t="s">
        <v>183</v>
      </c>
      <c r="C18" s="166" t="str">
        <f>'RFPR cover'!$C$14</f>
        <v>£m 12/13</v>
      </c>
      <c r="D18" s="96">
        <f>D14*D16</f>
        <v>2.5043413628359779</v>
      </c>
      <c r="E18" s="97">
        <f t="shared" ref="E18:K18" si="2">E14*E16</f>
        <v>10.707074232355939</v>
      </c>
      <c r="F18" s="97">
        <f t="shared" si="2"/>
        <v>11.780530544307046</v>
      </c>
      <c r="G18" s="97">
        <f t="shared" si="2"/>
        <v>7.4441523010509103</v>
      </c>
      <c r="H18" s="97">
        <f t="shared" si="2"/>
        <v>-4.0719050574654894</v>
      </c>
      <c r="I18" s="97">
        <f t="shared" si="2"/>
        <v>-6.8897133647270774</v>
      </c>
      <c r="J18" s="97">
        <f t="shared" si="2"/>
        <v>-17.22959484604538</v>
      </c>
      <c r="K18" s="97">
        <f t="shared" si="2"/>
        <v>-16.162810327699997</v>
      </c>
      <c r="L18" s="96">
        <f>SUM(D18:INDEX(D18:K18,0,MATCH('RFPR cover'!$C$7,$D$6:$K$6,0)))</f>
        <v>32.436098440549877</v>
      </c>
      <c r="M18" s="98">
        <f>SUM(D18:K18)</f>
        <v>-11.917925155388065</v>
      </c>
      <c r="O18"/>
      <c r="P18"/>
      <c r="Q18"/>
      <c r="R18"/>
      <c r="S18"/>
      <c r="T18"/>
    </row>
    <row r="19" spans="1:20">
      <c r="A19" s="36"/>
      <c r="B19" s="815" t="s">
        <v>280</v>
      </c>
      <c r="C19" s="166" t="str">
        <f>'RFPR cover'!$C$14</f>
        <v>£m 12/13</v>
      </c>
      <c r="D19" s="93">
        <f>D14*(1-D16)</f>
        <v>3.1671971468341362</v>
      </c>
      <c r="E19" s="94">
        <f t="shared" ref="E19:K19" si="3">E14*(1-E16)</f>
        <v>13.541051337049719</v>
      </c>
      <c r="F19" s="94">
        <f t="shared" si="3"/>
        <v>14.898632942702941</v>
      </c>
      <c r="G19" s="94">
        <f t="shared" si="3"/>
        <v>9.4144904837525534</v>
      </c>
      <c r="H19" s="94">
        <f t="shared" si="3"/>
        <v>-5.149667801509235</v>
      </c>
      <c r="I19" s="94">
        <f t="shared" si="3"/>
        <v>-8.7133011637670226</v>
      </c>
      <c r="J19" s="94">
        <f t="shared" si="3"/>
        <v>-21.789970188292223</v>
      </c>
      <c r="K19" s="94">
        <f t="shared" si="3"/>
        <v>-20.440826284457888</v>
      </c>
      <c r="L19" s="93">
        <f>SUM(D19:INDEX(D19:K19,0,MATCH('RFPR cover'!$C$7,$D$6:$K$6,0)))</f>
        <v>41.021371910339347</v>
      </c>
      <c r="M19" s="95">
        <f>SUM(D19:K19)</f>
        <v>-15.072393527687016</v>
      </c>
      <c r="O19"/>
      <c r="P19"/>
      <c r="Q19"/>
      <c r="R19"/>
      <c r="S19"/>
      <c r="T19"/>
    </row>
    <row r="20" spans="1:20">
      <c r="A20" s="36"/>
      <c r="B20" s="808"/>
      <c r="O20"/>
      <c r="P20"/>
      <c r="Q20"/>
      <c r="R20"/>
      <c r="S20"/>
      <c r="T20"/>
    </row>
    <row r="21" spans="1:20">
      <c r="A21" s="36"/>
      <c r="B21" s="816" t="s">
        <v>182</v>
      </c>
      <c r="N21" s="63"/>
      <c r="O21"/>
      <c r="P21"/>
      <c r="Q21"/>
      <c r="R21"/>
      <c r="S21"/>
      <c r="T21"/>
    </row>
    <row r="22" spans="1:20">
      <c r="A22" s="282" t="s">
        <v>151</v>
      </c>
      <c r="B22" s="806" t="s">
        <v>573</v>
      </c>
      <c r="C22" s="162" t="str">
        <f>'RFPR cover'!$C$14</f>
        <v>£m 12/13</v>
      </c>
      <c r="D22" s="609"/>
      <c r="E22" s="610"/>
      <c r="F22" s="610"/>
      <c r="G22" s="610">
        <v>0.4488965363684585</v>
      </c>
      <c r="H22" s="610">
        <v>1.9335885426150878</v>
      </c>
      <c r="I22" s="610">
        <v>4.8015467923552109</v>
      </c>
      <c r="J22" s="610">
        <v>0</v>
      </c>
      <c r="K22" s="610">
        <v>0</v>
      </c>
      <c r="L22" s="611">
        <f>SUM(D22:INDEX(D22:K22,0,MATCH('RFPR cover'!$C$7,$D$6:$K$6,0)))</f>
        <v>0.4488965363684585</v>
      </c>
      <c r="M22" s="612">
        <f t="shared" ref="M22:M27" si="4">SUM(D22:K22)</f>
        <v>7.1840318713387568</v>
      </c>
      <c r="N22" s="600" t="s">
        <v>591</v>
      </c>
      <c r="O22"/>
      <c r="P22"/>
      <c r="Q22"/>
      <c r="R22"/>
      <c r="S22"/>
      <c r="T22"/>
    </row>
    <row r="23" spans="1:20">
      <c r="A23" s="282" t="s">
        <v>152</v>
      </c>
      <c r="B23" s="806" t="s">
        <v>577</v>
      </c>
      <c r="C23" s="162" t="str">
        <f>'RFPR cover'!$C$14</f>
        <v>£m 12/13</v>
      </c>
      <c r="D23" s="613"/>
      <c r="E23" s="614"/>
      <c r="F23" s="614"/>
      <c r="G23" s="614">
        <v>0.98087238136827137</v>
      </c>
      <c r="H23" s="614">
        <v>0.69349573366437578</v>
      </c>
      <c r="I23" s="614">
        <v>0.82232365573088417</v>
      </c>
      <c r="J23" s="614">
        <v>0.89586483594289634</v>
      </c>
      <c r="K23" s="614">
        <v>1.0942288192371186</v>
      </c>
      <c r="L23" s="615">
        <f>SUM(D23:INDEX(D23:K23,0,MATCH('RFPR cover'!$C$7,$D$6:$K$6,0)))</f>
        <v>0.98087238136827137</v>
      </c>
      <c r="M23" s="616">
        <f t="shared" si="4"/>
        <v>4.4867854259435465</v>
      </c>
      <c r="N23" s="601" t="s">
        <v>592</v>
      </c>
      <c r="O23"/>
      <c r="P23"/>
      <c r="Q23"/>
      <c r="R23"/>
      <c r="S23"/>
      <c r="T23"/>
    </row>
    <row r="24" spans="1:20">
      <c r="A24" s="282" t="s">
        <v>153</v>
      </c>
      <c r="B24" s="806" t="s">
        <v>574</v>
      </c>
      <c r="C24" s="162" t="str">
        <f>'RFPR cover'!$C$14</f>
        <v>£m 12/13</v>
      </c>
      <c r="D24" s="613">
        <v>0.01</v>
      </c>
      <c r="E24" s="614">
        <v>0.02</v>
      </c>
      <c r="F24" s="614">
        <v>0.04</v>
      </c>
      <c r="G24" s="614">
        <v>0.14000000000000001</v>
      </c>
      <c r="H24" s="614">
        <v>1.85</v>
      </c>
      <c r="I24" s="614">
        <v>0.01</v>
      </c>
      <c r="J24" s="614">
        <v>0.01</v>
      </c>
      <c r="K24" s="614">
        <v>0.01</v>
      </c>
      <c r="L24" s="615">
        <f>SUM(D24:INDEX(D24:K24,0,MATCH('RFPR cover'!$C$7,$D$6:$K$6,0)))</f>
        <v>0.21000000000000002</v>
      </c>
      <c r="M24" s="616">
        <f t="shared" si="4"/>
        <v>2.0899999999999994</v>
      </c>
      <c r="N24" s="601" t="s">
        <v>593</v>
      </c>
      <c r="O24"/>
      <c r="P24"/>
      <c r="Q24"/>
      <c r="R24"/>
      <c r="S24" s="65"/>
      <c r="T24"/>
    </row>
    <row r="25" spans="1:20">
      <c r="A25" s="282" t="s">
        <v>168</v>
      </c>
      <c r="B25" s="806" t="s">
        <v>575</v>
      </c>
      <c r="C25" s="162" t="str">
        <f>'RFPR cover'!$C$14</f>
        <v>£m 12/13</v>
      </c>
      <c r="D25" s="613">
        <v>0.32</v>
      </c>
      <c r="E25" s="614">
        <v>0.78</v>
      </c>
      <c r="F25" s="614">
        <v>0.89</v>
      </c>
      <c r="G25" s="614">
        <v>0.81</v>
      </c>
      <c r="H25" s="614">
        <v>1.37</v>
      </c>
      <c r="I25" s="614">
        <v>1.9</v>
      </c>
      <c r="J25" s="614">
        <v>3.0896784694405435</v>
      </c>
      <c r="K25" s="614">
        <v>4.039805198413303</v>
      </c>
      <c r="L25" s="615">
        <f>SUM(D25:INDEX(D25:K25,0,MATCH('RFPR cover'!$C$7,$D$6:$K$6,0)))</f>
        <v>2.8000000000000003</v>
      </c>
      <c r="M25" s="616">
        <f t="shared" si="4"/>
        <v>13.199483667853846</v>
      </c>
      <c r="N25" s="601" t="s">
        <v>595</v>
      </c>
      <c r="O25"/>
      <c r="P25"/>
      <c r="Q25"/>
      <c r="R25"/>
      <c r="S25"/>
      <c r="T25"/>
    </row>
    <row r="26" spans="1:20">
      <c r="A26" s="282" t="s">
        <v>169</v>
      </c>
      <c r="B26" s="806" t="s">
        <v>576</v>
      </c>
      <c r="C26" s="162" t="str">
        <f>'RFPR cover'!$C$14</f>
        <v>£m 12/13</v>
      </c>
      <c r="D26" s="613">
        <v>-19.372880664383057</v>
      </c>
      <c r="E26" s="614">
        <v>-29.463507176824997</v>
      </c>
      <c r="F26" s="614">
        <v>-28.921872145536916</v>
      </c>
      <c r="G26" s="614">
        <v>-14.170631489057484</v>
      </c>
      <c r="H26" s="614">
        <v>16.377203373138997</v>
      </c>
      <c r="I26" s="614">
        <v>12.94785482741826</v>
      </c>
      <c r="J26" s="614">
        <v>29.416722700080438</v>
      </c>
      <c r="K26" s="614">
        <v>33.187110575164766</v>
      </c>
      <c r="L26" s="615">
        <f>SUM(D26:INDEX(D26:K26,0,MATCH('RFPR cover'!$C$7,$D$6:$K$6,0)))</f>
        <v>-91.928891475802459</v>
      </c>
      <c r="M26" s="616">
        <f t="shared" si="4"/>
        <v>0</v>
      </c>
      <c r="N26" s="601" t="s">
        <v>594</v>
      </c>
      <c r="O26"/>
      <c r="P26"/>
      <c r="Q26"/>
      <c r="R26"/>
      <c r="S26"/>
      <c r="T26"/>
    </row>
    <row r="27" spans="1:20">
      <c r="A27" s="282" t="s">
        <v>170</v>
      </c>
      <c r="B27" s="806" t="s">
        <v>242</v>
      </c>
      <c r="C27" s="162" t="str">
        <f>'RFPR cover'!$C$14</f>
        <v>£m 12/13</v>
      </c>
      <c r="D27" s="617"/>
      <c r="E27" s="618"/>
      <c r="F27" s="618"/>
      <c r="G27" s="618"/>
      <c r="H27" s="618"/>
      <c r="I27" s="618"/>
      <c r="J27" s="618"/>
      <c r="K27" s="618"/>
      <c r="L27" s="619">
        <f>SUM(D27:INDEX(D27:K27,0,MATCH('RFPR cover'!$C$7,$D$6:$K$6,0)))</f>
        <v>0</v>
      </c>
      <c r="M27" s="620">
        <f t="shared" si="4"/>
        <v>0</v>
      </c>
      <c r="N27" s="602"/>
      <c r="O27"/>
      <c r="P27"/>
      <c r="Q27"/>
      <c r="R27"/>
      <c r="S27"/>
      <c r="T27"/>
    </row>
    <row r="28" spans="1:20">
      <c r="A28" s="36"/>
      <c r="B28" s="816" t="s">
        <v>190</v>
      </c>
      <c r="C28" s="162" t="str">
        <f>'RFPR cover'!$C$14</f>
        <v>£m 12/13</v>
      </c>
      <c r="D28" s="103">
        <f>SUM(D22:D27)</f>
        <v>-19.042880664383059</v>
      </c>
      <c r="E28" s="104">
        <f t="shared" ref="E28:K28" si="5">SUM(E22:E27)</f>
        <v>-28.663507176824996</v>
      </c>
      <c r="F28" s="104">
        <f t="shared" si="5"/>
        <v>-27.991872145536917</v>
      </c>
      <c r="G28" s="104">
        <f t="shared" si="5"/>
        <v>-11.790862571320755</v>
      </c>
      <c r="H28" s="104">
        <f t="shared" si="5"/>
        <v>22.224287649418461</v>
      </c>
      <c r="I28" s="104">
        <f t="shared" si="5"/>
        <v>20.481725275504353</v>
      </c>
      <c r="J28" s="104">
        <f t="shared" si="5"/>
        <v>33.412266005463877</v>
      </c>
      <c r="K28" s="104">
        <f t="shared" si="5"/>
        <v>38.331144592815185</v>
      </c>
      <c r="L28" s="103">
        <f>SUM(D28:INDEX(D28:K28,0,MATCH('RFPR cover'!$C$7,$D$6:$K$6,0)))</f>
        <v>-87.489122558065731</v>
      </c>
      <c r="M28" s="105">
        <f>SUM(D28:K28)</f>
        <v>26.960300965136142</v>
      </c>
      <c r="N28" s="63"/>
    </row>
    <row r="29" spans="1:20">
      <c r="A29" s="36"/>
      <c r="B29" s="808"/>
    </row>
    <row r="30" spans="1:20">
      <c r="A30" s="36"/>
      <c r="B30" s="815" t="s">
        <v>198</v>
      </c>
      <c r="C30" s="166" t="str">
        <f>'RFPR cover'!$C$14</f>
        <v>£m 12/13</v>
      </c>
      <c r="D30" s="96">
        <f t="shared" ref="D30:K30" si="6">D28*D16</f>
        <v>-8.4086308563455123</v>
      </c>
      <c r="E30" s="97">
        <f t="shared" si="6"/>
        <v>-12.656743228398536</v>
      </c>
      <c r="F30" s="97">
        <f t="shared" si="6"/>
        <v>-12.360174072301557</v>
      </c>
      <c r="G30" s="97">
        <f t="shared" si="6"/>
        <v>-5.2064082418776803</v>
      </c>
      <c r="H30" s="97">
        <f t="shared" si="6"/>
        <v>9.8134223588725522</v>
      </c>
      <c r="I30" s="97">
        <f t="shared" si="6"/>
        <v>9.0439713496139404</v>
      </c>
      <c r="J30" s="97">
        <f t="shared" si="6"/>
        <v>14.753619258847037</v>
      </c>
      <c r="K30" s="97">
        <f t="shared" si="6"/>
        <v>16.925613874429501</v>
      </c>
      <c r="L30" s="96">
        <f>SUM(D30:INDEX(D30:K30,0,MATCH('RFPR cover'!$C$7,$D$6:$K$6,0)))</f>
        <v>-38.631956398923293</v>
      </c>
      <c r="M30" s="98">
        <f>SUM(D30:K30)</f>
        <v>11.904670442839736</v>
      </c>
    </row>
    <row r="31" spans="1:20">
      <c r="A31" s="36"/>
      <c r="B31" s="815" t="s">
        <v>308</v>
      </c>
      <c r="C31" s="166" t="str">
        <f>'RFPR cover'!$C$14</f>
        <v>£m 12/13</v>
      </c>
      <c r="D31" s="93">
        <f t="shared" ref="D31:K31" si="7">D28*(1-D16)</f>
        <v>-10.634249808037547</v>
      </c>
      <c r="E31" s="94">
        <f t="shared" si="7"/>
        <v>-16.00676394842646</v>
      </c>
      <c r="F31" s="94">
        <f t="shared" si="7"/>
        <v>-15.631698073235359</v>
      </c>
      <c r="G31" s="94">
        <f t="shared" si="7"/>
        <v>-6.5844543294430746</v>
      </c>
      <c r="H31" s="94">
        <f t="shared" si="7"/>
        <v>12.410865290545908</v>
      </c>
      <c r="I31" s="94">
        <f t="shared" si="7"/>
        <v>11.437753925890412</v>
      </c>
      <c r="J31" s="94">
        <f t="shared" si="7"/>
        <v>18.658646746616842</v>
      </c>
      <c r="K31" s="94">
        <f t="shared" si="7"/>
        <v>21.405530718385684</v>
      </c>
      <c r="L31" s="93">
        <f>SUM(D31:INDEX(D31:K31,0,MATCH('RFPR cover'!$C$7,$D$6:$K$6,0)))</f>
        <v>-48.857166159142437</v>
      </c>
      <c r="M31" s="95">
        <f>SUM(D31:K31)</f>
        <v>15.055630522296408</v>
      </c>
    </row>
    <row r="32" spans="1:20">
      <c r="A32" s="36"/>
      <c r="B32" s="808"/>
    </row>
    <row r="33" spans="1:20">
      <c r="A33" s="36"/>
      <c r="B33" s="816" t="s">
        <v>181</v>
      </c>
    </row>
    <row r="34" spans="1:20">
      <c r="A34" s="36"/>
      <c r="B34" s="808" t="s">
        <v>180</v>
      </c>
      <c r="C34" s="162" t="str">
        <f>'RFPR cover'!$C$14</f>
        <v>£m 12/13</v>
      </c>
      <c r="D34" s="96">
        <f>D18+D30</f>
        <v>-5.904289493509534</v>
      </c>
      <c r="E34" s="97">
        <f t="shared" ref="E34:K34" si="8">E18+E30</f>
        <v>-1.9496689960425968</v>
      </c>
      <c r="F34" s="97">
        <f t="shared" si="8"/>
        <v>-0.57964352799451113</v>
      </c>
      <c r="G34" s="97">
        <f t="shared" si="8"/>
        <v>2.23774405917323</v>
      </c>
      <c r="H34" s="97">
        <f t="shared" si="8"/>
        <v>5.7415173014070628</v>
      </c>
      <c r="I34" s="97">
        <f t="shared" si="8"/>
        <v>2.154257984886863</v>
      </c>
      <c r="J34" s="97">
        <f t="shared" si="8"/>
        <v>-2.4759755871983433</v>
      </c>
      <c r="K34" s="97">
        <f t="shared" si="8"/>
        <v>0.76280354672950423</v>
      </c>
      <c r="L34" s="96">
        <f>SUM(D34:INDEX(D34:K34,0,MATCH('RFPR cover'!$C$7,$D$6:$K$6,0)))</f>
        <v>-6.1958579583734119</v>
      </c>
      <c r="M34" s="98">
        <f>SUM(D34:K34)</f>
        <v>-1.3254712548325109E-2</v>
      </c>
    </row>
    <row r="35" spans="1:20">
      <c r="A35" s="36"/>
      <c r="B35" s="808" t="s">
        <v>280</v>
      </c>
      <c r="C35" s="162" t="str">
        <f>'RFPR cover'!$C$14</f>
        <v>£m 12/13</v>
      </c>
      <c r="D35" s="99">
        <f>D19+D31</f>
        <v>-7.4670526612034109</v>
      </c>
      <c r="E35" s="100">
        <f t="shared" ref="E35:K35" si="9">E19+E31</f>
        <v>-2.4657126113767411</v>
      </c>
      <c r="F35" s="100">
        <f t="shared" si="9"/>
        <v>-0.73306513053241851</v>
      </c>
      <c r="G35" s="100">
        <f t="shared" si="9"/>
        <v>2.8300361543094787</v>
      </c>
      <c r="H35" s="100">
        <f t="shared" si="9"/>
        <v>7.2611974890366735</v>
      </c>
      <c r="I35" s="100">
        <f t="shared" si="9"/>
        <v>2.7244527621233896</v>
      </c>
      <c r="J35" s="100">
        <f t="shared" si="9"/>
        <v>-3.1313234416753808</v>
      </c>
      <c r="K35" s="100">
        <f t="shared" si="9"/>
        <v>0.96470443392779615</v>
      </c>
      <c r="L35" s="99">
        <f>SUM(D35:INDEX(D35:K35,0,MATCH('RFPR cover'!$C$7,$D$6:$K$6,0)))</f>
        <v>-7.8357942488030918</v>
      </c>
      <c r="M35" s="101">
        <f>SUM(D35:K35)</f>
        <v>-1.6763005390613372E-2</v>
      </c>
    </row>
    <row r="36" spans="1:20">
      <c r="A36" s="36"/>
      <c r="B36" s="816" t="s">
        <v>11</v>
      </c>
      <c r="C36" s="163" t="str">
        <f>'RFPR cover'!$C$14</f>
        <v>£m 12/13</v>
      </c>
      <c r="D36" s="146">
        <f>SUM(D34:D35)</f>
        <v>-13.371342154712945</v>
      </c>
      <c r="E36" s="147">
        <f t="shared" ref="E36:K36" si="10">SUM(E34:E35)</f>
        <v>-4.4153816074193379</v>
      </c>
      <c r="F36" s="147">
        <f t="shared" si="10"/>
        <v>-1.3127086585269296</v>
      </c>
      <c r="G36" s="147">
        <f t="shared" si="10"/>
        <v>5.0677802134827088</v>
      </c>
      <c r="H36" s="147">
        <f t="shared" si="10"/>
        <v>13.002714790443736</v>
      </c>
      <c r="I36" s="147">
        <f t="shared" si="10"/>
        <v>4.8787107470102526</v>
      </c>
      <c r="J36" s="147">
        <f t="shared" si="10"/>
        <v>-5.6072990288737241</v>
      </c>
      <c r="K36" s="147">
        <f t="shared" si="10"/>
        <v>1.7275079806573004</v>
      </c>
      <c r="L36" s="146">
        <f>SUM(D36:INDEX(D36:K36,0,MATCH('RFPR cover'!$C$7,$D$6:$K$6,0)))</f>
        <v>-14.031652207176503</v>
      </c>
      <c r="M36" s="148">
        <f>SUM(D36:K36)</f>
        <v>-3.0017717938937594E-2</v>
      </c>
    </row>
    <row r="37" spans="1:20">
      <c r="A37" s="36"/>
      <c r="B37" s="808"/>
    </row>
    <row r="38" spans="1:20">
      <c r="A38" s="36"/>
      <c r="B38" s="811" t="str">
        <f>Data!B51</f>
        <v>n/a</v>
      </c>
      <c r="C38" s="157"/>
      <c r="D38" s="82"/>
      <c r="E38" s="82"/>
      <c r="F38" s="82"/>
      <c r="G38" s="82"/>
      <c r="H38" s="82"/>
      <c r="I38" s="82"/>
      <c r="J38" s="82"/>
      <c r="K38" s="82"/>
      <c r="L38" s="82"/>
      <c r="M38" s="82"/>
      <c r="N38" s="82"/>
    </row>
    <row r="39" spans="1:20" s="36" customFormat="1">
      <c r="B39" s="809"/>
      <c r="C39" s="145"/>
      <c r="D39" s="338"/>
      <c r="E39" s="338"/>
      <c r="F39" s="338"/>
      <c r="G39" s="338"/>
      <c r="H39" s="338"/>
      <c r="I39" s="338"/>
      <c r="J39" s="338"/>
      <c r="K39" s="338"/>
      <c r="L39" s="338"/>
      <c r="M39" s="338"/>
      <c r="N39" s="338"/>
    </row>
    <row r="40" spans="1:20">
      <c r="A40" s="36"/>
      <c r="B40" s="323" t="s">
        <v>34</v>
      </c>
      <c r="C40" s="162" t="str">
        <f>'RFPR cover'!$C$14</f>
        <v>£m 12/13</v>
      </c>
      <c r="D40" s="676"/>
      <c r="E40" s="677"/>
      <c r="F40" s="677"/>
      <c r="G40" s="677"/>
      <c r="H40" s="677"/>
      <c r="I40" s="677"/>
      <c r="J40" s="677"/>
      <c r="K40" s="677"/>
      <c r="L40" s="678">
        <f>SUM(D40:INDEX(D40:K40,0,MATCH('RFPR cover'!$C$7,$D$6:$K$6,0)))</f>
        <v>0</v>
      </c>
      <c r="M40" s="679">
        <f>SUM(D40:K40)</f>
        <v>0</v>
      </c>
      <c r="N40" s="370"/>
      <c r="O40" s="63"/>
    </row>
    <row r="41" spans="1:20" ht="25.5">
      <c r="A41" s="36"/>
      <c r="B41" s="813" t="s">
        <v>506</v>
      </c>
      <c r="C41" s="162" t="str">
        <f>'RFPR cover'!$C$14</f>
        <v>£m 12/13</v>
      </c>
      <c r="D41" s="680"/>
      <c r="E41" s="681"/>
      <c r="F41" s="681"/>
      <c r="G41" s="681"/>
      <c r="H41" s="681"/>
      <c r="I41" s="681"/>
      <c r="J41" s="681"/>
      <c r="K41" s="681"/>
      <c r="L41" s="682">
        <f>SUM(D41:INDEX(D41:K41,0,MATCH('RFPR cover'!$C$7,$D$6:$K$6,0)))</f>
        <v>0</v>
      </c>
      <c r="M41" s="683">
        <f>SUM(D41:K41)</f>
        <v>0</v>
      </c>
      <c r="N41" s="370"/>
      <c r="O41" s="63"/>
    </row>
    <row r="42" spans="1:20">
      <c r="A42" s="36"/>
      <c r="B42" s="814" t="s">
        <v>195</v>
      </c>
      <c r="C42" s="162" t="str">
        <f>'RFPR cover'!$C$14</f>
        <v>£m 12/13</v>
      </c>
      <c r="D42" s="103">
        <f>D41-D40</f>
        <v>0</v>
      </c>
      <c r="E42" s="104">
        <f t="shared" ref="E42:M42" si="11">E41-E40</f>
        <v>0</v>
      </c>
      <c r="F42" s="104">
        <f t="shared" si="11"/>
        <v>0</v>
      </c>
      <c r="G42" s="104">
        <f t="shared" si="11"/>
        <v>0</v>
      </c>
      <c r="H42" s="104">
        <f t="shared" si="11"/>
        <v>0</v>
      </c>
      <c r="I42" s="104">
        <f t="shared" si="11"/>
        <v>0</v>
      </c>
      <c r="J42" s="104">
        <f t="shared" si="11"/>
        <v>0</v>
      </c>
      <c r="K42" s="104">
        <f t="shared" si="11"/>
        <v>0</v>
      </c>
      <c r="L42" s="373">
        <f t="shared" si="11"/>
        <v>0</v>
      </c>
      <c r="M42" s="374">
        <f t="shared" si="11"/>
        <v>0</v>
      </c>
      <c r="N42" s="371"/>
      <c r="O42" s="994"/>
      <c r="P42" s="994"/>
      <c r="Q42" s="994"/>
      <c r="R42"/>
      <c r="S42"/>
      <c r="T42"/>
    </row>
    <row r="43" spans="1:20">
      <c r="A43" s="36"/>
      <c r="B43" s="814"/>
      <c r="C43" s="162"/>
      <c r="D43" s="59"/>
      <c r="E43" s="59"/>
      <c r="F43" s="59"/>
      <c r="G43" s="59"/>
      <c r="H43" s="59"/>
      <c r="I43" s="59"/>
      <c r="J43" s="59"/>
      <c r="K43" s="59"/>
      <c r="L43" s="59"/>
      <c r="M43" s="59"/>
      <c r="N43" s="367"/>
      <c r="O43" s="64"/>
      <c r="P43" s="64"/>
      <c r="Q43" s="64"/>
      <c r="R43"/>
      <c r="S43"/>
      <c r="T43"/>
    </row>
    <row r="44" spans="1:20">
      <c r="A44" s="36"/>
      <c r="B44" s="808" t="s">
        <v>178</v>
      </c>
      <c r="C44" s="143" t="s">
        <v>7</v>
      </c>
      <c r="D44" s="110">
        <f>1-INDEX(Data!$D$73:$D$100,MATCH('RFPR cover'!$C$5,Data!$B$73:$B$100,0),0)</f>
        <v>0.44156296542217133</v>
      </c>
      <c r="E44" s="111">
        <f>1-INDEX(Data!$D$73:$D$100,MATCH('RFPR cover'!$C$5,Data!$B$73:$B$100,0),0)</f>
        <v>0.44156296542217133</v>
      </c>
      <c r="F44" s="111">
        <f>1-INDEX(Data!$D$73:$D$100,MATCH('RFPR cover'!$C$5,Data!$B$73:$B$100,0),0)</f>
        <v>0.44156296542217133</v>
      </c>
      <c r="G44" s="111">
        <f>1-INDEX(Data!$D$73:$D$100,MATCH('RFPR cover'!$C$5,Data!$B$73:$B$100,0),0)</f>
        <v>0.44156296542217133</v>
      </c>
      <c r="H44" s="111">
        <f>1-INDEX(Data!$D$73:$D$100,MATCH('RFPR cover'!$C$5,Data!$B$73:$B$100,0),0)</f>
        <v>0.44156296542217133</v>
      </c>
      <c r="I44" s="111">
        <f>1-INDEX(Data!$D$73:$D$100,MATCH('RFPR cover'!$C$5,Data!$B$73:$B$100,0),0)</f>
        <v>0.44156296542217133</v>
      </c>
      <c r="J44" s="111">
        <f>1-INDEX(Data!$D$73:$D$100,MATCH('RFPR cover'!$C$5,Data!$B$73:$B$100,0),0)</f>
        <v>0.44156296542217133</v>
      </c>
      <c r="K44" s="112">
        <f>1-INDEX(Data!$D$73:$D$100,MATCH('RFPR cover'!$C$5,Data!$B$73:$B$100,0),0)</f>
        <v>0.44156296542217133</v>
      </c>
      <c r="L44" s="62"/>
      <c r="M44" s="62"/>
      <c r="N44" s="368"/>
      <c r="O44"/>
      <c r="P44"/>
      <c r="Q44"/>
      <c r="R44"/>
      <c r="S44"/>
      <c r="T44"/>
    </row>
    <row r="45" spans="1:20">
      <c r="A45" s="36"/>
      <c r="B45" s="808"/>
      <c r="N45" s="369"/>
      <c r="O45"/>
      <c r="P45"/>
      <c r="Q45"/>
      <c r="R45"/>
      <c r="S45"/>
      <c r="T45"/>
    </row>
    <row r="46" spans="1:20">
      <c r="A46" s="36"/>
      <c r="B46" s="815" t="s">
        <v>183</v>
      </c>
      <c r="C46" s="166" t="str">
        <f>'RFPR cover'!$C$14</f>
        <v>£m 12/13</v>
      </c>
      <c r="D46" s="96">
        <f>D42*D44</f>
        <v>0</v>
      </c>
      <c r="E46" s="97">
        <f t="shared" ref="E46:K46" si="12">E42*E44</f>
        <v>0</v>
      </c>
      <c r="F46" s="97">
        <f t="shared" si="12"/>
        <v>0</v>
      </c>
      <c r="G46" s="97">
        <f t="shared" si="12"/>
        <v>0</v>
      </c>
      <c r="H46" s="97">
        <f t="shared" si="12"/>
        <v>0</v>
      </c>
      <c r="I46" s="97">
        <f t="shared" si="12"/>
        <v>0</v>
      </c>
      <c r="J46" s="97">
        <f t="shared" si="12"/>
        <v>0</v>
      </c>
      <c r="K46" s="97">
        <f t="shared" si="12"/>
        <v>0</v>
      </c>
      <c r="L46" s="375">
        <f>SUM(D46:INDEX(D46:K46,0,MATCH('RFPR cover'!$C$7,$D$6:$K$6,0)))</f>
        <v>0</v>
      </c>
      <c r="M46" s="603">
        <f>SUM(D46:K46)</f>
        <v>0</v>
      </c>
      <c r="N46" s="371"/>
      <c r="O46"/>
      <c r="P46"/>
      <c r="Q46"/>
      <c r="R46"/>
      <c r="S46"/>
      <c r="T46"/>
    </row>
    <row r="47" spans="1:20">
      <c r="A47" s="36"/>
      <c r="B47" s="815" t="s">
        <v>280</v>
      </c>
      <c r="C47" s="166" t="str">
        <f>'RFPR cover'!$C$14</f>
        <v>£m 12/13</v>
      </c>
      <c r="D47" s="605">
        <f>D42*(1-D44)</f>
        <v>0</v>
      </c>
      <c r="E47" s="606">
        <f t="shared" ref="E47:K47" si="13">E42*(1-E44)</f>
        <v>0</v>
      </c>
      <c r="F47" s="606">
        <f t="shared" si="13"/>
        <v>0</v>
      </c>
      <c r="G47" s="606">
        <f t="shared" si="13"/>
        <v>0</v>
      </c>
      <c r="H47" s="606">
        <f t="shared" si="13"/>
        <v>0</v>
      </c>
      <c r="I47" s="606">
        <f t="shared" si="13"/>
        <v>0</v>
      </c>
      <c r="J47" s="606">
        <f t="shared" si="13"/>
        <v>0</v>
      </c>
      <c r="K47" s="606">
        <f t="shared" si="13"/>
        <v>0</v>
      </c>
      <c r="L47" s="607">
        <f>SUM(D47:INDEX(D47:K47,0,MATCH('RFPR cover'!$C$7,$D$6:$K$6,0)))</f>
        <v>0</v>
      </c>
      <c r="M47" s="608">
        <f>SUM(D47:K47)</f>
        <v>0</v>
      </c>
      <c r="N47" s="371"/>
      <c r="O47"/>
      <c r="P47"/>
      <c r="Q47"/>
      <c r="R47"/>
      <c r="S47"/>
      <c r="T47"/>
    </row>
    <row r="48" spans="1:20">
      <c r="A48" s="36"/>
      <c r="B48" s="808"/>
      <c r="N48" s="369"/>
      <c r="O48"/>
      <c r="P48"/>
      <c r="Q48"/>
      <c r="R48"/>
      <c r="S48"/>
      <c r="T48"/>
    </row>
    <row r="49" spans="1:20">
      <c r="A49" s="36"/>
      <c r="B49" s="816" t="s">
        <v>182</v>
      </c>
      <c r="N49" s="369"/>
      <c r="O49"/>
      <c r="P49"/>
      <c r="Q49"/>
      <c r="R49"/>
      <c r="S49"/>
      <c r="T49"/>
    </row>
    <row r="50" spans="1:20">
      <c r="A50" s="282" t="s">
        <v>151</v>
      </c>
      <c r="B50" s="806" t="s">
        <v>242</v>
      </c>
      <c r="C50" s="162" t="str">
        <f>'RFPR cover'!$C$14</f>
        <v>£m 12/13</v>
      </c>
      <c r="D50" s="609"/>
      <c r="E50" s="610"/>
      <c r="F50" s="610"/>
      <c r="G50" s="610"/>
      <c r="H50" s="610"/>
      <c r="I50" s="610"/>
      <c r="J50" s="610"/>
      <c r="K50" s="610"/>
      <c r="L50" s="684">
        <f>SUM(D50:INDEX(D50:K50,0,MATCH('RFPR cover'!$C$7,$D$6:$K$6,0)))</f>
        <v>0</v>
      </c>
      <c r="M50" s="685">
        <f t="shared" ref="M50:M56" si="14">SUM(D50:K50)</f>
        <v>0</v>
      </c>
      <c r="N50" s="600"/>
      <c r="O50"/>
      <c r="P50"/>
      <c r="Q50"/>
      <c r="R50"/>
      <c r="S50"/>
      <c r="T50"/>
    </row>
    <row r="51" spans="1:20">
      <c r="A51" s="282" t="s">
        <v>152</v>
      </c>
      <c r="B51" s="806" t="s">
        <v>242</v>
      </c>
      <c r="C51" s="162" t="str">
        <f>'RFPR cover'!$C$14</f>
        <v>£m 12/13</v>
      </c>
      <c r="D51" s="613"/>
      <c r="E51" s="614"/>
      <c r="F51" s="614"/>
      <c r="G51" s="614"/>
      <c r="H51" s="614"/>
      <c r="I51" s="614"/>
      <c r="J51" s="614"/>
      <c r="K51" s="614"/>
      <c r="L51" s="686">
        <f>SUM(D51:INDEX(D51:K51,0,MATCH('RFPR cover'!$C$7,$D$6:$K$6,0)))</f>
        <v>0</v>
      </c>
      <c r="M51" s="687">
        <f t="shared" si="14"/>
        <v>0</v>
      </c>
      <c r="N51" s="601"/>
      <c r="O51"/>
      <c r="P51"/>
      <c r="Q51"/>
      <c r="R51"/>
      <c r="S51"/>
      <c r="T51"/>
    </row>
    <row r="52" spans="1:20">
      <c r="A52" s="282" t="s">
        <v>153</v>
      </c>
      <c r="B52" s="806" t="s">
        <v>242</v>
      </c>
      <c r="C52" s="162" t="str">
        <f>'RFPR cover'!$C$14</f>
        <v>£m 12/13</v>
      </c>
      <c r="D52" s="613"/>
      <c r="E52" s="614"/>
      <c r="F52" s="614"/>
      <c r="G52" s="614"/>
      <c r="H52" s="614"/>
      <c r="I52" s="614"/>
      <c r="J52" s="614"/>
      <c r="K52" s="614"/>
      <c r="L52" s="686">
        <f>SUM(D52:INDEX(D52:K52,0,MATCH('RFPR cover'!$C$7,$D$6:$K$6,0)))</f>
        <v>0</v>
      </c>
      <c r="M52" s="687">
        <f t="shared" si="14"/>
        <v>0</v>
      </c>
      <c r="N52" s="601"/>
      <c r="O52"/>
      <c r="P52"/>
      <c r="Q52"/>
      <c r="R52"/>
      <c r="S52" s="65"/>
      <c r="T52"/>
    </row>
    <row r="53" spans="1:20">
      <c r="A53" s="282" t="s">
        <v>168</v>
      </c>
      <c r="B53" s="806" t="s">
        <v>242</v>
      </c>
      <c r="C53" s="162" t="str">
        <f>'RFPR cover'!$C$14</f>
        <v>£m 12/13</v>
      </c>
      <c r="D53" s="613"/>
      <c r="E53" s="614"/>
      <c r="F53" s="614"/>
      <c r="G53" s="614"/>
      <c r="H53" s="614"/>
      <c r="I53" s="614"/>
      <c r="J53" s="614"/>
      <c r="K53" s="614"/>
      <c r="L53" s="686">
        <f>SUM(D53:INDEX(D53:K53,0,MATCH('RFPR cover'!$C$7,$D$6:$K$6,0)))</f>
        <v>0</v>
      </c>
      <c r="M53" s="687">
        <f t="shared" si="14"/>
        <v>0</v>
      </c>
      <c r="N53" s="601"/>
      <c r="O53"/>
      <c r="P53"/>
      <c r="Q53"/>
      <c r="R53"/>
      <c r="S53"/>
      <c r="T53"/>
    </row>
    <row r="54" spans="1:20">
      <c r="A54" s="282" t="s">
        <v>169</v>
      </c>
      <c r="B54" s="806" t="s">
        <v>242</v>
      </c>
      <c r="C54" s="162" t="str">
        <f>'RFPR cover'!$C$14</f>
        <v>£m 12/13</v>
      </c>
      <c r="D54" s="613"/>
      <c r="E54" s="614"/>
      <c r="F54" s="614"/>
      <c r="G54" s="614"/>
      <c r="H54" s="614"/>
      <c r="I54" s="614"/>
      <c r="J54" s="614"/>
      <c r="K54" s="614"/>
      <c r="L54" s="686">
        <f>SUM(D54:INDEX(D54:K54,0,MATCH('RFPR cover'!$C$7,$D$6:$K$6,0)))</f>
        <v>0</v>
      </c>
      <c r="M54" s="687">
        <f t="shared" si="14"/>
        <v>0</v>
      </c>
      <c r="N54" s="601"/>
      <c r="O54"/>
      <c r="P54"/>
      <c r="Q54"/>
      <c r="R54"/>
      <c r="S54"/>
      <c r="T54"/>
    </row>
    <row r="55" spans="1:20">
      <c r="A55" s="282" t="s">
        <v>170</v>
      </c>
      <c r="B55" s="806" t="s">
        <v>242</v>
      </c>
      <c r="C55" s="162" t="str">
        <f>'RFPR cover'!$C$14</f>
        <v>£m 12/13</v>
      </c>
      <c r="D55" s="617"/>
      <c r="E55" s="618"/>
      <c r="F55" s="618"/>
      <c r="G55" s="618"/>
      <c r="H55" s="618"/>
      <c r="I55" s="618"/>
      <c r="J55" s="618"/>
      <c r="K55" s="618"/>
      <c r="L55" s="688">
        <f>SUM(D55:INDEX(D55:K55,0,MATCH('RFPR cover'!$C$7,$D$6:$K$6,0)))</f>
        <v>0</v>
      </c>
      <c r="M55" s="689">
        <f t="shared" si="14"/>
        <v>0</v>
      </c>
      <c r="N55" s="602"/>
      <c r="O55"/>
      <c r="P55"/>
      <c r="Q55"/>
      <c r="R55"/>
      <c r="S55"/>
      <c r="T55"/>
    </row>
    <row r="56" spans="1:20">
      <c r="A56" s="36"/>
      <c r="B56" s="816" t="s">
        <v>190</v>
      </c>
      <c r="C56" s="162" t="str">
        <f>'RFPR cover'!$C$14</f>
        <v>£m 12/13</v>
      </c>
      <c r="D56" s="103">
        <f>SUM(D50:D55)</f>
        <v>0</v>
      </c>
      <c r="E56" s="104">
        <f t="shared" ref="E56:K56" si="15">SUM(E50:E55)</f>
        <v>0</v>
      </c>
      <c r="F56" s="104">
        <f t="shared" si="15"/>
        <v>0</v>
      </c>
      <c r="G56" s="104">
        <f t="shared" si="15"/>
        <v>0</v>
      </c>
      <c r="H56" s="104">
        <f t="shared" si="15"/>
        <v>0</v>
      </c>
      <c r="I56" s="104">
        <f t="shared" si="15"/>
        <v>0</v>
      </c>
      <c r="J56" s="104">
        <f t="shared" si="15"/>
        <v>0</v>
      </c>
      <c r="K56" s="104">
        <f t="shared" si="15"/>
        <v>0</v>
      </c>
      <c r="L56" s="373">
        <f>SUM(D56:INDEX(D56:K56,0,MATCH('RFPR cover'!$C$7,$D$6:$K$6,0)))</f>
        <v>0</v>
      </c>
      <c r="M56" s="374">
        <f t="shared" si="14"/>
        <v>0</v>
      </c>
      <c r="N56" s="371"/>
    </row>
    <row r="57" spans="1:20">
      <c r="A57" s="36"/>
      <c r="B57" s="808"/>
      <c r="N57" s="369"/>
    </row>
    <row r="58" spans="1:20">
      <c r="A58" s="36"/>
      <c r="B58" s="815" t="s">
        <v>198</v>
      </c>
      <c r="C58" s="166" t="str">
        <f>'RFPR cover'!$C$14</f>
        <v>£m 12/13</v>
      </c>
      <c r="D58" s="96">
        <f t="shared" ref="D58:K58" si="16">D56*D44</f>
        <v>0</v>
      </c>
      <c r="E58" s="97">
        <f t="shared" si="16"/>
        <v>0</v>
      </c>
      <c r="F58" s="97">
        <f t="shared" si="16"/>
        <v>0</v>
      </c>
      <c r="G58" s="97">
        <f t="shared" si="16"/>
        <v>0</v>
      </c>
      <c r="H58" s="97">
        <f t="shared" si="16"/>
        <v>0</v>
      </c>
      <c r="I58" s="97">
        <f t="shared" si="16"/>
        <v>0</v>
      </c>
      <c r="J58" s="97">
        <f t="shared" si="16"/>
        <v>0</v>
      </c>
      <c r="K58" s="97">
        <f t="shared" si="16"/>
        <v>0</v>
      </c>
      <c r="L58" s="375">
        <f>SUM(D58:INDEX(D58:K58,0,MATCH('RFPR cover'!$C$7,$D$6:$K$6,0)))</f>
        <v>0</v>
      </c>
      <c r="M58" s="603">
        <f>SUM(D58:K58)</f>
        <v>0</v>
      </c>
      <c r="N58" s="371"/>
    </row>
    <row r="59" spans="1:20">
      <c r="A59" s="36"/>
      <c r="B59" s="815" t="s">
        <v>308</v>
      </c>
      <c r="C59" s="166" t="str">
        <f>'RFPR cover'!$C$14</f>
        <v>£m 12/13</v>
      </c>
      <c r="D59" s="93">
        <f t="shared" ref="D59:K59" si="17">D56*(1-D44)</f>
        <v>0</v>
      </c>
      <c r="E59" s="94">
        <f t="shared" si="17"/>
        <v>0</v>
      </c>
      <c r="F59" s="94">
        <f t="shared" si="17"/>
        <v>0</v>
      </c>
      <c r="G59" s="94">
        <f t="shared" si="17"/>
        <v>0</v>
      </c>
      <c r="H59" s="94">
        <f t="shared" si="17"/>
        <v>0</v>
      </c>
      <c r="I59" s="94">
        <f t="shared" si="17"/>
        <v>0</v>
      </c>
      <c r="J59" s="94">
        <f t="shared" si="17"/>
        <v>0</v>
      </c>
      <c r="K59" s="94">
        <f t="shared" si="17"/>
        <v>0</v>
      </c>
      <c r="L59" s="376">
        <f>SUM(D59:INDEX(D59:K59,0,MATCH('RFPR cover'!$C$7,$D$6:$K$6,0)))</f>
        <v>0</v>
      </c>
      <c r="M59" s="604">
        <f>SUM(D59:K59)</f>
        <v>0</v>
      </c>
      <c r="N59" s="371"/>
    </row>
    <row r="60" spans="1:20">
      <c r="A60" s="36"/>
      <c r="B60" s="808"/>
      <c r="N60" s="369"/>
    </row>
    <row r="61" spans="1:20">
      <c r="A61" s="36"/>
      <c r="B61" s="816" t="s">
        <v>181</v>
      </c>
      <c r="N61" s="369"/>
    </row>
    <row r="62" spans="1:20">
      <c r="A62" s="36"/>
      <c r="B62" s="808" t="s">
        <v>180</v>
      </c>
      <c r="C62" s="162" t="str">
        <f>'RFPR cover'!$C$14</f>
        <v>£m 12/13</v>
      </c>
      <c r="D62" s="96">
        <f>D46+D58</f>
        <v>0</v>
      </c>
      <c r="E62" s="97">
        <f t="shared" ref="E62:K62" si="18">E46+E58</f>
        <v>0</v>
      </c>
      <c r="F62" s="97">
        <f t="shared" si="18"/>
        <v>0</v>
      </c>
      <c r="G62" s="97">
        <f t="shared" si="18"/>
        <v>0</v>
      </c>
      <c r="H62" s="97">
        <f t="shared" si="18"/>
        <v>0</v>
      </c>
      <c r="I62" s="97">
        <f t="shared" si="18"/>
        <v>0</v>
      </c>
      <c r="J62" s="97">
        <f t="shared" si="18"/>
        <v>0</v>
      </c>
      <c r="K62" s="97">
        <f t="shared" si="18"/>
        <v>0</v>
      </c>
      <c r="L62" s="375">
        <f>SUM(D62:INDEX(D62:K62,0,MATCH('RFPR cover'!$C$7,$D$6:$K$6,0)))</f>
        <v>0</v>
      </c>
      <c r="M62" s="603">
        <f>SUM(D62:K62)</f>
        <v>0</v>
      </c>
      <c r="N62" s="371"/>
    </row>
    <row r="63" spans="1:20">
      <c r="A63" s="36"/>
      <c r="B63" s="808" t="s">
        <v>280</v>
      </c>
      <c r="C63" s="162" t="str">
        <f>'RFPR cover'!$C$14</f>
        <v>£m 12/13</v>
      </c>
      <c r="D63" s="99">
        <f>D47+D59</f>
        <v>0</v>
      </c>
      <c r="E63" s="100">
        <f t="shared" ref="E63:K63" si="19">E47+E59</f>
        <v>0</v>
      </c>
      <c r="F63" s="100">
        <f t="shared" si="19"/>
        <v>0</v>
      </c>
      <c r="G63" s="100">
        <f t="shared" si="19"/>
        <v>0</v>
      </c>
      <c r="H63" s="100">
        <f t="shared" si="19"/>
        <v>0</v>
      </c>
      <c r="I63" s="100">
        <f t="shared" si="19"/>
        <v>0</v>
      </c>
      <c r="J63" s="100">
        <f t="shared" si="19"/>
        <v>0</v>
      </c>
      <c r="K63" s="100">
        <f t="shared" si="19"/>
        <v>0</v>
      </c>
      <c r="L63" s="377">
        <f>SUM(D63:INDEX(D63:K63,0,MATCH('RFPR cover'!$C$7,$D$6:$K$6,0)))</f>
        <v>0</v>
      </c>
      <c r="M63" s="604">
        <f>SUM(D63:K63)</f>
        <v>0</v>
      </c>
      <c r="N63" s="371"/>
    </row>
    <row r="64" spans="1:20">
      <c r="A64" s="36"/>
      <c r="B64" s="816" t="s">
        <v>11</v>
      </c>
      <c r="C64" s="163" t="str">
        <f>'RFPR cover'!$C$14</f>
        <v>£m 12/13</v>
      </c>
      <c r="D64" s="146">
        <f>SUM(D62:D63)</f>
        <v>0</v>
      </c>
      <c r="E64" s="147">
        <f t="shared" ref="E64:K64" si="20">SUM(E62:E63)</f>
        <v>0</v>
      </c>
      <c r="F64" s="147">
        <f t="shared" si="20"/>
        <v>0</v>
      </c>
      <c r="G64" s="147">
        <f t="shared" si="20"/>
        <v>0</v>
      </c>
      <c r="H64" s="147">
        <f t="shared" si="20"/>
        <v>0</v>
      </c>
      <c r="I64" s="147">
        <f t="shared" si="20"/>
        <v>0</v>
      </c>
      <c r="J64" s="147">
        <f t="shared" si="20"/>
        <v>0</v>
      </c>
      <c r="K64" s="147">
        <f t="shared" si="20"/>
        <v>0</v>
      </c>
      <c r="L64" s="378">
        <f>SUM(D64:INDEX(D64:K64,0,MATCH('RFPR cover'!$C$7,$D$6:$K$6,0)))</f>
        <v>0</v>
      </c>
      <c r="M64" s="379">
        <f>SUM(D64:K64)</f>
        <v>0</v>
      </c>
      <c r="N64" s="372"/>
    </row>
    <row r="65" spans="1:20">
      <c r="A65" s="36"/>
      <c r="B65" s="816"/>
      <c r="C65" s="163"/>
      <c r="D65" s="163"/>
      <c r="E65" s="163"/>
      <c r="F65" s="163"/>
      <c r="G65" s="163"/>
      <c r="H65" s="163"/>
      <c r="I65" s="163"/>
      <c r="J65" s="163"/>
      <c r="K65" s="163"/>
      <c r="L65" s="163"/>
      <c r="M65" s="163"/>
    </row>
    <row r="66" spans="1:20">
      <c r="A66" s="36"/>
      <c r="B66" s="811" t="s">
        <v>257</v>
      </c>
      <c r="C66" s="157"/>
      <c r="D66" s="82"/>
      <c r="E66" s="82"/>
      <c r="F66" s="82"/>
      <c r="G66" s="82"/>
      <c r="H66" s="82"/>
      <c r="I66" s="82"/>
      <c r="J66" s="82"/>
      <c r="K66" s="82"/>
      <c r="L66" s="82"/>
      <c r="M66" s="82"/>
      <c r="N66" s="82"/>
    </row>
    <row r="67" spans="1:20">
      <c r="A67" s="36"/>
      <c r="B67" s="808"/>
      <c r="O67"/>
      <c r="P67"/>
      <c r="Q67"/>
      <c r="R67"/>
      <c r="S67"/>
      <c r="T67"/>
    </row>
    <row r="68" spans="1:20">
      <c r="A68" s="36"/>
      <c r="B68" s="816" t="s">
        <v>181</v>
      </c>
    </row>
    <row r="69" spans="1:20">
      <c r="A69" s="36"/>
      <c r="B69" s="808" t="s">
        <v>180</v>
      </c>
      <c r="C69" s="162" t="str">
        <f>'RFPR cover'!$C$14</f>
        <v>£m 12/13</v>
      </c>
      <c r="D69" s="96">
        <f>D34+D62</f>
        <v>-5.904289493509534</v>
      </c>
      <c r="E69" s="97">
        <f t="shared" ref="E69:K69" si="21">E34+E62</f>
        <v>-1.9496689960425968</v>
      </c>
      <c r="F69" s="97">
        <f t="shared" si="21"/>
        <v>-0.57964352799451113</v>
      </c>
      <c r="G69" s="97">
        <f t="shared" si="21"/>
        <v>2.23774405917323</v>
      </c>
      <c r="H69" s="97">
        <f t="shared" si="21"/>
        <v>5.7415173014070628</v>
      </c>
      <c r="I69" s="97">
        <f t="shared" si="21"/>
        <v>2.154257984886863</v>
      </c>
      <c r="J69" s="97">
        <f t="shared" si="21"/>
        <v>-2.4759755871983433</v>
      </c>
      <c r="K69" s="97">
        <f t="shared" si="21"/>
        <v>0.76280354672950423</v>
      </c>
      <c r="L69" s="96">
        <f>SUM(D69:INDEX(D69:K69,0,MATCH('RFPR cover'!$C$7,$D$6:$K$6,0)))</f>
        <v>-6.1958579583734119</v>
      </c>
      <c r="M69" s="98">
        <f>SUM(D69:K69)</f>
        <v>-1.3254712548325109E-2</v>
      </c>
    </row>
    <row r="70" spans="1:20">
      <c r="A70" s="36"/>
      <c r="B70" s="808" t="s">
        <v>280</v>
      </c>
      <c r="C70" s="162" t="str">
        <f>'RFPR cover'!$C$14</f>
        <v>£m 12/13</v>
      </c>
      <c r="D70" s="546">
        <f t="shared" ref="D70:K70" si="22">D35+D63</f>
        <v>-7.4670526612034109</v>
      </c>
      <c r="E70" s="547">
        <f t="shared" si="22"/>
        <v>-2.4657126113767411</v>
      </c>
      <c r="F70" s="547">
        <f t="shared" si="22"/>
        <v>-0.73306513053241851</v>
      </c>
      <c r="G70" s="547">
        <f t="shared" si="22"/>
        <v>2.8300361543094787</v>
      </c>
      <c r="H70" s="547">
        <f t="shared" si="22"/>
        <v>7.2611974890366735</v>
      </c>
      <c r="I70" s="547">
        <f t="shared" si="22"/>
        <v>2.7244527621233896</v>
      </c>
      <c r="J70" s="547">
        <f t="shared" si="22"/>
        <v>-3.1313234416753808</v>
      </c>
      <c r="K70" s="547">
        <f t="shared" si="22"/>
        <v>0.96470443392779615</v>
      </c>
      <c r="L70" s="546">
        <f>SUM(D70:INDEX(D70:K70,0,MATCH('RFPR cover'!$C$7,$D$6:$K$6,0)))</f>
        <v>-7.8357942488030918</v>
      </c>
      <c r="M70" s="548">
        <f>SUM(D70:K70)</f>
        <v>-1.6763005390613372E-2</v>
      </c>
    </row>
    <row r="71" spans="1:20">
      <c r="A71" s="36"/>
      <c r="B71" s="816" t="s">
        <v>11</v>
      </c>
      <c r="C71" s="163" t="str">
        <f>'RFPR cover'!$C$14</f>
        <v>£m 12/13</v>
      </c>
      <c r="D71" s="152">
        <f>SUM(D69:D70)</f>
        <v>-13.371342154712945</v>
      </c>
      <c r="E71" s="153">
        <f t="shared" ref="E71:K71" si="23">SUM(E69:E70)</f>
        <v>-4.4153816074193379</v>
      </c>
      <c r="F71" s="153">
        <f t="shared" si="23"/>
        <v>-1.3127086585269296</v>
      </c>
      <c r="G71" s="153">
        <f t="shared" si="23"/>
        <v>5.0677802134827088</v>
      </c>
      <c r="H71" s="153">
        <f t="shared" si="23"/>
        <v>13.002714790443736</v>
      </c>
      <c r="I71" s="153">
        <f t="shared" si="23"/>
        <v>4.8787107470102526</v>
      </c>
      <c r="J71" s="153">
        <f t="shared" si="23"/>
        <v>-5.6072990288737241</v>
      </c>
      <c r="K71" s="153">
        <f t="shared" si="23"/>
        <v>1.7275079806573004</v>
      </c>
      <c r="L71" s="152">
        <f>SUM(D71:INDEX(D71:K71,0,MATCH('RFPR cover'!$C$7,$D$6:$K$6,0)))</f>
        <v>-14.031652207176503</v>
      </c>
      <c r="M71" s="154">
        <f>SUM(D71:K71)</f>
        <v>-3.0017717938937594E-2</v>
      </c>
    </row>
    <row r="72" spans="1:20">
      <c r="A72" s="36"/>
      <c r="B72" s="816"/>
      <c r="C72" s="163"/>
      <c r="D72" s="163"/>
      <c r="E72" s="163"/>
      <c r="F72" s="163"/>
      <c r="G72" s="163"/>
      <c r="H72" s="163"/>
      <c r="I72" s="163"/>
      <c r="J72" s="163"/>
      <c r="K72" s="163"/>
      <c r="L72" s="163"/>
      <c r="M72" s="163"/>
    </row>
    <row r="73" spans="1:20">
      <c r="A73" s="36"/>
      <c r="B73" s="808"/>
    </row>
    <row r="74" spans="1:20">
      <c r="A74" s="36"/>
      <c r="B74" s="811" t="s">
        <v>214</v>
      </c>
      <c r="C74" s="157"/>
      <c r="D74" s="81"/>
      <c r="E74" s="81"/>
      <c r="F74" s="81"/>
      <c r="G74" s="81"/>
      <c r="H74" s="81"/>
      <c r="I74" s="81"/>
      <c r="J74" s="81"/>
      <c r="K74" s="81"/>
      <c r="L74" s="81"/>
      <c r="M74" s="81"/>
      <c r="N74" s="81"/>
    </row>
    <row r="75" spans="1:20">
      <c r="A75" s="36"/>
      <c r="B75" s="388" t="s">
        <v>213</v>
      </c>
      <c r="C75" s="387"/>
      <c r="D75" s="387"/>
      <c r="E75" s="387"/>
      <c r="F75" s="387"/>
      <c r="G75" s="387"/>
      <c r="H75" s="387"/>
      <c r="I75" s="387"/>
      <c r="J75" s="387"/>
      <c r="K75" s="387"/>
      <c r="L75" s="387"/>
      <c r="M75" s="387"/>
      <c r="N75" s="387"/>
    </row>
    <row r="76" spans="1:20" s="36" customFormat="1">
      <c r="B76" s="453"/>
      <c r="C76" s="392"/>
      <c r="D76" s="392"/>
      <c r="E76" s="392"/>
      <c r="F76" s="392"/>
      <c r="G76" s="392"/>
      <c r="H76" s="392"/>
      <c r="I76" s="392"/>
      <c r="J76" s="392"/>
      <c r="K76" s="392"/>
      <c r="L76" s="392"/>
      <c r="M76" s="392"/>
      <c r="N76" s="392"/>
    </row>
    <row r="77" spans="1:20">
      <c r="A77" s="36"/>
      <c r="B77" s="815" t="s">
        <v>217</v>
      </c>
      <c r="C77" s="162" t="str">
        <f>'RFPR cover'!$C$14</f>
        <v>£m 12/13</v>
      </c>
      <c r="D77" s="690">
        <f>INDEX(Data!$C$119:$L$146,MATCH('RFPR cover'!$C$5,Data!$B$119:$B$146,0),MATCH('R4 - Totex'!D$6,Data!$C$118:$L$118,0))</f>
        <v>-0.86626036283610952</v>
      </c>
      <c r="E77" s="691">
        <f>INDEX(Data!$C$119:$L$146,MATCH('RFPR cover'!$C$5,Data!$B$119:$B$146,0),MATCH('R4 - Totex'!E$6,Data!$C$118:$L$118,0))</f>
        <v>-0.81019773780890636</v>
      </c>
      <c r="F77" s="691">
        <f>INDEX(Data!$C$119:$L$146,MATCH('RFPR cover'!$C$5,Data!$B$119:$B$146,0),MATCH('R4 - Totex'!F$6,Data!$C$118:$L$118,0))</f>
        <v>-0.78919084241395188</v>
      </c>
      <c r="G77" s="691">
        <f>INDEX(Data!$C$119:$L$146,MATCH('RFPR cover'!$C$5,Data!$B$119:$B$146,0),MATCH('R4 - Totex'!G$6,Data!$C$118:$L$118,0))</f>
        <v>-0.79061873066036981</v>
      </c>
      <c r="H77" s="691">
        <f>INDEX(Data!$C$119:$L$146,MATCH('RFPR cover'!$C$5,Data!$B$119:$B$146,0),MATCH('R4 - Totex'!H$6,Data!$C$118:$L$118,0))</f>
        <v>-0.74432653414361061</v>
      </c>
      <c r="I77" s="691">
        <f>INDEX(Data!$C$119:$L$146,MATCH('RFPR cover'!$C$5,Data!$B$119:$B$146,0),MATCH('R4 - Totex'!I$6,Data!$C$118:$L$118,0))</f>
        <v>-0.70697274816976396</v>
      </c>
      <c r="J77" s="691">
        <f>INDEX(Data!$C$119:$L$146,MATCH('RFPR cover'!$C$5,Data!$B$119:$B$146,0),MATCH('R4 - Totex'!J$6,Data!$C$118:$L$118,0))</f>
        <v>-0.65350946162011747</v>
      </c>
      <c r="K77" s="692">
        <f>INDEX(Data!$C$119:$L$146,MATCH('RFPR cover'!$C$5,Data!$B$119:$B$146,0),MATCH('R4 - Totex'!K$6,Data!$C$118:$L$118,0))</f>
        <v>-0.66429758885743451</v>
      </c>
      <c r="L77" s="99">
        <f>SUM(D77:INDEX(D77:K77,0,MATCH('RFPR cover'!$C$7,$D$6:$K$6,0)))</f>
        <v>-3.2562676737193375</v>
      </c>
      <c r="M77" s="101">
        <f>SUM(D77:K77)</f>
        <v>-6.0253740065102637</v>
      </c>
    </row>
    <row r="78" spans="1:20">
      <c r="A78" s="36"/>
      <c r="B78" s="234" t="s">
        <v>201</v>
      </c>
      <c r="C78" s="162" t="s">
        <v>7</v>
      </c>
      <c r="D78" s="922" t="str">
        <f>IF(INDEX(Data!$J$73:$J$100,MATCH('RFPR cover'!$C$5,Data!$B$73:$B$100,0),0)="Pre",INDEX(Data!$G$18:$G$27,MATCH('R4 - Totex'!D$6,Data!$C$18:$C$27,0),0),"n/a")</f>
        <v>n/a</v>
      </c>
      <c r="E78" s="922" t="str">
        <f>IF(INDEX(Data!$J$73:$J$100,MATCH('RFPR cover'!$C$5,Data!$B$73:$B$100,0),0)="Pre",INDEX(Data!$G$18:$G$27,MATCH('R4 - Totex'!E$6,Data!$C$18:$C$27,0),0),"n/a")</f>
        <v>n/a</v>
      </c>
      <c r="F78" s="922" t="str">
        <f>IF(INDEX(Data!$J$73:$J$100,MATCH('RFPR cover'!$C$5,Data!$B$73:$B$100,0),0)="Pre",INDEX(Data!$G$18:$G$27,MATCH('R4 - Totex'!F$6,Data!$C$18:$C$27,0),0),"n/a")</f>
        <v>n/a</v>
      </c>
      <c r="G78" s="922" t="str">
        <f>IF(INDEX(Data!$J$73:$J$100,MATCH('RFPR cover'!$C$5,Data!$B$73:$B$100,0),0)="Pre",INDEX(Data!$G$18:$G$27,MATCH('R4 - Totex'!G$6,Data!$C$18:$C$27,0),0),"n/a")</f>
        <v>n/a</v>
      </c>
      <c r="H78" s="922" t="str">
        <f>IF(INDEX(Data!$J$73:$J$100,MATCH('RFPR cover'!$C$5,Data!$B$73:$B$100,0),0)="Pre",INDEX(Data!$G$18:$G$27,MATCH('R4 - Totex'!H$6,Data!$C$18:$C$27,0),0),"n/a")</f>
        <v>n/a</v>
      </c>
      <c r="I78" s="922" t="str">
        <f>IF(INDEX(Data!$J$73:$J$100,MATCH('RFPR cover'!$C$5,Data!$B$73:$B$100,0),0)="Pre",INDEX(Data!$G$18:$G$27,MATCH('R4 - Totex'!I$6,Data!$C$18:$C$27,0),0),"n/a")</f>
        <v>n/a</v>
      </c>
      <c r="J78" s="922" t="str">
        <f>IF(INDEX(Data!$J$73:$J$100,MATCH('RFPR cover'!$C$5,Data!$B$73:$B$100,0),0)="Pre",INDEX(Data!$G$18:$G$27,MATCH('R4 - Totex'!J$6,Data!$C$18:$C$27,0),0),"n/a")</f>
        <v>n/a</v>
      </c>
      <c r="K78" s="922" t="str">
        <f>IF(INDEX(Data!$J$73:$J$100,MATCH('RFPR cover'!$C$5,Data!$B$73:$B$100,0),0)="Pre",INDEX(Data!$G$18:$G$27,MATCH('R4 - Totex'!K$6,Data!$C$18:$C$27,0),0),"n/a")</f>
        <v>n/a</v>
      </c>
      <c r="L78" s="920"/>
      <c r="M78" s="921"/>
    </row>
    <row r="79" spans="1:20">
      <c r="A79" s="36"/>
      <c r="B79" s="234" t="s">
        <v>210</v>
      </c>
      <c r="C79" s="162" t="str">
        <f>'RFPR cover'!$C$14</f>
        <v>£m 12/13</v>
      </c>
      <c r="D79" s="637">
        <f>IF(ISNUMBER(D78),D77*(1-D78),D77)</f>
        <v>-0.86626036283610952</v>
      </c>
      <c r="E79" s="638">
        <f t="shared" ref="E79:K79" si="24">IF(ISNUMBER(E78),E77*(1-E78),E77)</f>
        <v>-0.81019773780890636</v>
      </c>
      <c r="F79" s="638">
        <f t="shared" si="24"/>
        <v>-0.78919084241395188</v>
      </c>
      <c r="G79" s="638">
        <f t="shared" si="24"/>
        <v>-0.79061873066036981</v>
      </c>
      <c r="H79" s="638">
        <f t="shared" si="24"/>
        <v>-0.74432653414361061</v>
      </c>
      <c r="I79" s="638">
        <f t="shared" si="24"/>
        <v>-0.70697274816976396</v>
      </c>
      <c r="J79" s="638">
        <f t="shared" si="24"/>
        <v>-0.65350946162011747</v>
      </c>
      <c r="K79" s="639">
        <f t="shared" si="24"/>
        <v>-0.66429758885743451</v>
      </c>
      <c r="L79" s="696">
        <f>SUM(D79:INDEX(D79:K79,0,MATCH('RFPR cover'!$C$7,$D$6:$K$6,0)))</f>
        <v>-3.2562676737193375</v>
      </c>
      <c r="M79" s="697">
        <f>SUM(D79:K79)</f>
        <v>-6.0253740065102637</v>
      </c>
    </row>
    <row r="80" spans="1:20">
      <c r="A80" s="36"/>
      <c r="B80" s="234"/>
      <c r="C80" s="66"/>
      <c r="D80" s="296"/>
      <c r="E80" s="296"/>
      <c r="F80" s="296"/>
      <c r="G80" s="296"/>
      <c r="H80" s="296"/>
      <c r="I80" s="296"/>
      <c r="J80" s="296"/>
      <c r="K80" s="296"/>
      <c r="L80" s="297"/>
      <c r="M80" s="297"/>
    </row>
    <row r="81" spans="1:20">
      <c r="A81" s="36"/>
      <c r="B81" s="234"/>
      <c r="C81" s="66"/>
      <c r="D81" s="296"/>
      <c r="E81" s="296"/>
      <c r="F81" s="296"/>
      <c r="G81" s="296"/>
      <c r="H81" s="296"/>
      <c r="I81" s="296"/>
      <c r="J81" s="296"/>
      <c r="K81" s="296"/>
      <c r="L81" s="297"/>
      <c r="M81" s="297"/>
    </row>
    <row r="82" spans="1:20">
      <c r="A82" s="36"/>
      <c r="B82" s="234"/>
      <c r="C82" s="66"/>
      <c r="D82" s="296"/>
      <c r="E82" s="296"/>
      <c r="F82" s="296"/>
      <c r="G82" s="296"/>
      <c r="H82" s="296"/>
      <c r="I82" s="296"/>
      <c r="J82" s="296"/>
      <c r="K82" s="296"/>
      <c r="L82" s="297"/>
      <c r="M82" s="297"/>
    </row>
    <row r="83" spans="1:20">
      <c r="A83" s="36"/>
      <c r="B83" s="808"/>
    </row>
    <row r="84" spans="1:20">
      <c r="A84" s="36"/>
      <c r="B84" s="810" t="s">
        <v>187</v>
      </c>
      <c r="C84" s="305"/>
      <c r="D84" s="307"/>
      <c r="E84" s="307"/>
      <c r="F84" s="307"/>
      <c r="G84" s="307"/>
      <c r="H84" s="307"/>
      <c r="I84" s="307"/>
      <c r="J84" s="307"/>
      <c r="K84" s="307"/>
      <c r="L84" s="307"/>
      <c r="M84" s="307"/>
      <c r="N84" s="307"/>
    </row>
    <row r="85" spans="1:20">
      <c r="A85" s="36"/>
      <c r="B85" s="816"/>
    </row>
    <row r="86" spans="1:20">
      <c r="A86" s="36"/>
      <c r="B86" s="815" t="str">
        <f>Data!B34</f>
        <v>Financial Year Average RPI (RPIt)</v>
      </c>
      <c r="C86" s="143" t="s">
        <v>127</v>
      </c>
      <c r="D86" s="113">
        <f>Data!C$34</f>
        <v>1.0603167467048125</v>
      </c>
      <c r="E86" s="114">
        <f>Data!D$34</f>
        <v>1.0830366813119445</v>
      </c>
      <c r="F86" s="114">
        <f>Data!E$34</f>
        <v>1.1235639113109226</v>
      </c>
      <c r="G86" s="114">
        <f>Data!F$34</f>
        <v>1.1578951670583426</v>
      </c>
      <c r="H86" s="114">
        <f>Data!G$34</f>
        <v>1.1882899151936241</v>
      </c>
      <c r="I86" s="114">
        <f>Data!H$34</f>
        <v>1.2212649603402472</v>
      </c>
      <c r="J86" s="114">
        <f>Data!I$34</f>
        <v>1.2582082253905398</v>
      </c>
      <c r="K86" s="115">
        <f>Data!J$34</f>
        <v>1.296898128321299</v>
      </c>
    </row>
    <row r="87" spans="1:20">
      <c r="A87" s="36"/>
      <c r="B87" s="815"/>
      <c r="D87" s="143"/>
      <c r="E87" s="143"/>
      <c r="F87" s="143"/>
      <c r="G87" s="143"/>
      <c r="H87" s="143"/>
      <c r="I87" s="143"/>
      <c r="J87" s="143"/>
      <c r="K87" s="143"/>
    </row>
    <row r="88" spans="1:20">
      <c r="A88" s="36"/>
      <c r="B88" s="811" t="str">
        <f>B10</f>
        <v>Totex</v>
      </c>
      <c r="C88" s="157"/>
      <c r="D88" s="82"/>
      <c r="E88" s="82"/>
      <c r="F88" s="82"/>
      <c r="G88" s="82"/>
      <c r="H88" s="82"/>
      <c r="I88" s="82"/>
      <c r="J88" s="82"/>
      <c r="K88" s="82"/>
      <c r="L88" s="82"/>
      <c r="M88" s="82"/>
      <c r="N88" s="82"/>
    </row>
    <row r="89" spans="1:20" s="36" customFormat="1">
      <c r="B89" s="812"/>
      <c r="C89" s="145"/>
      <c r="D89" s="338"/>
      <c r="E89" s="338"/>
      <c r="F89" s="338"/>
      <c r="G89" s="338"/>
      <c r="H89" s="338"/>
      <c r="I89" s="338"/>
      <c r="J89" s="338"/>
      <c r="K89" s="338"/>
      <c r="L89" s="338"/>
      <c r="M89" s="338"/>
      <c r="N89" s="338"/>
    </row>
    <row r="90" spans="1:20">
      <c r="A90" s="36"/>
      <c r="B90" s="323" t="s">
        <v>34</v>
      </c>
      <c r="C90" s="162" t="s">
        <v>128</v>
      </c>
      <c r="D90" s="699">
        <f t="shared" ref="D90:K91" si="25">D12*D$86</f>
        <v>249.53321590897221</v>
      </c>
      <c r="E90" s="699">
        <f t="shared" si="25"/>
        <v>219.82104188133766</v>
      </c>
      <c r="F90" s="699">
        <f t="shared" si="25"/>
        <v>221.02446510092605</v>
      </c>
      <c r="G90" s="699">
        <f t="shared" si="25"/>
        <v>239.62431638436237</v>
      </c>
      <c r="H90" s="699">
        <f t="shared" si="25"/>
        <v>262.88781572231892</v>
      </c>
      <c r="I90" s="699">
        <f t="shared" si="25"/>
        <v>266.75633071843237</v>
      </c>
      <c r="J90" s="699">
        <f t="shared" si="25"/>
        <v>286.54127837375194</v>
      </c>
      <c r="K90" s="699">
        <f t="shared" si="25"/>
        <v>298.12566041074786</v>
      </c>
      <c r="L90" s="698">
        <f>SUM(D90:INDEX(D90:K90,0,MATCH('RFPR cover'!$C$7,$D$6:$K$6,0)))</f>
        <v>930.00303927559833</v>
      </c>
      <c r="M90" s="699">
        <f>SUM(D90:K90)</f>
        <v>2044.3141245008496</v>
      </c>
      <c r="N90" s="63"/>
      <c r="O90" s="63"/>
    </row>
    <row r="91" spans="1:20" ht="25.5">
      <c r="A91" s="36"/>
      <c r="B91" s="813" t="s">
        <v>197</v>
      </c>
      <c r="C91" s="162" t="s">
        <v>128</v>
      </c>
      <c r="D91" s="699">
        <f t="shared" si="25"/>
        <v>255.54684317035668</v>
      </c>
      <c r="E91" s="699">
        <f t="shared" si="25"/>
        <v>246.08265132606209</v>
      </c>
      <c r="F91" s="699">
        <f t="shared" si="25"/>
        <v>251.00021037889454</v>
      </c>
      <c r="G91" s="699">
        <f t="shared" si="25"/>
        <v>259.14485738804927</v>
      </c>
      <c r="H91" s="699">
        <f t="shared" si="25"/>
        <v>251.92991369177599</v>
      </c>
      <c r="I91" s="699">
        <f t="shared" si="25"/>
        <v>247.70091579910269</v>
      </c>
      <c r="J91" s="699">
        <f t="shared" si="25"/>
        <v>237.44654069638725</v>
      </c>
      <c r="K91" s="699">
        <f t="shared" si="25"/>
        <v>250.65447259868733</v>
      </c>
      <c r="L91" s="700">
        <f>SUM(D91:INDEX(D91:K91,0,MATCH('RFPR cover'!$C$7,$D$6:$K$6,0)))</f>
        <v>1011.7745622633627</v>
      </c>
      <c r="M91" s="701">
        <f>SUM(D91:K91)</f>
        <v>1999.5064050493158</v>
      </c>
      <c r="N91" s="63"/>
      <c r="O91" s="63"/>
    </row>
    <row r="92" spans="1:20">
      <c r="A92" s="36"/>
      <c r="B92" s="814" t="s">
        <v>195</v>
      </c>
      <c r="C92" s="162" t="s">
        <v>128</v>
      </c>
      <c r="D92" s="103">
        <f>D91-D90</f>
        <v>6.013627261384471</v>
      </c>
      <c r="E92" s="104">
        <f t="shared" ref="E92:M92" si="26">E91-E90</f>
        <v>26.261609444724428</v>
      </c>
      <c r="F92" s="104">
        <f t="shared" si="26"/>
        <v>29.975745277968485</v>
      </c>
      <c r="G92" s="104">
        <f t="shared" si="26"/>
        <v>19.520541003686901</v>
      </c>
      <c r="H92" s="104">
        <f t="shared" si="26"/>
        <v>-10.957902030542925</v>
      </c>
      <c r="I92" s="104">
        <f t="shared" si="26"/>
        <v>-19.055414919329678</v>
      </c>
      <c r="J92" s="104">
        <f t="shared" si="26"/>
        <v>-49.094737677364691</v>
      </c>
      <c r="K92" s="105">
        <f t="shared" si="26"/>
        <v>-47.471187812060521</v>
      </c>
      <c r="L92" s="103">
        <f t="shared" si="26"/>
        <v>81.771522987764342</v>
      </c>
      <c r="M92" s="105">
        <f t="shared" si="26"/>
        <v>-44.807719451533785</v>
      </c>
      <c r="N92" s="63"/>
      <c r="O92" s="994"/>
      <c r="P92" s="994"/>
      <c r="Q92" s="994"/>
      <c r="R92"/>
      <c r="S92"/>
      <c r="T92"/>
    </row>
    <row r="93" spans="1:20">
      <c r="A93" s="36"/>
      <c r="B93" s="814"/>
      <c r="C93" s="162"/>
      <c r="D93" s="59"/>
      <c r="E93" s="59"/>
      <c r="F93" s="59"/>
      <c r="G93" s="59"/>
      <c r="H93" s="59"/>
      <c r="I93" s="59"/>
      <c r="J93" s="59"/>
      <c r="K93" s="59"/>
      <c r="L93" s="59"/>
      <c r="M93" s="59"/>
      <c r="O93" s="64"/>
      <c r="P93" s="64"/>
      <c r="Q93" s="64"/>
      <c r="R93"/>
      <c r="S93"/>
      <c r="T93"/>
    </row>
    <row r="94" spans="1:20">
      <c r="A94" s="36"/>
      <c r="B94" s="808" t="s">
        <v>178</v>
      </c>
      <c r="C94" s="143" t="s">
        <v>7</v>
      </c>
      <c r="D94" s="110">
        <f>1-INDEX(Data!$D$73:$D$100,MATCH('RFPR cover'!$C$5,Data!$B$73:$B$100,0),0)</f>
        <v>0.44156296542217133</v>
      </c>
      <c r="E94" s="111">
        <f>1-INDEX(Data!$D$73:$D$100,MATCH('RFPR cover'!$C$5,Data!$B$73:$B$100,0),0)</f>
        <v>0.44156296542217133</v>
      </c>
      <c r="F94" s="111">
        <f>1-INDEX(Data!$D$73:$D$100,MATCH('RFPR cover'!$C$5,Data!$B$73:$B$100,0),0)</f>
        <v>0.44156296542217133</v>
      </c>
      <c r="G94" s="111">
        <f>1-INDEX(Data!$D$73:$D$100,MATCH('RFPR cover'!$C$5,Data!$B$73:$B$100,0),0)</f>
        <v>0.44156296542217133</v>
      </c>
      <c r="H94" s="111">
        <f>1-INDEX(Data!$D$73:$D$100,MATCH('RFPR cover'!$C$5,Data!$B$73:$B$100,0),0)</f>
        <v>0.44156296542217133</v>
      </c>
      <c r="I94" s="111">
        <f>1-INDEX(Data!$D$73:$D$100,MATCH('RFPR cover'!$C$5,Data!$B$73:$B$100,0),0)</f>
        <v>0.44156296542217133</v>
      </c>
      <c r="J94" s="111">
        <f>1-INDEX(Data!$D$73:$D$100,MATCH('RFPR cover'!$C$5,Data!$B$73:$B$100,0),0)</f>
        <v>0.44156296542217133</v>
      </c>
      <c r="K94" s="112">
        <f>1-INDEX(Data!$D$73:$D$100,MATCH('RFPR cover'!$C$5,Data!$B$73:$B$100,0),0)</f>
        <v>0.44156296542217133</v>
      </c>
      <c r="L94" s="62"/>
      <c r="M94" s="62"/>
      <c r="O94"/>
      <c r="P94"/>
      <c r="Q94"/>
      <c r="R94"/>
      <c r="S94"/>
      <c r="T94"/>
    </row>
    <row r="95" spans="1:20">
      <c r="A95" s="36"/>
      <c r="B95" s="808"/>
      <c r="O95"/>
      <c r="P95"/>
      <c r="Q95"/>
      <c r="R95"/>
      <c r="S95"/>
      <c r="T95"/>
    </row>
    <row r="96" spans="1:20">
      <c r="A96" s="36"/>
      <c r="B96" s="815" t="s">
        <v>183</v>
      </c>
      <c r="C96" s="162" t="s">
        <v>128</v>
      </c>
      <c r="D96" s="96">
        <f>D92*D94</f>
        <v>2.6553950864805382</v>
      </c>
      <c r="E96" s="97">
        <f t="shared" ref="E96:K96" si="27">E92*E94</f>
        <v>11.59615414317142</v>
      </c>
      <c r="F96" s="97">
        <f t="shared" si="27"/>
        <v>13.236178975679413</v>
      </c>
      <c r="G96" s="97">
        <f t="shared" si="27"/>
        <v>8.619547972233077</v>
      </c>
      <c r="H96" s="97">
        <f t="shared" si="27"/>
        <v>-4.8386037154121668</v>
      </c>
      <c r="I96" s="97">
        <f t="shared" si="27"/>
        <v>-8.4141655191290976</v>
      </c>
      <c r="J96" s="97">
        <f t="shared" si="27"/>
        <v>-21.678417955440757</v>
      </c>
      <c r="K96" s="97">
        <f t="shared" si="27"/>
        <v>-20.961518462406282</v>
      </c>
      <c r="L96" s="96">
        <f>SUM(D96:INDEX(D96:K96,0,MATCH('RFPR cover'!$C$7,$D$6:$K$6,0)))</f>
        <v>36.107276177564451</v>
      </c>
      <c r="M96" s="98">
        <f>SUM(D96:K96)</f>
        <v>-19.78542947482385</v>
      </c>
      <c r="O96"/>
      <c r="P96"/>
      <c r="Q96"/>
      <c r="R96"/>
      <c r="S96"/>
      <c r="T96"/>
    </row>
    <row r="97" spans="1:20">
      <c r="A97" s="36"/>
      <c r="B97" s="815" t="s">
        <v>280</v>
      </c>
      <c r="C97" s="162" t="s">
        <v>128</v>
      </c>
      <c r="D97" s="93">
        <f>D92*(1-D94)</f>
        <v>3.3582321749039328</v>
      </c>
      <c r="E97" s="94">
        <f t="shared" ref="E97:K97" si="28">E92*(1-E94)</f>
        <v>14.665455301553008</v>
      </c>
      <c r="F97" s="94">
        <f t="shared" si="28"/>
        <v>16.73956630228907</v>
      </c>
      <c r="G97" s="94">
        <f t="shared" si="28"/>
        <v>10.900993031453824</v>
      </c>
      <c r="H97" s="94">
        <f t="shared" si="28"/>
        <v>-6.1192983151307585</v>
      </c>
      <c r="I97" s="94">
        <f t="shared" si="28"/>
        <v>-10.64124940020058</v>
      </c>
      <c r="J97" s="94">
        <f t="shared" si="28"/>
        <v>-27.416319721923934</v>
      </c>
      <c r="K97" s="94">
        <f t="shared" si="28"/>
        <v>-26.509669349654239</v>
      </c>
      <c r="L97" s="93">
        <f>SUM(D97:INDEX(D97:K97,0,MATCH('RFPR cover'!$C$7,$D$6:$K$6,0)))</f>
        <v>45.664246810199835</v>
      </c>
      <c r="M97" s="95">
        <f>SUM(D97:K97)</f>
        <v>-25.022289976709672</v>
      </c>
      <c r="O97"/>
      <c r="P97"/>
      <c r="Q97"/>
      <c r="R97"/>
      <c r="S97"/>
      <c r="T97"/>
    </row>
    <row r="98" spans="1:20">
      <c r="A98" s="36"/>
      <c r="B98" s="808"/>
      <c r="O98"/>
      <c r="P98"/>
      <c r="Q98"/>
      <c r="R98"/>
      <c r="S98"/>
      <c r="T98"/>
    </row>
    <row r="99" spans="1:20">
      <c r="A99" s="36"/>
      <c r="B99" s="816" t="s">
        <v>182</v>
      </c>
      <c r="N99" s="63"/>
      <c r="O99"/>
      <c r="P99"/>
      <c r="Q99"/>
      <c r="R99"/>
      <c r="S99"/>
      <c r="T99"/>
    </row>
    <row r="100" spans="1:20">
      <c r="A100" s="282" t="s">
        <v>151</v>
      </c>
      <c r="B100" s="234" t="str">
        <f t="shared" ref="B100:B105" si="29">B22</f>
        <v>Smart Meter Roll-out updated allowances</v>
      </c>
      <c r="C100" s="162" t="s">
        <v>128</v>
      </c>
      <c r="D100" s="619">
        <f t="shared" ref="D100:K105" si="30">D22*D$86</f>
        <v>0</v>
      </c>
      <c r="E100" s="619">
        <f t="shared" si="30"/>
        <v>0</v>
      </c>
      <c r="F100" s="619">
        <f t="shared" si="30"/>
        <v>0</v>
      </c>
      <c r="G100" s="619">
        <f t="shared" si="30"/>
        <v>0.51977512997026765</v>
      </c>
      <c r="H100" s="619">
        <f t="shared" si="30"/>
        <v>2.297663765323446</v>
      </c>
      <c r="I100" s="619">
        <f t="shared" si="30"/>
        <v>5.8639608529375282</v>
      </c>
      <c r="J100" s="619">
        <f t="shared" si="30"/>
        <v>0</v>
      </c>
      <c r="K100" s="619">
        <f t="shared" si="30"/>
        <v>0</v>
      </c>
      <c r="L100" s="611">
        <f>SUM(D100:INDEX(D100:K100,0,MATCH('RFPR cover'!$C$7,$D$6:$K$6,0)))</f>
        <v>0.51977512997026765</v>
      </c>
      <c r="M100" s="612">
        <f t="shared" ref="M100:M106" si="31">SUM(D100:K100)</f>
        <v>8.6813997482312413</v>
      </c>
      <c r="N100" s="63"/>
      <c r="O100"/>
      <c r="P100"/>
      <c r="Q100"/>
      <c r="R100"/>
      <c r="S100"/>
      <c r="T100"/>
    </row>
    <row r="101" spans="1:20">
      <c r="A101" s="282" t="s">
        <v>152</v>
      </c>
      <c r="B101" s="234" t="str">
        <f t="shared" si="29"/>
        <v>Visual Amenity allowances</v>
      </c>
      <c r="C101" s="162" t="s">
        <v>128</v>
      </c>
      <c r="D101" s="619">
        <f t="shared" si="30"/>
        <v>0</v>
      </c>
      <c r="E101" s="619">
        <f t="shared" si="30"/>
        <v>0</v>
      </c>
      <c r="F101" s="619">
        <f t="shared" si="30"/>
        <v>0</v>
      </c>
      <c r="G101" s="619">
        <f t="shared" si="30"/>
        <v>1.1357473898873289</v>
      </c>
      <c r="H101" s="619">
        <f t="shared" si="30"/>
        <v>0.8240739865431812</v>
      </c>
      <c r="I101" s="619">
        <f t="shared" si="30"/>
        <v>1.0042750668030254</v>
      </c>
      <c r="J101" s="619">
        <f t="shared" si="30"/>
        <v>1.1271845054214986</v>
      </c>
      <c r="K101" s="619">
        <f t="shared" si="30"/>
        <v>1.4191033076238442</v>
      </c>
      <c r="L101" s="615">
        <f>SUM(D101:INDEX(D101:K101,0,MATCH('RFPR cover'!$C$7,$D$6:$K$6,0)))</f>
        <v>1.1357473898873289</v>
      </c>
      <c r="M101" s="616">
        <f t="shared" si="31"/>
        <v>5.5103842562788792</v>
      </c>
      <c r="N101" s="63"/>
      <c r="O101"/>
      <c r="P101"/>
      <c r="Q101"/>
      <c r="R101"/>
      <c r="S101"/>
      <c r="T101"/>
    </row>
    <row r="102" spans="1:20">
      <c r="A102" s="282" t="s">
        <v>153</v>
      </c>
      <c r="B102" s="234" t="str">
        <f t="shared" si="29"/>
        <v>Enhanced Physical Site Security allowances</v>
      </c>
      <c r="C102" s="162" t="s">
        <v>128</v>
      </c>
      <c r="D102" s="619">
        <f t="shared" si="30"/>
        <v>1.0603167467048124E-2</v>
      </c>
      <c r="E102" s="619">
        <f t="shared" si="30"/>
        <v>2.1660733626238892E-2</v>
      </c>
      <c r="F102" s="619">
        <f t="shared" si="30"/>
        <v>4.4942556452436902E-2</v>
      </c>
      <c r="G102" s="619">
        <f t="shared" si="30"/>
        <v>0.16210532338816799</v>
      </c>
      <c r="H102" s="619">
        <f t="shared" si="30"/>
        <v>2.1983363431082048</v>
      </c>
      <c r="I102" s="619">
        <f t="shared" si="30"/>
        <v>1.2212649603402473E-2</v>
      </c>
      <c r="J102" s="619">
        <f t="shared" si="30"/>
        <v>1.2582082253905398E-2</v>
      </c>
      <c r="K102" s="619">
        <f t="shared" si="30"/>
        <v>1.296898128321299E-2</v>
      </c>
      <c r="L102" s="615">
        <f>SUM(D102:INDEX(D102:K102,0,MATCH('RFPR cover'!$C$7,$D$6:$K$6,0)))</f>
        <v>0.23931178093389191</v>
      </c>
      <c r="M102" s="616">
        <f t="shared" si="31"/>
        <v>2.4754118371826177</v>
      </c>
      <c r="N102" s="63"/>
      <c r="O102"/>
      <c r="P102"/>
      <c r="Q102"/>
      <c r="R102"/>
      <c r="S102" s="65"/>
      <c r="T102"/>
    </row>
    <row r="103" spans="1:20">
      <c r="A103" s="282" t="s">
        <v>168</v>
      </c>
      <c r="B103" s="234" t="str">
        <f t="shared" si="29"/>
        <v>Street Works allowances</v>
      </c>
      <c r="C103" s="162" t="s">
        <v>128</v>
      </c>
      <c r="D103" s="619">
        <f t="shared" si="30"/>
        <v>0.33930135894553998</v>
      </c>
      <c r="E103" s="619">
        <f t="shared" si="30"/>
        <v>0.84476861142331672</v>
      </c>
      <c r="F103" s="619">
        <f t="shared" si="30"/>
        <v>0.99997188106672108</v>
      </c>
      <c r="G103" s="619">
        <f t="shared" si="30"/>
        <v>0.93789508531725763</v>
      </c>
      <c r="H103" s="619">
        <f t="shared" si="30"/>
        <v>1.6279571838152651</v>
      </c>
      <c r="I103" s="619">
        <f t="shared" si="30"/>
        <v>2.3204034246464698</v>
      </c>
      <c r="J103" s="619">
        <f t="shared" si="30"/>
        <v>3.8874588640621455</v>
      </c>
      <c r="K103" s="619">
        <f t="shared" si="30"/>
        <v>5.2392158006048666</v>
      </c>
      <c r="L103" s="615">
        <f>SUM(D103:INDEX(D103:K103,0,MATCH('RFPR cover'!$C$7,$D$6:$K$6,0)))</f>
        <v>3.1219369367528351</v>
      </c>
      <c r="M103" s="616">
        <f t="shared" si="31"/>
        <v>16.196972209881583</v>
      </c>
      <c r="N103" s="63"/>
      <c r="O103"/>
      <c r="P103"/>
      <c r="Q103"/>
      <c r="R103"/>
      <c r="S103"/>
      <c r="T103"/>
    </row>
    <row r="104" spans="1:20">
      <c r="A104" s="282" t="s">
        <v>169</v>
      </c>
      <c r="B104" s="234" t="str">
        <f t="shared" si="29"/>
        <v>Adjustment to remove impact of re-phasing/timing differences</v>
      </c>
      <c r="C104" s="162" t="s">
        <v>128</v>
      </c>
      <c r="D104" s="619">
        <f t="shared" si="30"/>
        <v>-20.541389800359209</v>
      </c>
      <c r="E104" s="619">
        <f t="shared" si="30"/>
        <v>-31.910059032599204</v>
      </c>
      <c r="F104" s="619">
        <f t="shared" si="30"/>
        <v>-32.495571790273885</v>
      </c>
      <c r="G104" s="619">
        <f t="shared" si="30"/>
        <v>-16.408105715344426</v>
      </c>
      <c r="H104" s="619">
        <f t="shared" si="30"/>
        <v>19.460865607376075</v>
      </c>
      <c r="I104" s="619">
        <f t="shared" si="30"/>
        <v>15.81276141229824</v>
      </c>
      <c r="J104" s="619">
        <f t="shared" si="30"/>
        <v>37.012362465273817</v>
      </c>
      <c r="K104" s="619">
        <f t="shared" si="30"/>
        <v>43.040301589323178</v>
      </c>
      <c r="L104" s="615">
        <f>SUM(D104:INDEX(D104:K104,0,MATCH('RFPR cover'!$C$7,$D$6:$K$6,0)))</f>
        <v>-101.35512633857672</v>
      </c>
      <c r="M104" s="616">
        <f t="shared" si="31"/>
        <v>13.971164735694593</v>
      </c>
      <c r="N104" s="63"/>
      <c r="O104"/>
      <c r="P104"/>
      <c r="Q104"/>
      <c r="R104"/>
      <c r="S104"/>
      <c r="T104"/>
    </row>
    <row r="105" spans="1:20">
      <c r="A105" s="282" t="s">
        <v>170</v>
      </c>
      <c r="B105" s="234" t="str">
        <f t="shared" si="29"/>
        <v>[Enduring Value adjustment]</v>
      </c>
      <c r="C105" s="162" t="s">
        <v>128</v>
      </c>
      <c r="D105" s="619">
        <f t="shared" si="30"/>
        <v>0</v>
      </c>
      <c r="E105" s="619">
        <f t="shared" si="30"/>
        <v>0</v>
      </c>
      <c r="F105" s="619">
        <f t="shared" si="30"/>
        <v>0</v>
      </c>
      <c r="G105" s="619">
        <f t="shared" si="30"/>
        <v>0</v>
      </c>
      <c r="H105" s="619">
        <f t="shared" si="30"/>
        <v>0</v>
      </c>
      <c r="I105" s="619">
        <f t="shared" si="30"/>
        <v>0</v>
      </c>
      <c r="J105" s="619">
        <f t="shared" si="30"/>
        <v>0</v>
      </c>
      <c r="K105" s="619">
        <f t="shared" si="30"/>
        <v>0</v>
      </c>
      <c r="L105" s="619">
        <f>SUM(D105:INDEX(D105:K105,0,MATCH('RFPR cover'!$C$7,$D$6:$K$6,0)))</f>
        <v>0</v>
      </c>
      <c r="M105" s="620">
        <f t="shared" si="31"/>
        <v>0</v>
      </c>
      <c r="N105" s="63"/>
      <c r="O105"/>
      <c r="P105"/>
      <c r="Q105"/>
      <c r="R105"/>
      <c r="S105"/>
      <c r="T105"/>
    </row>
    <row r="106" spans="1:20">
      <c r="A106" s="36"/>
      <c r="B106" s="816" t="s">
        <v>190</v>
      </c>
      <c r="C106" s="162" t="s">
        <v>128</v>
      </c>
      <c r="D106" s="103">
        <f>SUM(D100:D105)</f>
        <v>-20.191485273946622</v>
      </c>
      <c r="E106" s="104">
        <f t="shared" ref="E106:K106" si="32">SUM(E100:E105)</f>
        <v>-31.043629687549647</v>
      </c>
      <c r="F106" s="104">
        <f t="shared" si="32"/>
        <v>-31.450657352754728</v>
      </c>
      <c r="G106" s="104">
        <f t="shared" si="32"/>
        <v>-13.652582786781405</v>
      </c>
      <c r="H106" s="104">
        <f t="shared" si="32"/>
        <v>26.408896886166172</v>
      </c>
      <c r="I106" s="104">
        <f t="shared" si="32"/>
        <v>25.013613406288666</v>
      </c>
      <c r="J106" s="104">
        <f t="shared" si="32"/>
        <v>42.039587917011367</v>
      </c>
      <c r="K106" s="105">
        <f t="shared" si="32"/>
        <v>49.711589678835104</v>
      </c>
      <c r="L106" s="103">
        <f>SUM(D106:INDEX(D106:K106,0,MATCH('RFPR cover'!$C$7,$D$6:$K$6,0)))</f>
        <v>-96.338355101032406</v>
      </c>
      <c r="M106" s="105">
        <f t="shared" si="31"/>
        <v>46.835332787268911</v>
      </c>
      <c r="N106" s="63"/>
    </row>
    <row r="107" spans="1:20">
      <c r="A107" s="36"/>
      <c r="B107" s="808"/>
    </row>
    <row r="108" spans="1:20">
      <c r="A108" s="36"/>
      <c r="B108" s="815" t="s">
        <v>198</v>
      </c>
      <c r="C108" s="162" t="s">
        <v>128</v>
      </c>
      <c r="D108" s="96">
        <f t="shared" ref="D108:K108" si="33">D106*D94</f>
        <v>-8.915812113841973</v>
      </c>
      <c r="E108" s="97">
        <f t="shared" si="33"/>
        <v>-13.707717182302176</v>
      </c>
      <c r="F108" s="97">
        <f t="shared" si="33"/>
        <v>-13.887445525158995</v>
      </c>
      <c r="G108" s="97">
        <f t="shared" si="33"/>
        <v>-6.0284749410028891</v>
      </c>
      <c r="H108" s="97">
        <f t="shared" si="33"/>
        <v>11.661190822583881</v>
      </c>
      <c r="I108" s="97">
        <f t="shared" si="33"/>
        <v>11.045085311604604</v>
      </c>
      <c r="J108" s="97">
        <f t="shared" si="33"/>
        <v>18.563125105761621</v>
      </c>
      <c r="K108" s="97">
        <f t="shared" si="33"/>
        <v>21.950796954436633</v>
      </c>
      <c r="L108" s="96">
        <f>SUM(D108:INDEX(D108:K108,0,MATCH('RFPR cover'!$C$7,$D$6:$K$6,0)))</f>
        <v>-42.539449762306035</v>
      </c>
      <c r="M108" s="98">
        <f>SUM(D108:K108)</f>
        <v>20.680748432080705</v>
      </c>
    </row>
    <row r="109" spans="1:20">
      <c r="A109" s="36"/>
      <c r="B109" s="815" t="s">
        <v>308</v>
      </c>
      <c r="C109" s="162" t="s">
        <v>128</v>
      </c>
      <c r="D109" s="93">
        <f t="shared" ref="D109:K109" si="34">D106*(1-D94)</f>
        <v>-11.275673160104649</v>
      </c>
      <c r="E109" s="94">
        <f t="shared" si="34"/>
        <v>-17.335912505247471</v>
      </c>
      <c r="F109" s="94">
        <f t="shared" si="34"/>
        <v>-17.563211827595733</v>
      </c>
      <c r="G109" s="94">
        <f t="shared" si="34"/>
        <v>-7.6241078457785161</v>
      </c>
      <c r="H109" s="94">
        <f t="shared" si="34"/>
        <v>14.747706063582291</v>
      </c>
      <c r="I109" s="94">
        <f t="shared" si="34"/>
        <v>13.968528094684062</v>
      </c>
      <c r="J109" s="94">
        <f t="shared" si="34"/>
        <v>23.476462811249746</v>
      </c>
      <c r="K109" s="94">
        <f t="shared" si="34"/>
        <v>27.76079272439847</v>
      </c>
      <c r="L109" s="93">
        <f>SUM(D109:INDEX(D109:K109,0,MATCH('RFPR cover'!$C$7,$D$6:$K$6,0)))</f>
        <v>-53.798905338726371</v>
      </c>
      <c r="M109" s="95">
        <f>SUM(D109:K109)</f>
        <v>26.154584355188199</v>
      </c>
    </row>
    <row r="110" spans="1:20">
      <c r="A110" s="36"/>
      <c r="B110" s="808"/>
    </row>
    <row r="111" spans="1:20">
      <c r="A111" s="36"/>
      <c r="B111" s="816" t="s">
        <v>181</v>
      </c>
    </row>
    <row r="112" spans="1:20">
      <c r="A112" s="36"/>
      <c r="B112" s="808" t="s">
        <v>180</v>
      </c>
      <c r="C112" s="162" t="s">
        <v>128</v>
      </c>
      <c r="D112" s="96">
        <f>D96+D108</f>
        <v>-6.2604170273614344</v>
      </c>
      <c r="E112" s="97">
        <f t="shared" ref="E112:K112" si="35">E96+E108</f>
        <v>-2.1115630391307558</v>
      </c>
      <c r="F112" s="97">
        <f t="shared" si="35"/>
        <v>-0.65126654947958151</v>
      </c>
      <c r="G112" s="97">
        <f t="shared" si="35"/>
        <v>2.591073031230188</v>
      </c>
      <c r="H112" s="97">
        <f t="shared" si="35"/>
        <v>6.8225871071717146</v>
      </c>
      <c r="I112" s="97">
        <f t="shared" si="35"/>
        <v>2.6309197924755061</v>
      </c>
      <c r="J112" s="97">
        <f t="shared" si="35"/>
        <v>-3.1152928496791361</v>
      </c>
      <c r="K112" s="97">
        <f t="shared" si="35"/>
        <v>0.98927849203035123</v>
      </c>
      <c r="L112" s="96">
        <f>SUM(D112:INDEX(D112:K112,0,MATCH('RFPR cover'!$C$7,$D$6:$K$6,0)))</f>
        <v>-6.4321735847415837</v>
      </c>
      <c r="M112" s="98">
        <f>SUM(D112:K112)</f>
        <v>0.89531895725685207</v>
      </c>
    </row>
    <row r="113" spans="1:20">
      <c r="A113" s="36"/>
      <c r="B113" s="808" t="s">
        <v>280</v>
      </c>
      <c r="C113" s="162" t="s">
        <v>128</v>
      </c>
      <c r="D113" s="546">
        <f>D97+D109</f>
        <v>-7.9174409852007166</v>
      </c>
      <c r="E113" s="547">
        <f t="shared" ref="E113:K113" si="36">E97+E109</f>
        <v>-2.6704572036944629</v>
      </c>
      <c r="F113" s="547">
        <f t="shared" si="36"/>
        <v>-0.82364552530666302</v>
      </c>
      <c r="G113" s="547">
        <f t="shared" si="36"/>
        <v>3.2768851856753081</v>
      </c>
      <c r="H113" s="547">
        <f t="shared" si="36"/>
        <v>8.6284077484515329</v>
      </c>
      <c r="I113" s="547">
        <f t="shared" si="36"/>
        <v>3.327278694483482</v>
      </c>
      <c r="J113" s="547">
        <f t="shared" si="36"/>
        <v>-3.9398569106741874</v>
      </c>
      <c r="K113" s="547">
        <f t="shared" si="36"/>
        <v>1.2511233747442319</v>
      </c>
      <c r="L113" s="546">
        <f>SUM(D113:INDEX(D113:K113,0,MATCH('RFPR cover'!$C$7,$D$6:$K$6,0)))</f>
        <v>-8.1346585285265345</v>
      </c>
      <c r="M113" s="548">
        <f>SUM(D113:K113)</f>
        <v>1.1322943784785249</v>
      </c>
    </row>
    <row r="114" spans="1:20">
      <c r="A114" s="36"/>
      <c r="B114" s="816" t="s">
        <v>11</v>
      </c>
      <c r="C114" s="163" t="s">
        <v>128</v>
      </c>
      <c r="D114" s="152">
        <f>SUM(D112:D113)</f>
        <v>-14.177858012562151</v>
      </c>
      <c r="E114" s="153">
        <f t="shared" ref="E114:K114" si="37">SUM(E112:E113)</f>
        <v>-4.7820202428252188</v>
      </c>
      <c r="F114" s="153">
        <f t="shared" si="37"/>
        <v>-1.4749120747862445</v>
      </c>
      <c r="G114" s="153">
        <f t="shared" si="37"/>
        <v>5.867958216905496</v>
      </c>
      <c r="H114" s="153">
        <f t="shared" si="37"/>
        <v>15.450994855623247</v>
      </c>
      <c r="I114" s="153">
        <f t="shared" si="37"/>
        <v>5.9581984869589881</v>
      </c>
      <c r="J114" s="153">
        <f t="shared" si="37"/>
        <v>-7.0551497603533235</v>
      </c>
      <c r="K114" s="153">
        <f t="shared" si="37"/>
        <v>2.2404018667745831</v>
      </c>
      <c r="L114" s="152">
        <f>SUM(D114:INDEX(D114:K114,0,MATCH('RFPR cover'!$C$7,$D$6:$K$6,0)))</f>
        <v>-14.566832113268116</v>
      </c>
      <c r="M114" s="154">
        <f>SUM(D114:K114)</f>
        <v>2.0276133357353778</v>
      </c>
    </row>
    <row r="115" spans="1:20">
      <c r="A115" s="36"/>
      <c r="B115" s="808"/>
    </row>
    <row r="116" spans="1:20">
      <c r="A116" s="36"/>
      <c r="B116" s="811" t="str">
        <f>B38</f>
        <v>n/a</v>
      </c>
      <c r="C116" s="157"/>
      <c r="D116" s="82"/>
      <c r="E116" s="82"/>
      <c r="F116" s="82"/>
      <c r="G116" s="82"/>
      <c r="H116" s="82"/>
      <c r="I116" s="82"/>
      <c r="J116" s="82"/>
      <c r="K116" s="82"/>
      <c r="L116" s="82"/>
      <c r="M116" s="82"/>
      <c r="N116" s="82"/>
    </row>
    <row r="117" spans="1:20" s="36" customFormat="1">
      <c r="B117" s="809"/>
      <c r="C117" s="145"/>
      <c r="D117" s="338"/>
      <c r="E117" s="338"/>
      <c r="F117" s="338"/>
      <c r="G117" s="338"/>
      <c r="H117" s="338"/>
      <c r="I117" s="338"/>
      <c r="J117" s="338"/>
      <c r="K117" s="338"/>
      <c r="L117" s="338"/>
      <c r="M117" s="338"/>
      <c r="N117" s="338"/>
    </row>
    <row r="118" spans="1:20">
      <c r="A118" s="36"/>
      <c r="B118" s="323" t="s">
        <v>34</v>
      </c>
      <c r="C118" s="162" t="s">
        <v>128</v>
      </c>
      <c r="D118" s="698">
        <f t="shared" ref="D118:K119" si="38">D40*D$86</f>
        <v>0</v>
      </c>
      <c r="E118" s="698">
        <f t="shared" si="38"/>
        <v>0</v>
      </c>
      <c r="F118" s="698">
        <f t="shared" si="38"/>
        <v>0</v>
      </c>
      <c r="G118" s="698">
        <f t="shared" si="38"/>
        <v>0</v>
      </c>
      <c r="H118" s="698">
        <f t="shared" si="38"/>
        <v>0</v>
      </c>
      <c r="I118" s="698">
        <f t="shared" si="38"/>
        <v>0</v>
      </c>
      <c r="J118" s="698">
        <f t="shared" si="38"/>
        <v>0</v>
      </c>
      <c r="K118" s="698">
        <f t="shared" si="38"/>
        <v>0</v>
      </c>
      <c r="L118" s="698">
        <f>SUM(D118:INDEX(D118:K118,0,MATCH('RFPR cover'!$C$7,$D$6:$K$6,0)))</f>
        <v>0</v>
      </c>
      <c r="M118" s="699">
        <f>SUM(D118:K118)</f>
        <v>0</v>
      </c>
      <c r="N118" s="63"/>
      <c r="O118" s="63"/>
    </row>
    <row r="119" spans="1:20" ht="25.5">
      <c r="A119" s="36"/>
      <c r="B119" s="813" t="s">
        <v>197</v>
      </c>
      <c r="C119" s="162" t="s">
        <v>128</v>
      </c>
      <c r="D119" s="698">
        <f t="shared" si="38"/>
        <v>0</v>
      </c>
      <c r="E119" s="698">
        <f t="shared" si="38"/>
        <v>0</v>
      </c>
      <c r="F119" s="698">
        <f t="shared" si="38"/>
        <v>0</v>
      </c>
      <c r="G119" s="698">
        <f t="shared" si="38"/>
        <v>0</v>
      </c>
      <c r="H119" s="698">
        <f t="shared" si="38"/>
        <v>0</v>
      </c>
      <c r="I119" s="698">
        <f t="shared" si="38"/>
        <v>0</v>
      </c>
      <c r="J119" s="698">
        <f t="shared" si="38"/>
        <v>0</v>
      </c>
      <c r="K119" s="698">
        <f t="shared" si="38"/>
        <v>0</v>
      </c>
      <c r="L119" s="700">
        <f>SUM(D119:INDEX(D119:K119,0,MATCH('RFPR cover'!$C$7,$D$6:$K$6,0)))</f>
        <v>0</v>
      </c>
      <c r="M119" s="701">
        <f>SUM(D119:K119)</f>
        <v>0</v>
      </c>
      <c r="N119" s="63"/>
      <c r="O119" s="63"/>
    </row>
    <row r="120" spans="1:20">
      <c r="A120" s="36"/>
      <c r="B120" s="814" t="s">
        <v>195</v>
      </c>
      <c r="C120" s="162" t="s">
        <v>128</v>
      </c>
      <c r="D120" s="103">
        <f>D119-D118</f>
        <v>0</v>
      </c>
      <c r="E120" s="104">
        <f t="shared" ref="E120:M120" si="39">E119-E118</f>
        <v>0</v>
      </c>
      <c r="F120" s="104">
        <f t="shared" si="39"/>
        <v>0</v>
      </c>
      <c r="G120" s="104">
        <f t="shared" si="39"/>
        <v>0</v>
      </c>
      <c r="H120" s="104">
        <f t="shared" si="39"/>
        <v>0</v>
      </c>
      <c r="I120" s="104">
        <f t="shared" si="39"/>
        <v>0</v>
      </c>
      <c r="J120" s="104">
        <f t="shared" si="39"/>
        <v>0</v>
      </c>
      <c r="K120" s="104">
        <f t="shared" si="39"/>
        <v>0</v>
      </c>
      <c r="L120" s="103">
        <f t="shared" si="39"/>
        <v>0</v>
      </c>
      <c r="M120" s="105">
        <f t="shared" si="39"/>
        <v>0</v>
      </c>
      <c r="N120" s="63"/>
      <c r="O120" s="994"/>
      <c r="P120" s="994"/>
      <c r="Q120" s="994"/>
      <c r="R120"/>
      <c r="S120"/>
      <c r="T120"/>
    </row>
    <row r="121" spans="1:20">
      <c r="A121" s="36"/>
      <c r="B121" s="814"/>
      <c r="C121" s="162"/>
      <c r="D121" s="59"/>
      <c r="E121" s="59"/>
      <c r="F121" s="59"/>
      <c r="G121" s="59"/>
      <c r="H121" s="59"/>
      <c r="I121" s="59"/>
      <c r="J121" s="59"/>
      <c r="K121" s="59"/>
      <c r="L121" s="59"/>
      <c r="M121" s="59"/>
      <c r="O121" s="64"/>
      <c r="P121" s="64"/>
      <c r="Q121" s="64"/>
      <c r="R121"/>
      <c r="S121"/>
      <c r="T121"/>
    </row>
    <row r="122" spans="1:20">
      <c r="A122" s="36"/>
      <c r="B122" s="808" t="s">
        <v>178</v>
      </c>
      <c r="C122" s="143" t="s">
        <v>7</v>
      </c>
      <c r="D122" s="110">
        <f>1-INDEX(Data!$D$73:$D$100,MATCH('RFPR cover'!$C$5,Data!$B$73:$B$100,0),0)</f>
        <v>0.44156296542217133</v>
      </c>
      <c r="E122" s="111">
        <f>1-INDEX(Data!$D$73:$D$100,MATCH('RFPR cover'!$C$5,Data!$B$73:$B$100,0),0)</f>
        <v>0.44156296542217133</v>
      </c>
      <c r="F122" s="111">
        <f>1-INDEX(Data!$D$73:$D$100,MATCH('RFPR cover'!$C$5,Data!$B$73:$B$100,0),0)</f>
        <v>0.44156296542217133</v>
      </c>
      <c r="G122" s="111">
        <f>1-INDEX(Data!$D$73:$D$100,MATCH('RFPR cover'!$C$5,Data!$B$73:$B$100,0),0)</f>
        <v>0.44156296542217133</v>
      </c>
      <c r="H122" s="111">
        <f>1-INDEX(Data!$D$73:$D$100,MATCH('RFPR cover'!$C$5,Data!$B$73:$B$100,0),0)</f>
        <v>0.44156296542217133</v>
      </c>
      <c r="I122" s="111">
        <f>1-INDEX(Data!$D$73:$D$100,MATCH('RFPR cover'!$C$5,Data!$B$73:$B$100,0),0)</f>
        <v>0.44156296542217133</v>
      </c>
      <c r="J122" s="111">
        <f>1-INDEX(Data!$D$73:$D$100,MATCH('RFPR cover'!$C$5,Data!$B$73:$B$100,0),0)</f>
        <v>0.44156296542217133</v>
      </c>
      <c r="K122" s="112">
        <f>1-INDEX(Data!$D$73:$D$100,MATCH('RFPR cover'!$C$5,Data!$B$73:$B$100,0),0)</f>
        <v>0.44156296542217133</v>
      </c>
      <c r="L122" s="62"/>
      <c r="M122" s="62"/>
      <c r="O122"/>
      <c r="P122"/>
      <c r="Q122"/>
      <c r="R122"/>
      <c r="S122"/>
      <c r="T122"/>
    </row>
    <row r="123" spans="1:20">
      <c r="A123" s="36"/>
      <c r="B123" s="808"/>
      <c r="O123"/>
      <c r="P123"/>
      <c r="Q123"/>
      <c r="R123"/>
      <c r="S123"/>
      <c r="T123"/>
    </row>
    <row r="124" spans="1:20">
      <c r="A124" s="36"/>
      <c r="B124" s="815" t="s">
        <v>183</v>
      </c>
      <c r="C124" s="166" t="s">
        <v>128</v>
      </c>
      <c r="D124" s="96">
        <f>D120*D122</f>
        <v>0</v>
      </c>
      <c r="E124" s="97">
        <f t="shared" ref="E124:K124" si="40">E120*E122</f>
        <v>0</v>
      </c>
      <c r="F124" s="97">
        <f t="shared" si="40"/>
        <v>0</v>
      </c>
      <c r="G124" s="97">
        <f t="shared" si="40"/>
        <v>0</v>
      </c>
      <c r="H124" s="97">
        <f t="shared" si="40"/>
        <v>0</v>
      </c>
      <c r="I124" s="97">
        <f t="shared" si="40"/>
        <v>0</v>
      </c>
      <c r="J124" s="97">
        <f t="shared" si="40"/>
        <v>0</v>
      </c>
      <c r="K124" s="97">
        <f t="shared" si="40"/>
        <v>0</v>
      </c>
      <c r="L124" s="96">
        <f>SUM(D124:INDEX(D124:K124,0,MATCH('RFPR cover'!$C$7,$D$6:$K$6,0)))</f>
        <v>0</v>
      </c>
      <c r="M124" s="98">
        <f>SUM(D124:K124)</f>
        <v>0</v>
      </c>
      <c r="O124"/>
      <c r="P124"/>
      <c r="Q124"/>
      <c r="R124"/>
      <c r="S124"/>
      <c r="T124"/>
    </row>
    <row r="125" spans="1:20">
      <c r="A125" s="36"/>
      <c r="B125" s="815" t="s">
        <v>179</v>
      </c>
      <c r="C125" s="166" t="s">
        <v>128</v>
      </c>
      <c r="D125" s="93">
        <f>D120*(1-D122)</f>
        <v>0</v>
      </c>
      <c r="E125" s="94">
        <f t="shared" ref="E125:K125" si="41">E120*(1-E122)</f>
        <v>0</v>
      </c>
      <c r="F125" s="94">
        <f t="shared" si="41"/>
        <v>0</v>
      </c>
      <c r="G125" s="94">
        <f t="shared" si="41"/>
        <v>0</v>
      </c>
      <c r="H125" s="94">
        <f t="shared" si="41"/>
        <v>0</v>
      </c>
      <c r="I125" s="94">
        <f t="shared" si="41"/>
        <v>0</v>
      </c>
      <c r="J125" s="94">
        <f t="shared" si="41"/>
        <v>0</v>
      </c>
      <c r="K125" s="94">
        <f t="shared" si="41"/>
        <v>0</v>
      </c>
      <c r="L125" s="93">
        <f>SUM(D125:INDEX(D125:K125,0,MATCH('RFPR cover'!$C$7,$D$6:$K$6,0)))</f>
        <v>0</v>
      </c>
      <c r="M125" s="95">
        <f>SUM(D125:K125)</f>
        <v>0</v>
      </c>
      <c r="O125"/>
      <c r="P125"/>
      <c r="Q125"/>
      <c r="R125"/>
      <c r="S125"/>
      <c r="T125"/>
    </row>
    <row r="126" spans="1:20">
      <c r="A126" s="36"/>
      <c r="B126" s="808"/>
      <c r="O126"/>
      <c r="P126"/>
      <c r="Q126"/>
      <c r="R126"/>
      <c r="S126"/>
      <c r="T126"/>
    </row>
    <row r="127" spans="1:20">
      <c r="A127" s="36"/>
      <c r="B127" s="816" t="s">
        <v>182</v>
      </c>
      <c r="N127" s="63"/>
      <c r="O127"/>
      <c r="P127"/>
      <c r="Q127"/>
      <c r="R127"/>
      <c r="S127"/>
      <c r="T127"/>
    </row>
    <row r="128" spans="1:20">
      <c r="A128" s="282" t="s">
        <v>151</v>
      </c>
      <c r="B128" s="234" t="str">
        <f t="shared" ref="B128:B133" si="42">B50</f>
        <v>[Enduring Value adjustment]</v>
      </c>
      <c r="C128" s="162" t="s">
        <v>128</v>
      </c>
      <c r="D128" s="611">
        <f t="shared" ref="D128:K133" si="43">D50*D$86</f>
        <v>0</v>
      </c>
      <c r="E128" s="611">
        <f t="shared" si="43"/>
        <v>0</v>
      </c>
      <c r="F128" s="611">
        <f t="shared" si="43"/>
        <v>0</v>
      </c>
      <c r="G128" s="611">
        <f t="shared" si="43"/>
        <v>0</v>
      </c>
      <c r="H128" s="611">
        <f t="shared" si="43"/>
        <v>0</v>
      </c>
      <c r="I128" s="611">
        <f t="shared" si="43"/>
        <v>0</v>
      </c>
      <c r="J128" s="611">
        <f t="shared" si="43"/>
        <v>0</v>
      </c>
      <c r="K128" s="611">
        <f t="shared" si="43"/>
        <v>0</v>
      </c>
      <c r="L128" s="611">
        <f>SUM(D128:INDEX(D128:K128,0,MATCH('RFPR cover'!$C$7,$D$6:$K$6,0)))</f>
        <v>0</v>
      </c>
      <c r="M128" s="612">
        <f t="shared" ref="M128:M134" si="44">SUM(D128:K128)</f>
        <v>0</v>
      </c>
      <c r="N128" s="63"/>
      <c r="O128"/>
      <c r="P128"/>
      <c r="Q128"/>
      <c r="R128"/>
      <c r="S128"/>
      <c r="T128"/>
    </row>
    <row r="129" spans="1:20">
      <c r="A129" s="282" t="s">
        <v>152</v>
      </c>
      <c r="B129" s="234" t="str">
        <f t="shared" si="42"/>
        <v>[Enduring Value adjustment]</v>
      </c>
      <c r="C129" s="162" t="s">
        <v>128</v>
      </c>
      <c r="D129" s="611">
        <f t="shared" si="43"/>
        <v>0</v>
      </c>
      <c r="E129" s="611">
        <f t="shared" si="43"/>
        <v>0</v>
      </c>
      <c r="F129" s="611">
        <f t="shared" si="43"/>
        <v>0</v>
      </c>
      <c r="G129" s="611">
        <f t="shared" si="43"/>
        <v>0</v>
      </c>
      <c r="H129" s="611">
        <f t="shared" si="43"/>
        <v>0</v>
      </c>
      <c r="I129" s="611">
        <f t="shared" si="43"/>
        <v>0</v>
      </c>
      <c r="J129" s="611">
        <f t="shared" si="43"/>
        <v>0</v>
      </c>
      <c r="K129" s="611">
        <f t="shared" si="43"/>
        <v>0</v>
      </c>
      <c r="L129" s="615">
        <f>SUM(D129:INDEX(D129:K129,0,MATCH('RFPR cover'!$C$7,$D$6:$K$6,0)))</f>
        <v>0</v>
      </c>
      <c r="M129" s="616">
        <f t="shared" si="44"/>
        <v>0</v>
      </c>
      <c r="N129" s="63"/>
      <c r="O129"/>
      <c r="P129"/>
      <c r="Q129"/>
      <c r="R129"/>
      <c r="S129"/>
      <c r="T129"/>
    </row>
    <row r="130" spans="1:20">
      <c r="A130" s="282" t="s">
        <v>153</v>
      </c>
      <c r="B130" s="234" t="str">
        <f t="shared" si="42"/>
        <v>[Enduring Value adjustment]</v>
      </c>
      <c r="C130" s="162" t="s">
        <v>128</v>
      </c>
      <c r="D130" s="611">
        <f t="shared" si="43"/>
        <v>0</v>
      </c>
      <c r="E130" s="611">
        <f t="shared" si="43"/>
        <v>0</v>
      </c>
      <c r="F130" s="611">
        <f t="shared" si="43"/>
        <v>0</v>
      </c>
      <c r="G130" s="611">
        <f t="shared" si="43"/>
        <v>0</v>
      </c>
      <c r="H130" s="611">
        <f t="shared" si="43"/>
        <v>0</v>
      </c>
      <c r="I130" s="611">
        <f t="shared" si="43"/>
        <v>0</v>
      </c>
      <c r="J130" s="611">
        <f t="shared" si="43"/>
        <v>0</v>
      </c>
      <c r="K130" s="611">
        <f t="shared" si="43"/>
        <v>0</v>
      </c>
      <c r="L130" s="615">
        <f>SUM(D130:INDEX(D130:K130,0,MATCH('RFPR cover'!$C$7,$D$6:$K$6,0)))</f>
        <v>0</v>
      </c>
      <c r="M130" s="616">
        <f t="shared" si="44"/>
        <v>0</v>
      </c>
      <c r="N130" s="63"/>
      <c r="O130"/>
      <c r="P130"/>
      <c r="Q130"/>
      <c r="R130"/>
      <c r="S130" s="65"/>
      <c r="T130"/>
    </row>
    <row r="131" spans="1:20">
      <c r="A131" s="282" t="s">
        <v>168</v>
      </c>
      <c r="B131" s="234" t="str">
        <f t="shared" si="42"/>
        <v>[Enduring Value adjustment]</v>
      </c>
      <c r="C131" s="162" t="s">
        <v>128</v>
      </c>
      <c r="D131" s="611">
        <f t="shared" si="43"/>
        <v>0</v>
      </c>
      <c r="E131" s="611">
        <f t="shared" si="43"/>
        <v>0</v>
      </c>
      <c r="F131" s="611">
        <f t="shared" si="43"/>
        <v>0</v>
      </c>
      <c r="G131" s="611">
        <f t="shared" si="43"/>
        <v>0</v>
      </c>
      <c r="H131" s="611">
        <f t="shared" si="43"/>
        <v>0</v>
      </c>
      <c r="I131" s="611">
        <f t="shared" si="43"/>
        <v>0</v>
      </c>
      <c r="J131" s="611">
        <f t="shared" si="43"/>
        <v>0</v>
      </c>
      <c r="K131" s="611">
        <f t="shared" si="43"/>
        <v>0</v>
      </c>
      <c r="L131" s="615">
        <f>SUM(D131:INDEX(D131:K131,0,MATCH('RFPR cover'!$C$7,$D$6:$K$6,0)))</f>
        <v>0</v>
      </c>
      <c r="M131" s="616">
        <f t="shared" si="44"/>
        <v>0</v>
      </c>
      <c r="N131" s="63"/>
      <c r="O131"/>
      <c r="P131"/>
      <c r="Q131"/>
      <c r="R131"/>
      <c r="S131"/>
      <c r="T131"/>
    </row>
    <row r="132" spans="1:20">
      <c r="A132" s="282" t="s">
        <v>169</v>
      </c>
      <c r="B132" s="234" t="str">
        <f t="shared" si="42"/>
        <v>[Enduring Value adjustment]</v>
      </c>
      <c r="C132" s="162" t="s">
        <v>128</v>
      </c>
      <c r="D132" s="611">
        <f t="shared" si="43"/>
        <v>0</v>
      </c>
      <c r="E132" s="611">
        <f t="shared" si="43"/>
        <v>0</v>
      </c>
      <c r="F132" s="611">
        <f t="shared" si="43"/>
        <v>0</v>
      </c>
      <c r="G132" s="611">
        <f t="shared" si="43"/>
        <v>0</v>
      </c>
      <c r="H132" s="611">
        <f t="shared" si="43"/>
        <v>0</v>
      </c>
      <c r="I132" s="611">
        <f t="shared" si="43"/>
        <v>0</v>
      </c>
      <c r="J132" s="611">
        <f t="shared" si="43"/>
        <v>0</v>
      </c>
      <c r="K132" s="611">
        <f t="shared" si="43"/>
        <v>0</v>
      </c>
      <c r="L132" s="615">
        <f>SUM(D132:INDEX(D132:K132,0,MATCH('RFPR cover'!$C$7,$D$6:$K$6,0)))</f>
        <v>0</v>
      </c>
      <c r="M132" s="616">
        <f t="shared" si="44"/>
        <v>0</v>
      </c>
      <c r="N132" s="63"/>
      <c r="O132"/>
      <c r="P132"/>
      <c r="Q132"/>
      <c r="R132"/>
      <c r="S132"/>
      <c r="T132"/>
    </row>
    <row r="133" spans="1:20">
      <c r="A133" s="282" t="s">
        <v>170</v>
      </c>
      <c r="B133" s="234" t="str">
        <f t="shared" si="42"/>
        <v>[Enduring Value adjustment]</v>
      </c>
      <c r="C133" s="162" t="s">
        <v>128</v>
      </c>
      <c r="D133" s="611">
        <f t="shared" si="43"/>
        <v>0</v>
      </c>
      <c r="E133" s="611">
        <f t="shared" si="43"/>
        <v>0</v>
      </c>
      <c r="F133" s="611">
        <f t="shared" si="43"/>
        <v>0</v>
      </c>
      <c r="G133" s="611">
        <f t="shared" si="43"/>
        <v>0</v>
      </c>
      <c r="H133" s="611">
        <f t="shared" si="43"/>
        <v>0</v>
      </c>
      <c r="I133" s="611">
        <f t="shared" si="43"/>
        <v>0</v>
      </c>
      <c r="J133" s="611">
        <f t="shared" si="43"/>
        <v>0</v>
      </c>
      <c r="K133" s="611">
        <f t="shared" si="43"/>
        <v>0</v>
      </c>
      <c r="L133" s="619">
        <f>SUM(D133:INDEX(D133:K133,0,MATCH('RFPR cover'!$C$7,$D$6:$K$6,0)))</f>
        <v>0</v>
      </c>
      <c r="M133" s="620">
        <f t="shared" si="44"/>
        <v>0</v>
      </c>
      <c r="N133" s="63"/>
      <c r="O133"/>
      <c r="P133"/>
      <c r="Q133"/>
      <c r="R133"/>
      <c r="S133"/>
      <c r="T133"/>
    </row>
    <row r="134" spans="1:20">
      <c r="A134" s="36"/>
      <c r="B134" s="816" t="s">
        <v>190</v>
      </c>
      <c r="C134" s="162" t="s">
        <v>128</v>
      </c>
      <c r="D134" s="103">
        <f>SUM(D128:D133)</f>
        <v>0</v>
      </c>
      <c r="E134" s="104">
        <f t="shared" ref="E134:K134" si="45">SUM(E128:E133)</f>
        <v>0</v>
      </c>
      <c r="F134" s="104">
        <f t="shared" si="45"/>
        <v>0</v>
      </c>
      <c r="G134" s="104">
        <f t="shared" si="45"/>
        <v>0</v>
      </c>
      <c r="H134" s="104">
        <f t="shared" si="45"/>
        <v>0</v>
      </c>
      <c r="I134" s="104">
        <f t="shared" si="45"/>
        <v>0</v>
      </c>
      <c r="J134" s="104">
        <f t="shared" si="45"/>
        <v>0</v>
      </c>
      <c r="K134" s="104">
        <f t="shared" si="45"/>
        <v>0</v>
      </c>
      <c r="L134" s="103">
        <f>SUM(D134:INDEX(D134:K134,0,MATCH('RFPR cover'!$C$7,$D$6:$K$6,0)))</f>
        <v>0</v>
      </c>
      <c r="M134" s="105">
        <f t="shared" si="44"/>
        <v>0</v>
      </c>
      <c r="N134" s="63"/>
    </row>
    <row r="135" spans="1:20">
      <c r="A135" s="36"/>
      <c r="B135" s="808"/>
    </row>
    <row r="136" spans="1:20">
      <c r="A136" s="36"/>
      <c r="B136" s="815" t="s">
        <v>198</v>
      </c>
      <c r="C136" s="166" t="s">
        <v>128</v>
      </c>
      <c r="D136" s="96">
        <f t="shared" ref="D136:K136" si="46">D134*D122</f>
        <v>0</v>
      </c>
      <c r="E136" s="97">
        <f t="shared" si="46"/>
        <v>0</v>
      </c>
      <c r="F136" s="97">
        <f t="shared" si="46"/>
        <v>0</v>
      </c>
      <c r="G136" s="97">
        <f t="shared" si="46"/>
        <v>0</v>
      </c>
      <c r="H136" s="97">
        <f t="shared" si="46"/>
        <v>0</v>
      </c>
      <c r="I136" s="97">
        <f t="shared" si="46"/>
        <v>0</v>
      </c>
      <c r="J136" s="97">
        <f t="shared" si="46"/>
        <v>0</v>
      </c>
      <c r="K136" s="97">
        <f t="shared" si="46"/>
        <v>0</v>
      </c>
      <c r="L136" s="96">
        <f>SUM(D136:INDEX(D136:K136,0,MATCH('RFPR cover'!$C$7,$D$6:$K$6,0)))</f>
        <v>0</v>
      </c>
      <c r="M136" s="98">
        <f>SUM(D136:K136)</f>
        <v>0</v>
      </c>
    </row>
    <row r="137" spans="1:20">
      <c r="A137" s="36"/>
      <c r="B137" s="815" t="s">
        <v>308</v>
      </c>
      <c r="C137" s="166" t="s">
        <v>128</v>
      </c>
      <c r="D137" s="93">
        <f t="shared" ref="D137:K137" si="47">D134*(1-D122)</f>
        <v>0</v>
      </c>
      <c r="E137" s="94">
        <f t="shared" si="47"/>
        <v>0</v>
      </c>
      <c r="F137" s="94">
        <f t="shared" si="47"/>
        <v>0</v>
      </c>
      <c r="G137" s="94">
        <f t="shared" si="47"/>
        <v>0</v>
      </c>
      <c r="H137" s="94">
        <f t="shared" si="47"/>
        <v>0</v>
      </c>
      <c r="I137" s="94">
        <f t="shared" si="47"/>
        <v>0</v>
      </c>
      <c r="J137" s="94">
        <f t="shared" si="47"/>
        <v>0</v>
      </c>
      <c r="K137" s="94">
        <f t="shared" si="47"/>
        <v>0</v>
      </c>
      <c r="L137" s="93">
        <f>SUM(D137:INDEX(D137:K137,0,MATCH('RFPR cover'!$C$7,$D$6:$K$6,0)))</f>
        <v>0</v>
      </c>
      <c r="M137" s="95">
        <f>SUM(D137:K137)</f>
        <v>0</v>
      </c>
    </row>
    <row r="138" spans="1:20">
      <c r="A138" s="36"/>
      <c r="B138" s="808"/>
    </row>
    <row r="139" spans="1:20">
      <c r="A139" s="36"/>
      <c r="B139" s="816" t="s">
        <v>181</v>
      </c>
    </row>
    <row r="140" spans="1:20">
      <c r="A140" s="36"/>
      <c r="B140" s="808" t="s">
        <v>180</v>
      </c>
      <c r="C140" s="162" t="s">
        <v>128</v>
      </c>
      <c r="D140" s="96">
        <f>D124+D136</f>
        <v>0</v>
      </c>
      <c r="E140" s="97">
        <f t="shared" ref="E140:K140" si="48">E124+E136</f>
        <v>0</v>
      </c>
      <c r="F140" s="97">
        <f t="shared" si="48"/>
        <v>0</v>
      </c>
      <c r="G140" s="97">
        <f t="shared" si="48"/>
        <v>0</v>
      </c>
      <c r="H140" s="97">
        <f t="shared" si="48"/>
        <v>0</v>
      </c>
      <c r="I140" s="97">
        <f t="shared" si="48"/>
        <v>0</v>
      </c>
      <c r="J140" s="97">
        <f t="shared" si="48"/>
        <v>0</v>
      </c>
      <c r="K140" s="97">
        <f t="shared" si="48"/>
        <v>0</v>
      </c>
      <c r="L140" s="96">
        <f>SUM(D140:INDEX(D140:K140,0,MATCH('RFPR cover'!$C$7,$D$6:$K$6,0)))</f>
        <v>0</v>
      </c>
      <c r="M140" s="98">
        <f>SUM(D140:K140)</f>
        <v>0</v>
      </c>
    </row>
    <row r="141" spans="1:20">
      <c r="A141" s="36"/>
      <c r="B141" s="808" t="s">
        <v>280</v>
      </c>
      <c r="C141" s="162" t="s">
        <v>128</v>
      </c>
      <c r="D141" s="99">
        <f>D125+D137</f>
        <v>0</v>
      </c>
      <c r="E141" s="100">
        <f t="shared" ref="E141:K141" si="49">E125+E137</f>
        <v>0</v>
      </c>
      <c r="F141" s="100">
        <f t="shared" si="49"/>
        <v>0</v>
      </c>
      <c r="G141" s="100">
        <f t="shared" si="49"/>
        <v>0</v>
      </c>
      <c r="H141" s="100">
        <f t="shared" si="49"/>
        <v>0</v>
      </c>
      <c r="I141" s="100">
        <f t="shared" si="49"/>
        <v>0</v>
      </c>
      <c r="J141" s="100">
        <f t="shared" si="49"/>
        <v>0</v>
      </c>
      <c r="K141" s="100">
        <f t="shared" si="49"/>
        <v>0</v>
      </c>
      <c r="L141" s="99">
        <f>SUM(D141:INDEX(D141:K141,0,MATCH('RFPR cover'!$C$7,$D$6:$K$6,0)))</f>
        <v>0</v>
      </c>
      <c r="M141" s="101">
        <f>SUM(D141:K141)</f>
        <v>0</v>
      </c>
    </row>
    <row r="142" spans="1:20">
      <c r="A142" s="36"/>
      <c r="B142" s="816" t="s">
        <v>11</v>
      </c>
      <c r="C142" s="163" t="s">
        <v>128</v>
      </c>
      <c r="D142" s="146">
        <f>SUM(D140:D141)</f>
        <v>0</v>
      </c>
      <c r="E142" s="147">
        <f t="shared" ref="E142:K142" si="50">SUM(E140:E141)</f>
        <v>0</v>
      </c>
      <c r="F142" s="147">
        <f t="shared" si="50"/>
        <v>0</v>
      </c>
      <c r="G142" s="147">
        <f t="shared" si="50"/>
        <v>0</v>
      </c>
      <c r="H142" s="147">
        <f t="shared" si="50"/>
        <v>0</v>
      </c>
      <c r="I142" s="147">
        <f t="shared" si="50"/>
        <v>0</v>
      </c>
      <c r="J142" s="147">
        <f t="shared" si="50"/>
        <v>0</v>
      </c>
      <c r="K142" s="147">
        <f t="shared" si="50"/>
        <v>0</v>
      </c>
      <c r="L142" s="146">
        <f>SUM(D142:INDEX(D142:K142,0,MATCH('RFPR cover'!$C$7,$D$6:$K$6,0)))</f>
        <v>0</v>
      </c>
      <c r="M142" s="148">
        <f>SUM(D142:K142)</f>
        <v>0</v>
      </c>
    </row>
    <row r="143" spans="1:20">
      <c r="A143" s="36"/>
      <c r="B143" s="816"/>
      <c r="C143" s="163"/>
      <c r="D143" s="163"/>
      <c r="E143" s="163"/>
      <c r="F143" s="163"/>
      <c r="G143" s="163"/>
      <c r="H143" s="163"/>
      <c r="I143" s="163"/>
      <c r="J143" s="163"/>
      <c r="K143" s="163"/>
      <c r="L143" s="163"/>
      <c r="M143" s="163"/>
    </row>
    <row r="144" spans="1:20">
      <c r="A144" s="36"/>
      <c r="B144" s="811" t="s">
        <v>257</v>
      </c>
      <c r="C144" s="157"/>
      <c r="D144" s="82"/>
      <c r="E144" s="82"/>
      <c r="F144" s="82"/>
      <c r="G144" s="82"/>
      <c r="H144" s="82"/>
      <c r="I144" s="82"/>
      <c r="J144" s="82"/>
      <c r="K144" s="82"/>
      <c r="L144" s="82"/>
      <c r="M144" s="82"/>
      <c r="N144" s="82"/>
    </row>
    <row r="145" spans="1:20">
      <c r="A145" s="36"/>
      <c r="B145" s="808"/>
      <c r="O145"/>
      <c r="P145"/>
      <c r="Q145"/>
      <c r="R145"/>
      <c r="S145"/>
      <c r="T145"/>
    </row>
    <row r="146" spans="1:20">
      <c r="A146" s="36"/>
      <c r="B146" s="816" t="s">
        <v>181</v>
      </c>
    </row>
    <row r="147" spans="1:20">
      <c r="A147" s="36"/>
      <c r="B147" s="808" t="s">
        <v>180</v>
      </c>
      <c r="C147" s="162" t="s">
        <v>128</v>
      </c>
      <c r="D147" s="96">
        <f>D112+D140</f>
        <v>-6.2604170273614344</v>
      </c>
      <c r="E147" s="97">
        <f t="shared" ref="E147:K147" si="51">E112+E140</f>
        <v>-2.1115630391307558</v>
      </c>
      <c r="F147" s="97">
        <f t="shared" si="51"/>
        <v>-0.65126654947958151</v>
      </c>
      <c r="G147" s="97">
        <f t="shared" si="51"/>
        <v>2.591073031230188</v>
      </c>
      <c r="H147" s="97">
        <f t="shared" si="51"/>
        <v>6.8225871071717146</v>
      </c>
      <c r="I147" s="97">
        <f t="shared" si="51"/>
        <v>2.6309197924755061</v>
      </c>
      <c r="J147" s="97">
        <f t="shared" si="51"/>
        <v>-3.1152928496791361</v>
      </c>
      <c r="K147" s="97">
        <f t="shared" si="51"/>
        <v>0.98927849203035123</v>
      </c>
      <c r="L147" s="96">
        <f>SUM(D147:INDEX(D147:K147,0,MATCH('RFPR cover'!$C$7,$D$6:$K$6,0)))</f>
        <v>-6.4321735847415837</v>
      </c>
      <c r="M147" s="98">
        <f>SUM(D147:K147)</f>
        <v>0.89531895725685207</v>
      </c>
    </row>
    <row r="148" spans="1:20">
      <c r="A148" s="36"/>
      <c r="B148" s="808" t="s">
        <v>280</v>
      </c>
      <c r="C148" s="162" t="s">
        <v>128</v>
      </c>
      <c r="D148" s="99">
        <f t="shared" ref="D148:K148" si="52">D113+D141</f>
        <v>-7.9174409852007166</v>
      </c>
      <c r="E148" s="100">
        <f t="shared" si="52"/>
        <v>-2.6704572036944629</v>
      </c>
      <c r="F148" s="100">
        <f t="shared" si="52"/>
        <v>-0.82364552530666302</v>
      </c>
      <c r="G148" s="100">
        <f t="shared" si="52"/>
        <v>3.2768851856753081</v>
      </c>
      <c r="H148" s="100">
        <f t="shared" si="52"/>
        <v>8.6284077484515329</v>
      </c>
      <c r="I148" s="100">
        <f t="shared" si="52"/>
        <v>3.327278694483482</v>
      </c>
      <c r="J148" s="100">
        <f t="shared" si="52"/>
        <v>-3.9398569106741874</v>
      </c>
      <c r="K148" s="100">
        <f t="shared" si="52"/>
        <v>1.2511233747442319</v>
      </c>
      <c r="L148" s="99">
        <f>SUM(D148:INDEX(D148:K148,0,MATCH('RFPR cover'!$C$7,$D$6:$K$6,0)))</f>
        <v>-8.1346585285265345</v>
      </c>
      <c r="M148" s="101">
        <f>SUM(D148:K148)</f>
        <v>1.1322943784785249</v>
      </c>
    </row>
    <row r="149" spans="1:20">
      <c r="A149" s="36"/>
      <c r="B149" s="816" t="s">
        <v>11</v>
      </c>
      <c r="C149" s="163" t="s">
        <v>128</v>
      </c>
      <c r="D149" s="146">
        <f>SUM(D147:D148)</f>
        <v>-14.177858012562151</v>
      </c>
      <c r="E149" s="147">
        <f t="shared" ref="E149:K149" si="53">SUM(E147:E148)</f>
        <v>-4.7820202428252188</v>
      </c>
      <c r="F149" s="147">
        <f t="shared" si="53"/>
        <v>-1.4749120747862445</v>
      </c>
      <c r="G149" s="147">
        <f t="shared" si="53"/>
        <v>5.867958216905496</v>
      </c>
      <c r="H149" s="147">
        <f t="shared" si="53"/>
        <v>15.450994855623247</v>
      </c>
      <c r="I149" s="147">
        <f t="shared" si="53"/>
        <v>5.9581984869589881</v>
      </c>
      <c r="J149" s="147">
        <f t="shared" si="53"/>
        <v>-7.0551497603533235</v>
      </c>
      <c r="K149" s="147">
        <f t="shared" si="53"/>
        <v>2.2404018667745831</v>
      </c>
      <c r="L149" s="146">
        <f>SUM(D149:INDEX(D149:K149,0,MATCH('RFPR cover'!$C$7,$D$6:$K$6,0)))</f>
        <v>-14.566832113268116</v>
      </c>
      <c r="M149" s="148">
        <f>SUM(D149:K149)</f>
        <v>2.0276133357353778</v>
      </c>
    </row>
    <row r="150" spans="1:20">
      <c r="A150" s="36"/>
      <c r="B150" s="815"/>
      <c r="D150" s="143"/>
      <c r="E150" s="143"/>
      <c r="F150" s="143"/>
      <c r="G150" s="143"/>
      <c r="H150" s="143"/>
      <c r="I150" s="143"/>
      <c r="J150" s="143"/>
      <c r="K150" s="143"/>
    </row>
    <row r="151" spans="1:20">
      <c r="A151" s="36"/>
      <c r="B151" s="808"/>
    </row>
    <row r="152" spans="1:20">
      <c r="A152" s="82"/>
      <c r="B152" s="807"/>
      <c r="C152" s="157"/>
      <c r="D152" s="82"/>
      <c r="E152" s="82"/>
      <c r="F152" s="82"/>
      <c r="G152" s="82"/>
      <c r="H152" s="82"/>
      <c r="I152" s="82"/>
      <c r="J152" s="82"/>
      <c r="K152" s="82"/>
      <c r="L152" s="82"/>
      <c r="M152" s="82"/>
      <c r="N152" s="82"/>
    </row>
    <row r="153" spans="1:20">
      <c r="B153" s="808"/>
    </row>
    <row r="154" spans="1:20">
      <c r="B154" s="808"/>
    </row>
  </sheetData>
  <sheetProtection password="DA3D" sheet="1" objects="1" scenarios="1" formatCells="0" formatColumns="0" formatRows="0"/>
  <mergeCells count="4">
    <mergeCell ref="O14:Q14"/>
    <mergeCell ref="O42:Q42"/>
    <mergeCell ref="O92:Q92"/>
    <mergeCell ref="O120:Q120"/>
  </mergeCells>
  <conditionalFormatting sqref="D6:K6">
    <cfRule type="expression" dxfId="39" priority="7">
      <formula>AND(D$5="Actuals",E$5="Forecast")</formula>
    </cfRule>
  </conditionalFormatting>
  <conditionalFormatting sqref="B118:M142">
    <cfRule type="expression" dxfId="38" priority="3">
      <formula>$B$38="n/a"</formula>
    </cfRule>
  </conditionalFormatting>
  <conditionalFormatting sqref="D5:K5">
    <cfRule type="expression" dxfId="37" priority="2">
      <formula>AND(D$5="Actuals",E$5="Forecast")</formula>
    </cfRule>
  </conditionalFormatting>
  <conditionalFormatting sqref="B38:N64">
    <cfRule type="expression" dxfId="36" priority="1">
      <formula>$B$38="n/a"</formula>
    </cfRule>
  </conditionalFormatting>
  <pageMargins left="0.70866141732283472" right="0.70866141732283472" top="0.74803149606299213" bottom="0.74803149606299213" header="0.31496062992125984" footer="0.31496062992125984"/>
  <pageSetup paperSize="8" scale="6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P114"/>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71.375" bestFit="1" customWidth="1"/>
    <col min="3" max="3" width="13.375" style="143" customWidth="1"/>
    <col min="4" max="11" width="11.125" customWidth="1"/>
    <col min="12" max="12" width="12.875" customWidth="1"/>
    <col min="13" max="13" width="12.75" customWidth="1"/>
    <col min="14" max="14" width="5" customWidth="1"/>
  </cols>
  <sheetData>
    <row r="1" spans="1:14" s="38" customFormat="1" ht="20.25">
      <c r="A1" s="135" t="s">
        <v>262</v>
      </c>
      <c r="B1" s="136"/>
      <c r="C1" s="160"/>
      <c r="D1" s="136"/>
      <c r="E1" s="136"/>
      <c r="F1" s="136"/>
      <c r="G1" s="136"/>
      <c r="H1" s="136"/>
      <c r="I1" s="131"/>
      <c r="J1" s="131"/>
      <c r="K1" s="131"/>
      <c r="L1" s="131"/>
      <c r="M1" s="131"/>
      <c r="N1" s="132"/>
    </row>
    <row r="2" spans="1:14" s="38" customFormat="1" ht="20.25">
      <c r="A2" s="137" t="str">
        <f>'RFPR cover'!C5</f>
        <v>NPgY</v>
      </c>
      <c r="B2" s="37"/>
      <c r="C2" s="161"/>
      <c r="D2" s="37"/>
      <c r="E2" s="37"/>
      <c r="F2" s="37"/>
      <c r="G2" s="37"/>
      <c r="H2" s="37"/>
      <c r="I2" s="27"/>
      <c r="J2" s="27"/>
      <c r="K2" s="27"/>
      <c r="L2" s="27"/>
      <c r="M2" s="27"/>
      <c r="N2" s="126"/>
    </row>
    <row r="3" spans="1:14" s="38" customFormat="1" ht="20.25">
      <c r="A3" s="138">
        <f>'RFPR cover'!C7</f>
        <v>2019</v>
      </c>
      <c r="B3" s="139"/>
      <c r="C3" s="142"/>
      <c r="D3" s="139"/>
      <c r="E3" s="139"/>
      <c r="F3" s="139"/>
      <c r="G3" s="139"/>
      <c r="H3" s="139"/>
      <c r="I3" s="29"/>
      <c r="J3" s="29"/>
      <c r="K3" s="29"/>
      <c r="L3" s="29"/>
      <c r="M3" s="29"/>
      <c r="N3" s="129"/>
    </row>
    <row r="4" spans="1:14" s="2" customFormat="1" ht="12.75" customHeight="1">
      <c r="B4" s="3"/>
      <c r="C4" s="143"/>
    </row>
    <row r="5" spans="1:14" s="2" customFormat="1" ht="12.75" customHeight="1">
      <c r="B5" s="3"/>
      <c r="C5" s="143"/>
      <c r="D5" s="409" t="str">
        <f>IF(D6&lt;='RFPR cover'!$C$7,"Actuals","Forecast")</f>
        <v>Actuals</v>
      </c>
      <c r="E5" s="410" t="str">
        <f>IF(E6&lt;='RFPR cover'!$C$7,"Actuals","Forecast")</f>
        <v>Actuals</v>
      </c>
      <c r="F5" s="410" t="str">
        <f>IF(F6&lt;='RFPR cover'!$C$7,"Actuals","Forecast")</f>
        <v>Actuals</v>
      </c>
      <c r="G5" s="410" t="str">
        <f>IF(G6&lt;='RFPR cover'!$C$7,"Actuals","Forecast")</f>
        <v>Actuals</v>
      </c>
      <c r="H5" s="410" t="str">
        <f>IF(H6&lt;='RFPR cover'!$C$7,"Actuals","Forecast")</f>
        <v>Forecast</v>
      </c>
      <c r="I5" s="410" t="str">
        <f>IF(I6&lt;='RFPR cover'!$C$7,"Actuals","Forecast")</f>
        <v>Forecast</v>
      </c>
      <c r="J5" s="410" t="str">
        <f>IF(J6&lt;='RFPR cover'!$C$7,"Actuals","Forecast")</f>
        <v>Forecast</v>
      </c>
      <c r="K5" s="411" t="str">
        <f>IF(K6&lt;='RFPR cover'!$C$7,"Actuals","Forecast")</f>
        <v>Forecast</v>
      </c>
    </row>
    <row r="6" spans="1:14" s="2" customFormat="1" ht="29.25" customHeight="1">
      <c r="C6" s="143"/>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2019</v>
      </c>
      <c r="M6" s="120" t="s">
        <v>109</v>
      </c>
    </row>
    <row r="7" spans="1:14" s="2" customFormat="1">
      <c r="A7" s="36"/>
      <c r="C7" s="143"/>
    </row>
    <row r="8" spans="1:14" s="2" customFormat="1">
      <c r="A8" s="36"/>
      <c r="B8" s="117" t="s">
        <v>199</v>
      </c>
      <c r="C8" s="157"/>
      <c r="D8" s="81"/>
      <c r="E8" s="81"/>
      <c r="F8" s="81"/>
      <c r="G8" s="81"/>
      <c r="H8" s="81"/>
      <c r="I8" s="81"/>
      <c r="J8" s="81"/>
      <c r="K8" s="81"/>
      <c r="L8" s="81"/>
      <c r="M8" s="81"/>
      <c r="N8" s="81"/>
    </row>
    <row r="9" spans="1:14" s="2" customFormat="1">
      <c r="A9" s="36"/>
      <c r="B9" s="387" t="s">
        <v>395</v>
      </c>
      <c r="C9" s="387"/>
      <c r="D9" s="387"/>
      <c r="E9" s="387"/>
      <c r="F9" s="387"/>
      <c r="G9" s="387"/>
      <c r="H9" s="387"/>
      <c r="I9" s="387"/>
      <c r="J9" s="387"/>
      <c r="K9" s="387"/>
      <c r="L9" s="387"/>
      <c r="M9" s="387"/>
      <c r="N9" s="387"/>
    </row>
    <row r="10" spans="1:14" s="2" customFormat="1">
      <c r="A10" s="36"/>
      <c r="B10" s="12"/>
      <c r="C10" s="143"/>
    </row>
    <row r="11" spans="1:14" s="2" customFormat="1">
      <c r="A11" s="233" t="s">
        <v>151</v>
      </c>
      <c r="B11" s="36" t="str">
        <f>Data!B153</f>
        <v>Broad measure of customer service</v>
      </c>
      <c r="C11" s="162" t="str">
        <f>'RFPR cover'!$C$14</f>
        <v>£m 12/13</v>
      </c>
      <c r="D11" s="621">
        <v>1.4950660189349718</v>
      </c>
      <c r="E11" s="622">
        <v>2.4404047615840767</v>
      </c>
      <c r="F11" s="622">
        <v>2.5614762708453891</v>
      </c>
      <c r="G11" s="622">
        <v>2.7092631346021414</v>
      </c>
      <c r="H11" s="622">
        <v>4.2452000000000005</v>
      </c>
      <c r="I11" s="622">
        <v>4.3800000000000008</v>
      </c>
      <c r="J11" s="622">
        <v>4.54</v>
      </c>
      <c r="K11" s="622">
        <v>4.54</v>
      </c>
      <c r="L11" s="698">
        <f>SUM(D11:INDEX(D11:K11,0,MATCH('RFPR cover'!$C$7,$D$6:$K$6,0)))</f>
        <v>9.2062101859665795</v>
      </c>
      <c r="M11" s="699">
        <f t="shared" ref="M11:M17" si="1">SUM(D11:K11)</f>
        <v>26.911410185966581</v>
      </c>
    </row>
    <row r="12" spans="1:14" s="2" customFormat="1">
      <c r="A12" s="233" t="s">
        <v>152</v>
      </c>
      <c r="B12" s="36" t="str">
        <f>Data!B154</f>
        <v>Interruptions-related quality of service</v>
      </c>
      <c r="C12" s="162" t="str">
        <f>'RFPR cover'!$C$14</f>
        <v>£m 12/13</v>
      </c>
      <c r="D12" s="623">
        <v>13.087008000000001</v>
      </c>
      <c r="E12" s="624">
        <v>13.5</v>
      </c>
      <c r="F12" s="624">
        <v>13.444224</v>
      </c>
      <c r="G12" s="624">
        <v>13.481033999999999</v>
      </c>
      <c r="H12" s="624">
        <v>13.5</v>
      </c>
      <c r="I12" s="624">
        <v>13.5</v>
      </c>
      <c r="J12" s="624">
        <v>13.5</v>
      </c>
      <c r="K12" s="624">
        <v>13.5</v>
      </c>
      <c r="L12" s="702">
        <f>SUM(D12:INDEX(D12:K12,0,MATCH('RFPR cover'!$C$7,$D$6:$K$6,0)))</f>
        <v>53.512266000000004</v>
      </c>
      <c r="M12" s="703">
        <f t="shared" si="1"/>
        <v>107.51226600000001</v>
      </c>
    </row>
    <row r="13" spans="1:14" s="2" customFormat="1">
      <c r="A13" s="233" t="s">
        <v>153</v>
      </c>
      <c r="B13" s="36" t="str">
        <f>Data!B155</f>
        <v>Incentive on connections engagement</v>
      </c>
      <c r="C13" s="162" t="str">
        <f>'RFPR cover'!$C$14</f>
        <v>£m 12/13</v>
      </c>
      <c r="D13" s="623">
        <v>0</v>
      </c>
      <c r="E13" s="624">
        <v>0</v>
      </c>
      <c r="F13" s="624">
        <v>0</v>
      </c>
      <c r="G13" s="624">
        <v>0</v>
      </c>
      <c r="H13" s="624">
        <v>0</v>
      </c>
      <c r="I13" s="624">
        <v>0</v>
      </c>
      <c r="J13" s="624">
        <v>0</v>
      </c>
      <c r="K13" s="624">
        <v>0</v>
      </c>
      <c r="L13" s="702">
        <f>SUM(D13:INDEX(D13:K13,0,MATCH('RFPR cover'!$C$7,$D$6:$K$6,0)))</f>
        <v>0</v>
      </c>
      <c r="M13" s="703">
        <f t="shared" si="1"/>
        <v>0</v>
      </c>
    </row>
    <row r="14" spans="1:14" s="2" customFormat="1">
      <c r="A14" s="233" t="s">
        <v>168</v>
      </c>
      <c r="B14" s="36" t="str">
        <f>Data!B156</f>
        <v>Time to Connect Incentive</v>
      </c>
      <c r="C14" s="162" t="str">
        <f>'RFPR cover'!$C$14</f>
        <v>£m 12/13</v>
      </c>
      <c r="D14" s="623">
        <v>0.69580790960451977</v>
      </c>
      <c r="E14" s="624">
        <v>0.6</v>
      </c>
      <c r="F14" s="624">
        <v>6.2900000000000178E-2</v>
      </c>
      <c r="G14" s="624">
        <v>0.35280000000000028</v>
      </c>
      <c r="H14" s="624">
        <v>0.59263302387746997</v>
      </c>
      <c r="I14" s="624">
        <v>0.59263302387746997</v>
      </c>
      <c r="J14" s="624">
        <v>0.59263302387746997</v>
      </c>
      <c r="K14" s="624">
        <v>0.59263302387746997</v>
      </c>
      <c r="L14" s="702">
        <f>SUM(D14:INDEX(D14:K14,0,MATCH('RFPR cover'!$C$7,$D$6:$K$6,0)))</f>
        <v>1.71150790960452</v>
      </c>
      <c r="M14" s="703">
        <f t="shared" si="1"/>
        <v>4.0820400051143997</v>
      </c>
    </row>
    <row r="15" spans="1:14" s="2" customFormat="1">
      <c r="A15" s="233" t="s">
        <v>169</v>
      </c>
      <c r="B15" s="36" t="str">
        <f>Data!B157</f>
        <v>Losses discretionary reward scheme</v>
      </c>
      <c r="C15" s="162" t="str">
        <f>'RFPR cover'!$C$14</f>
        <v>£m 12/13</v>
      </c>
      <c r="D15" s="623">
        <v>0</v>
      </c>
      <c r="E15" s="624">
        <v>0.17499999999999999</v>
      </c>
      <c r="F15" s="624">
        <v>0</v>
      </c>
      <c r="G15" s="624">
        <v>0</v>
      </c>
      <c r="H15" s="624">
        <v>0</v>
      </c>
      <c r="I15" s="624">
        <v>0</v>
      </c>
      <c r="J15" s="624">
        <v>0</v>
      </c>
      <c r="K15" s="624">
        <v>0</v>
      </c>
      <c r="L15" s="702">
        <f>SUM(D15:INDEX(D15:K15,0,MATCH('RFPR cover'!$C$7,$D$6:$K$6,0)))</f>
        <v>0.17499999999999999</v>
      </c>
      <c r="M15" s="703">
        <f t="shared" si="1"/>
        <v>0.17499999999999999</v>
      </c>
    </row>
    <row r="16" spans="1:14" s="2" customFormat="1">
      <c r="A16" s="233" t="s">
        <v>170</v>
      </c>
      <c r="B16" s="36" t="str">
        <f>Data!B158</f>
        <v/>
      </c>
      <c r="C16" s="162" t="str">
        <f>'RFPR cover'!$C$14</f>
        <v>£m 12/13</v>
      </c>
      <c r="D16" s="623"/>
      <c r="E16" s="624"/>
      <c r="F16" s="624"/>
      <c r="G16" s="624"/>
      <c r="H16" s="624"/>
      <c r="I16" s="624"/>
      <c r="J16" s="624"/>
      <c r="K16" s="624"/>
      <c r="L16" s="702">
        <f>SUM(D16:INDEX(D16:K16,0,MATCH('RFPR cover'!$C$7,$D$6:$K$6,0)))</f>
        <v>0</v>
      </c>
      <c r="M16" s="703">
        <f t="shared" si="1"/>
        <v>0</v>
      </c>
    </row>
    <row r="17" spans="1:16" s="2" customFormat="1">
      <c r="A17" s="233" t="s">
        <v>483</v>
      </c>
      <c r="B17" s="36" t="str">
        <f>Data!B159</f>
        <v/>
      </c>
      <c r="C17" s="162" t="str">
        <f>'RFPR cover'!$C$14</f>
        <v>£m 12/13</v>
      </c>
      <c r="D17" s="884"/>
      <c r="E17" s="885"/>
      <c r="F17" s="885"/>
      <c r="G17" s="885"/>
      <c r="H17" s="885"/>
      <c r="I17" s="885"/>
      <c r="J17" s="885"/>
      <c r="K17" s="886"/>
      <c r="L17" s="702">
        <f>SUM(D17:INDEX(D17:K17,0,MATCH('RFPR cover'!$C$7,$D$6:$K$6,0)))</f>
        <v>0</v>
      </c>
      <c r="M17" s="703">
        <f t="shared" si="1"/>
        <v>0</v>
      </c>
    </row>
    <row r="18" spans="1:16" s="2" customFormat="1">
      <c r="A18" s="36"/>
      <c r="B18" s="12" t="s">
        <v>203</v>
      </c>
      <c r="C18" s="163" t="str">
        <f>'RFPR cover'!$C$14</f>
        <v>£m 12/13</v>
      </c>
      <c r="D18" s="637">
        <f>SUM(D11:D17)</f>
        <v>15.277881928539493</v>
      </c>
      <c r="E18" s="637">
        <f t="shared" ref="E18:K18" si="2">SUM(E11:E17)</f>
        <v>16.715404761584079</v>
      </c>
      <c r="F18" s="637">
        <f t="shared" si="2"/>
        <v>16.068600270845387</v>
      </c>
      <c r="G18" s="637">
        <f t="shared" si="2"/>
        <v>16.543097134602142</v>
      </c>
      <c r="H18" s="637">
        <f t="shared" si="2"/>
        <v>18.337833023877472</v>
      </c>
      <c r="I18" s="637">
        <f t="shared" si="2"/>
        <v>18.472633023877471</v>
      </c>
      <c r="J18" s="637">
        <f t="shared" si="2"/>
        <v>18.632633023877467</v>
      </c>
      <c r="K18" s="637">
        <f t="shared" si="2"/>
        <v>18.632633023877467</v>
      </c>
      <c r="L18" s="637">
        <f>SUM(L11:L17)</f>
        <v>64.604984095571098</v>
      </c>
      <c r="M18" s="637">
        <f>SUM(M11:M17)</f>
        <v>138.68071619108102</v>
      </c>
    </row>
    <row r="19" spans="1:16" s="2" customFormat="1">
      <c r="A19" s="36"/>
      <c r="B19" s="12"/>
      <c r="C19" s="163"/>
      <c r="D19" s="163"/>
      <c r="E19" s="163"/>
      <c r="F19" s="163"/>
      <c r="G19" s="163"/>
      <c r="H19" s="163"/>
      <c r="I19" s="163"/>
      <c r="J19" s="163"/>
      <c r="K19" s="163"/>
      <c r="L19" s="163"/>
      <c r="M19" s="163"/>
    </row>
    <row r="20" spans="1:16" s="2" customFormat="1">
      <c r="A20" s="36"/>
      <c r="B20" s="12" t="s">
        <v>377</v>
      </c>
      <c r="C20" s="163"/>
      <c r="D20" s="163"/>
      <c r="E20" s="163"/>
      <c r="F20" s="163"/>
      <c r="G20" s="163"/>
      <c r="H20" s="163"/>
      <c r="I20" s="163"/>
      <c r="J20" s="163"/>
      <c r="K20" s="163"/>
      <c r="L20" s="163"/>
      <c r="M20" s="163"/>
    </row>
    <row r="21" spans="1:16" s="2" customFormat="1">
      <c r="A21" s="282" t="str">
        <f>A11</f>
        <v>a</v>
      </c>
      <c r="B21" s="996" t="s">
        <v>578</v>
      </c>
      <c r="C21" s="996"/>
      <c r="D21" s="996"/>
      <c r="E21" s="996"/>
      <c r="F21" s="996"/>
      <c r="G21" s="996"/>
      <c r="H21" s="996"/>
      <c r="I21" s="996"/>
      <c r="J21" s="996"/>
      <c r="K21" s="996"/>
      <c r="L21" s="996"/>
      <c r="M21" s="996"/>
    </row>
    <row r="22" spans="1:16" s="2" customFormat="1">
      <c r="A22" s="282" t="str">
        <f>A12</f>
        <v>b</v>
      </c>
      <c r="B22" s="995"/>
      <c r="C22" s="995"/>
      <c r="D22" s="995"/>
      <c r="E22" s="995"/>
      <c r="F22" s="995"/>
      <c r="G22" s="995"/>
      <c r="H22" s="995"/>
      <c r="I22" s="995"/>
      <c r="J22" s="995"/>
      <c r="K22" s="995"/>
      <c r="L22" s="995"/>
      <c r="M22" s="995"/>
    </row>
    <row r="23" spans="1:16" s="2" customFormat="1">
      <c r="A23" s="282" t="str">
        <f>A13</f>
        <v>c</v>
      </c>
      <c r="B23" s="995"/>
      <c r="C23" s="995"/>
      <c r="D23" s="995"/>
      <c r="E23" s="995"/>
      <c r="F23" s="995"/>
      <c r="G23" s="995"/>
      <c r="H23" s="995"/>
      <c r="I23" s="995"/>
      <c r="J23" s="995"/>
      <c r="K23" s="995"/>
      <c r="L23" s="995"/>
      <c r="M23" s="995"/>
    </row>
    <row r="24" spans="1:16" s="2" customFormat="1">
      <c r="A24" s="282" t="str">
        <f>A14</f>
        <v>d</v>
      </c>
      <c r="B24" s="995"/>
      <c r="C24" s="995"/>
      <c r="D24" s="995"/>
      <c r="E24" s="995"/>
      <c r="F24" s="995"/>
      <c r="G24" s="995"/>
      <c r="H24" s="995"/>
      <c r="I24" s="995"/>
      <c r="J24" s="995"/>
      <c r="K24" s="995"/>
      <c r="L24" s="995"/>
      <c r="M24" s="995"/>
    </row>
    <row r="25" spans="1:16" s="2" customFormat="1">
      <c r="A25" s="282" t="str">
        <f>A15</f>
        <v>e</v>
      </c>
      <c r="B25" s="995"/>
      <c r="C25" s="995"/>
      <c r="D25" s="995"/>
      <c r="E25" s="995"/>
      <c r="F25" s="995"/>
      <c r="G25" s="995"/>
      <c r="H25" s="995"/>
      <c r="I25" s="995"/>
      <c r="J25" s="995"/>
      <c r="K25" s="995"/>
      <c r="L25" s="995"/>
      <c r="M25" s="995"/>
    </row>
    <row r="26" spans="1:16" s="2" customFormat="1">
      <c r="A26" s="282" t="s">
        <v>170</v>
      </c>
      <c r="B26" s="880"/>
      <c r="C26" s="880"/>
      <c r="D26" s="880"/>
      <c r="E26" s="880"/>
      <c r="F26" s="880"/>
      <c r="G26" s="880"/>
      <c r="H26" s="880"/>
      <c r="I26" s="880"/>
      <c r="J26" s="880"/>
      <c r="K26" s="880"/>
      <c r="L26" s="880"/>
      <c r="M26" s="880"/>
    </row>
    <row r="27" spans="1:16" s="2" customFormat="1">
      <c r="A27" s="282" t="s">
        <v>483</v>
      </c>
      <c r="B27" s="880"/>
      <c r="C27" s="880"/>
      <c r="D27" s="880"/>
      <c r="E27" s="880"/>
      <c r="F27" s="880"/>
      <c r="G27" s="880"/>
      <c r="H27" s="880"/>
      <c r="I27" s="880"/>
      <c r="J27" s="880"/>
      <c r="K27" s="880"/>
      <c r="L27" s="880"/>
      <c r="M27" s="880"/>
    </row>
    <row r="28" spans="1:16" s="559" customFormat="1">
      <c r="A28" s="39"/>
      <c r="B28" s="563"/>
      <c r="C28" s="563"/>
      <c r="D28" s="563"/>
      <c r="E28" s="563"/>
      <c r="F28" s="563"/>
      <c r="G28" s="563"/>
      <c r="H28" s="563"/>
      <c r="I28" s="563"/>
      <c r="J28" s="563"/>
      <c r="K28" s="563"/>
      <c r="L28" s="563"/>
      <c r="M28" s="563"/>
    </row>
    <row r="29" spans="1:16" s="2" customFormat="1">
      <c r="B29" s="12"/>
      <c r="C29" s="143"/>
      <c r="D29" s="53"/>
      <c r="E29" s="53"/>
      <c r="F29" s="53"/>
      <c r="G29" s="53"/>
      <c r="H29" s="53"/>
      <c r="I29" s="53"/>
      <c r="J29" s="53"/>
      <c r="K29" s="53"/>
    </row>
    <row r="30" spans="1:16" s="2" customFormat="1">
      <c r="A30" s="36"/>
      <c r="B30" s="117" t="s">
        <v>200</v>
      </c>
      <c r="C30" s="157"/>
      <c r="D30" s="81"/>
      <c r="E30" s="81"/>
      <c r="F30" s="81"/>
      <c r="G30" s="81"/>
      <c r="H30" s="81"/>
      <c r="I30" s="81"/>
      <c r="J30" s="81"/>
      <c r="K30" s="81"/>
      <c r="L30" s="81"/>
      <c r="M30" s="81"/>
      <c r="N30" s="81"/>
    </row>
    <row r="31" spans="1:16" s="2" customFormat="1">
      <c r="A31" s="36"/>
      <c r="B31" s="36"/>
      <c r="C31" s="36"/>
      <c r="D31" s="36"/>
      <c r="E31" s="36"/>
      <c r="F31" s="36"/>
      <c r="G31" s="36"/>
      <c r="H31" s="36"/>
      <c r="I31" s="36"/>
      <c r="J31" s="36"/>
      <c r="K31" s="36"/>
      <c r="L31" s="36"/>
      <c r="M31" s="36"/>
      <c r="N31" s="36"/>
      <c r="O31" s="36"/>
      <c r="P31" s="36"/>
    </row>
    <row r="32" spans="1:16" s="2" customFormat="1">
      <c r="A32" s="36"/>
      <c r="B32" s="387" t="s">
        <v>211</v>
      </c>
      <c r="C32" s="305"/>
      <c r="D32" s="307"/>
      <c r="E32" s="307"/>
      <c r="F32" s="307"/>
      <c r="G32" s="307"/>
      <c r="H32" s="307"/>
      <c r="I32" s="307"/>
      <c r="J32" s="307"/>
      <c r="K32" s="307"/>
      <c r="L32" s="307"/>
      <c r="M32" s="307"/>
      <c r="N32" s="307"/>
    </row>
    <row r="33" spans="1:14" s="2" customFormat="1">
      <c r="A33" s="36"/>
      <c r="B33" s="388" t="s">
        <v>241</v>
      </c>
      <c r="C33" s="305"/>
      <c r="D33" s="307"/>
      <c r="E33" s="307"/>
      <c r="F33" s="307"/>
      <c r="G33" s="307"/>
      <c r="H33" s="307"/>
      <c r="I33" s="307"/>
      <c r="J33" s="307"/>
      <c r="K33" s="307"/>
      <c r="L33" s="307"/>
      <c r="M33" s="307"/>
      <c r="N33" s="307"/>
    </row>
    <row r="34" spans="1:14" s="2" customFormat="1">
      <c r="A34" s="36"/>
      <c r="B34" s="388" t="s">
        <v>484</v>
      </c>
      <c r="C34" s="305"/>
      <c r="D34" s="307"/>
      <c r="E34" s="307"/>
      <c r="F34" s="307"/>
      <c r="G34" s="307"/>
      <c r="H34" s="307"/>
      <c r="I34" s="307"/>
      <c r="J34" s="307"/>
      <c r="K34" s="307"/>
      <c r="L34" s="307"/>
      <c r="M34" s="307"/>
      <c r="N34" s="307"/>
    </row>
    <row r="35" spans="1:14" s="2" customFormat="1">
      <c r="A35" s="36"/>
      <c r="B35" s="388" t="s">
        <v>209</v>
      </c>
      <c r="C35" s="305"/>
      <c r="D35" s="307"/>
      <c r="E35" s="307"/>
      <c r="F35" s="307"/>
      <c r="G35" s="307"/>
      <c r="H35" s="307"/>
      <c r="I35" s="307"/>
      <c r="J35" s="307"/>
      <c r="K35" s="307"/>
      <c r="L35" s="307"/>
      <c r="M35" s="307"/>
      <c r="N35" s="307"/>
    </row>
    <row r="36" spans="1:14" s="2" customFormat="1">
      <c r="A36" s="36"/>
      <c r="B36" s="388" t="s">
        <v>202</v>
      </c>
      <c r="C36" s="305"/>
      <c r="D36" s="307"/>
      <c r="E36" s="307"/>
      <c r="F36" s="307"/>
      <c r="G36" s="307"/>
      <c r="H36" s="307"/>
      <c r="I36" s="307"/>
      <c r="J36" s="307"/>
      <c r="K36" s="307"/>
      <c r="L36" s="307"/>
      <c r="M36" s="307"/>
      <c r="N36" s="307"/>
    </row>
    <row r="37" spans="1:14" s="2" customFormat="1">
      <c r="A37" s="36"/>
      <c r="B37" s="388" t="s">
        <v>208</v>
      </c>
      <c r="C37" s="305"/>
      <c r="D37" s="307"/>
      <c r="E37" s="307"/>
      <c r="F37" s="307"/>
      <c r="G37" s="307"/>
      <c r="H37" s="307"/>
      <c r="I37" s="307"/>
      <c r="J37" s="307"/>
      <c r="K37" s="307"/>
      <c r="L37" s="307"/>
      <c r="M37" s="307"/>
      <c r="N37" s="307"/>
    </row>
    <row r="38" spans="1:14" s="2" customFormat="1">
      <c r="B38" s="12"/>
      <c r="C38" s="143"/>
    </row>
    <row r="39" spans="1:14" s="2" customFormat="1">
      <c r="A39" s="167" t="str">
        <f t="shared" ref="A39:A45" si="3">A11</f>
        <v>a</v>
      </c>
      <c r="B39" s="36" t="str">
        <f>$B$11&amp;""</f>
        <v>Broad measure of customer service</v>
      </c>
      <c r="C39" s="162" t="str">
        <f>'RFPR cover'!$C$14</f>
        <v>£m 12/13</v>
      </c>
      <c r="D39" s="698">
        <f>D51</f>
        <v>1.2110034753373273</v>
      </c>
      <c r="E39" s="698">
        <f t="shared" ref="E39:K39" si="4">E51</f>
        <v>1.9767278568831024</v>
      </c>
      <c r="F39" s="698">
        <f t="shared" si="4"/>
        <v>2.0747957793847651</v>
      </c>
      <c r="G39" s="698">
        <f t="shared" si="4"/>
        <v>2.2486884017197775</v>
      </c>
      <c r="H39" s="698">
        <f t="shared" si="4"/>
        <v>3.5235160000000003</v>
      </c>
      <c r="I39" s="698">
        <f t="shared" si="4"/>
        <v>3.6354000000000006</v>
      </c>
      <c r="J39" s="698">
        <f t="shared" si="4"/>
        <v>3.7681999999999998</v>
      </c>
      <c r="K39" s="698">
        <f t="shared" si="4"/>
        <v>3.7681999999999998</v>
      </c>
      <c r="L39" s="698">
        <f>SUM(D39:INDEX(D39:K39,0,MATCH('RFPR cover'!$C$7,$D$6:$K$6,0)))</f>
        <v>7.5112155133249718</v>
      </c>
      <c r="M39" s="699">
        <f t="shared" ref="M39:M45" si="5">SUM(D39:K39)</f>
        <v>22.206531513324972</v>
      </c>
    </row>
    <row r="40" spans="1:14" s="2" customFormat="1">
      <c r="A40" s="167" t="str">
        <f t="shared" si="3"/>
        <v>b</v>
      </c>
      <c r="B40" s="36" t="str">
        <f>$B$12&amp;""</f>
        <v>Interruptions-related quality of service</v>
      </c>
      <c r="C40" s="162" t="str">
        <f>'RFPR cover'!$C$14</f>
        <v>£m 12/13</v>
      </c>
      <c r="D40" s="698">
        <f>D55</f>
        <v>10.600476480000001</v>
      </c>
      <c r="E40" s="698">
        <f t="shared" ref="E40:K40" si="6">E55</f>
        <v>10.935</v>
      </c>
      <c r="F40" s="698">
        <f t="shared" si="6"/>
        <v>10.88982144</v>
      </c>
      <c r="G40" s="698">
        <f t="shared" si="6"/>
        <v>11.189258219999999</v>
      </c>
      <c r="H40" s="698">
        <f t="shared" si="6"/>
        <v>11.205</v>
      </c>
      <c r="I40" s="698">
        <f t="shared" si="6"/>
        <v>11.205</v>
      </c>
      <c r="J40" s="698">
        <f t="shared" si="6"/>
        <v>11.205</v>
      </c>
      <c r="K40" s="698">
        <f t="shared" si="6"/>
        <v>11.205</v>
      </c>
      <c r="L40" s="702">
        <f>SUM(D40:INDEX(D40:K40,0,MATCH('RFPR cover'!$C$7,$D$6:$K$6,0)))</f>
        <v>43.614556139999998</v>
      </c>
      <c r="M40" s="703">
        <f t="shared" si="5"/>
        <v>88.434556139999998</v>
      </c>
    </row>
    <row r="41" spans="1:14" s="2" customFormat="1">
      <c r="A41" s="167" t="str">
        <f t="shared" si="3"/>
        <v>c</v>
      </c>
      <c r="B41" s="36" t="str">
        <f>$B$13&amp;""</f>
        <v>Incentive on connections engagement</v>
      </c>
      <c r="C41" s="162" t="str">
        <f>'RFPR cover'!$C$14</f>
        <v>£m 12/13</v>
      </c>
      <c r="D41" s="698">
        <f>D59</f>
        <v>0</v>
      </c>
      <c r="E41" s="698">
        <f t="shared" ref="E41:K41" si="7">E59</f>
        <v>0</v>
      </c>
      <c r="F41" s="698">
        <f t="shared" si="7"/>
        <v>0</v>
      </c>
      <c r="G41" s="698">
        <f t="shared" si="7"/>
        <v>0</v>
      </c>
      <c r="H41" s="698">
        <f t="shared" si="7"/>
        <v>0</v>
      </c>
      <c r="I41" s="698">
        <f t="shared" si="7"/>
        <v>0</v>
      </c>
      <c r="J41" s="698">
        <f t="shared" si="7"/>
        <v>0</v>
      </c>
      <c r="K41" s="698">
        <f t="shared" si="7"/>
        <v>0</v>
      </c>
      <c r="L41" s="702">
        <f>SUM(D41:INDEX(D41:K41,0,MATCH('RFPR cover'!$C$7,$D$6:$K$6,0)))</f>
        <v>0</v>
      </c>
      <c r="M41" s="703">
        <f t="shared" si="5"/>
        <v>0</v>
      </c>
    </row>
    <row r="42" spans="1:14" s="2" customFormat="1">
      <c r="A42" s="167" t="str">
        <f t="shared" si="3"/>
        <v>d</v>
      </c>
      <c r="B42" s="36" t="str">
        <f>$B$14&amp;""</f>
        <v>Time to Connect Incentive</v>
      </c>
      <c r="C42" s="162" t="str">
        <f>'RFPR cover'!$C$14</f>
        <v>£m 12/13</v>
      </c>
      <c r="D42" s="698">
        <f>D63</f>
        <v>0.56360440677966106</v>
      </c>
      <c r="E42" s="698">
        <f t="shared" ref="E42:K42" si="8">E63</f>
        <v>0.48599999999999999</v>
      </c>
      <c r="F42" s="698">
        <f t="shared" si="8"/>
        <v>5.0949000000000147E-2</v>
      </c>
      <c r="G42" s="698">
        <f t="shared" si="8"/>
        <v>0.2928240000000002</v>
      </c>
      <c r="H42" s="698">
        <f t="shared" si="8"/>
        <v>0.49188540981830003</v>
      </c>
      <c r="I42" s="698">
        <f t="shared" si="8"/>
        <v>0.49188540981830003</v>
      </c>
      <c r="J42" s="698">
        <f t="shared" si="8"/>
        <v>0.49188540981830003</v>
      </c>
      <c r="K42" s="698">
        <f t="shared" si="8"/>
        <v>0.49188540981830003</v>
      </c>
      <c r="L42" s="702">
        <f>SUM(D42:INDEX(D42:K42,0,MATCH('RFPR cover'!$C$7,$D$6:$K$6,0)))</f>
        <v>1.3933774067796614</v>
      </c>
      <c r="M42" s="703">
        <f t="shared" si="5"/>
        <v>3.3609190460528615</v>
      </c>
    </row>
    <row r="43" spans="1:14" s="2" customFormat="1">
      <c r="A43" s="167" t="str">
        <f t="shared" si="3"/>
        <v>e</v>
      </c>
      <c r="B43" s="36" t="str">
        <f>$B$15&amp;""</f>
        <v>Losses discretionary reward scheme</v>
      </c>
      <c r="C43" s="162" t="str">
        <f>'RFPR cover'!$C$14</f>
        <v>£m 12/13</v>
      </c>
      <c r="D43" s="698">
        <f>D67</f>
        <v>0</v>
      </c>
      <c r="E43" s="698">
        <f t="shared" ref="E43:K43" si="9">E67</f>
        <v>0.14174999999999999</v>
      </c>
      <c r="F43" s="698">
        <f t="shared" si="9"/>
        <v>0</v>
      </c>
      <c r="G43" s="698">
        <f t="shared" si="9"/>
        <v>0</v>
      </c>
      <c r="H43" s="698">
        <f t="shared" si="9"/>
        <v>0</v>
      </c>
      <c r="I43" s="698">
        <f t="shared" si="9"/>
        <v>0</v>
      </c>
      <c r="J43" s="698">
        <f t="shared" si="9"/>
        <v>0</v>
      </c>
      <c r="K43" s="698">
        <f t="shared" si="9"/>
        <v>0</v>
      </c>
      <c r="L43" s="702">
        <f>SUM(D43:INDEX(D43:K43,0,MATCH('RFPR cover'!$C$7,$D$6:$K$6,0)))</f>
        <v>0.14174999999999999</v>
      </c>
      <c r="M43" s="703">
        <f t="shared" si="5"/>
        <v>0.14174999999999999</v>
      </c>
    </row>
    <row r="44" spans="1:14" s="2" customFormat="1">
      <c r="A44" s="167" t="str">
        <f t="shared" si="3"/>
        <v>f</v>
      </c>
      <c r="B44" s="36" t="str">
        <f>$B$16&amp;""</f>
        <v/>
      </c>
      <c r="C44" s="162" t="str">
        <f>'RFPR cover'!$C$14</f>
        <v>£m 12/13</v>
      </c>
      <c r="D44" s="698">
        <f>D71</f>
        <v>0</v>
      </c>
      <c r="E44" s="698">
        <f t="shared" ref="E44:K44" si="10">E71</f>
        <v>0</v>
      </c>
      <c r="F44" s="698">
        <f t="shared" si="10"/>
        <v>0</v>
      </c>
      <c r="G44" s="698">
        <f t="shared" si="10"/>
        <v>0</v>
      </c>
      <c r="H44" s="698">
        <f t="shared" si="10"/>
        <v>0</v>
      </c>
      <c r="I44" s="698">
        <f t="shared" si="10"/>
        <v>0</v>
      </c>
      <c r="J44" s="698">
        <f t="shared" si="10"/>
        <v>0</v>
      </c>
      <c r="K44" s="698">
        <f t="shared" si="10"/>
        <v>0</v>
      </c>
      <c r="L44" s="702">
        <f>SUM(D44:INDEX(D44:K44,0,MATCH('RFPR cover'!$C$7,$D$6:$K$6,0)))</f>
        <v>0</v>
      </c>
      <c r="M44" s="703">
        <f t="shared" si="5"/>
        <v>0</v>
      </c>
    </row>
    <row r="45" spans="1:14" s="2" customFormat="1">
      <c r="A45" s="167" t="str">
        <f t="shared" si="3"/>
        <v>g</v>
      </c>
      <c r="B45" s="36" t="str">
        <f>$B$17&amp;""</f>
        <v/>
      </c>
      <c r="C45" s="162" t="str">
        <f>'RFPR cover'!$C$14</f>
        <v>£m 12/13</v>
      </c>
      <c r="D45" s="698">
        <f>D75</f>
        <v>0</v>
      </c>
      <c r="E45" s="698">
        <f t="shared" ref="E45:K45" si="11">E75</f>
        <v>0</v>
      </c>
      <c r="F45" s="698">
        <f t="shared" si="11"/>
        <v>0</v>
      </c>
      <c r="G45" s="698">
        <f t="shared" si="11"/>
        <v>0</v>
      </c>
      <c r="H45" s="698">
        <f t="shared" si="11"/>
        <v>0</v>
      </c>
      <c r="I45" s="698">
        <f t="shared" si="11"/>
        <v>0</v>
      </c>
      <c r="J45" s="698">
        <f t="shared" si="11"/>
        <v>0</v>
      </c>
      <c r="K45" s="698">
        <f t="shared" si="11"/>
        <v>0</v>
      </c>
      <c r="L45" s="702">
        <f>SUM(D45:INDEX(D45:K45,0,MATCH('RFPR cover'!$C$7,$D$6:$K$6,0)))</f>
        <v>0</v>
      </c>
      <c r="M45" s="703">
        <f t="shared" si="5"/>
        <v>0</v>
      </c>
    </row>
    <row r="46" spans="1:14" s="2" customFormat="1">
      <c r="B46" s="12" t="s">
        <v>204</v>
      </c>
      <c r="C46" s="163" t="str">
        <f>'RFPR cover'!$C$14</f>
        <v>£m 12/13</v>
      </c>
      <c r="D46" s="637">
        <f>SUM(D39:D45)</f>
        <v>12.375084362116988</v>
      </c>
      <c r="E46" s="637">
        <f t="shared" ref="E46:M46" si="12">SUM(E39:E45)</f>
        <v>13.539477856883103</v>
      </c>
      <c r="F46" s="637">
        <f t="shared" si="12"/>
        <v>13.015566219384766</v>
      </c>
      <c r="G46" s="637">
        <f t="shared" si="12"/>
        <v>13.730770621719776</v>
      </c>
      <c r="H46" s="638">
        <f t="shared" si="12"/>
        <v>15.220401409818301</v>
      </c>
      <c r="I46" s="638">
        <f t="shared" si="12"/>
        <v>15.332285409818301</v>
      </c>
      <c r="J46" s="638">
        <f t="shared" si="12"/>
        <v>15.4650854098183</v>
      </c>
      <c r="K46" s="638">
        <f t="shared" si="12"/>
        <v>15.4650854098183</v>
      </c>
      <c r="L46" s="637">
        <f t="shared" si="12"/>
        <v>52.660899060104633</v>
      </c>
      <c r="M46" s="637">
        <f t="shared" si="12"/>
        <v>114.14375669937783</v>
      </c>
    </row>
    <row r="47" spans="1:14" s="2" customFormat="1">
      <c r="B47" s="12"/>
      <c r="C47" s="163"/>
      <c r="D47" s="163"/>
      <c r="E47" s="163"/>
      <c r="F47" s="163"/>
      <c r="G47" s="163"/>
      <c r="H47" s="163"/>
      <c r="I47" s="163"/>
      <c r="J47" s="163"/>
      <c r="K47" s="163"/>
      <c r="L47" s="163"/>
      <c r="M47" s="163"/>
    </row>
    <row r="48" spans="1:14" s="2" customFormat="1">
      <c r="B48" s="12"/>
      <c r="C48" s="163"/>
      <c r="D48" s="168"/>
      <c r="E48" s="163"/>
      <c r="F48" s="163"/>
      <c r="G48" s="163"/>
      <c r="H48" s="163"/>
      <c r="I48" s="163"/>
      <c r="J48" s="163"/>
      <c r="K48" s="163"/>
      <c r="L48" s="163"/>
      <c r="M48" s="163"/>
    </row>
    <row r="49" spans="1:13" s="2" customFormat="1">
      <c r="A49" s="167" t="str">
        <f>$A$11</f>
        <v>a</v>
      </c>
      <c r="B49" s="179" t="str">
        <f>INDEX($B$11:$B$15,MATCH($A49,$A$11:$A$15,0),0)&amp;""</f>
        <v>Broad measure of customer service</v>
      </c>
      <c r="C49" s="162" t="str">
        <f>'RFPR cover'!$C$14</f>
        <v>£m 12/13</v>
      </c>
      <c r="D49" s="817">
        <f>INDEX($D$11:$K$17,MATCH($A49,$A$11:$A$17,0),0)</f>
        <v>1.4950660189349718</v>
      </c>
      <c r="E49" s="817">
        <f t="shared" ref="E49:K49" si="13">INDEX($D$11:$K$17,MATCH($A49,$A$11:$A$17,0),0)</f>
        <v>2.4404047615840767</v>
      </c>
      <c r="F49" s="817">
        <f t="shared" si="13"/>
        <v>2.5614762708453891</v>
      </c>
      <c r="G49" s="817">
        <f t="shared" si="13"/>
        <v>2.7092631346021414</v>
      </c>
      <c r="H49" s="817">
        <f t="shared" si="13"/>
        <v>4.2452000000000005</v>
      </c>
      <c r="I49" s="817">
        <f t="shared" si="13"/>
        <v>4.3800000000000008</v>
      </c>
      <c r="J49" s="817">
        <f t="shared" si="13"/>
        <v>4.54</v>
      </c>
      <c r="K49" s="817">
        <f t="shared" si="13"/>
        <v>4.54</v>
      </c>
      <c r="L49" s="817">
        <f>SUM(D49:INDEX(D49:K49,0,MATCH('RFPR cover'!$C$7,$D$6:$K$6,0)))</f>
        <v>9.2062101859665795</v>
      </c>
      <c r="M49" s="818">
        <f>SUM(D49:K49)</f>
        <v>26.911410185966581</v>
      </c>
    </row>
    <row r="50" spans="1:13" s="2" customFormat="1">
      <c r="A50" s="167"/>
      <c r="B50" s="36" t="s">
        <v>201</v>
      </c>
      <c r="C50" s="308" t="s">
        <v>202</v>
      </c>
      <c r="D50" s="923">
        <f>IF($C50=$B$33,$B$33,INDEX(Data!$G$14:$G$30,MATCH('R5 - Output Incentives'!D$6+RIGHT('R5 - Output Incentives'!$C50,2),Data!$C$14:$C$30,0),0))</f>
        <v>0.19</v>
      </c>
      <c r="E50" s="924">
        <f>IF($C50=$B$33,$B$33,INDEX(Data!$G$14:$G$30,MATCH('R5 - Output Incentives'!E$6+RIGHT('R5 - Output Incentives'!$C50,2),Data!$C$14:$C$30,0),0))</f>
        <v>0.19</v>
      </c>
      <c r="F50" s="924">
        <f>IF($C50=$B$33,$B$33,INDEX(Data!$G$14:$G$30,MATCH('R5 - Output Incentives'!F$6+RIGHT('R5 - Output Incentives'!$C50,2),Data!$C$14:$C$30,0),0))</f>
        <v>0.19</v>
      </c>
      <c r="G50" s="924">
        <f>IF($C50=$B$33,$B$33,INDEX(Data!$G$14:$G$30,MATCH('R5 - Output Incentives'!G$6+RIGHT('R5 - Output Incentives'!$C50,2),Data!$C$14:$C$30,0),0))</f>
        <v>0.17</v>
      </c>
      <c r="H50" s="924">
        <f>IF($C50=$B$33,$B$33,INDEX(Data!$G$14:$G$30,MATCH('R5 - Output Incentives'!H$6+RIGHT('R5 - Output Incentives'!$C50,2),Data!$C$14:$C$30,0),0))</f>
        <v>0.17</v>
      </c>
      <c r="I50" s="924">
        <f>IF($C50=$B$33,$B$33,INDEX(Data!$G$14:$G$30,MATCH('R5 - Output Incentives'!I$6+RIGHT('R5 - Output Incentives'!$C50,2),Data!$C$14:$C$30,0),0))</f>
        <v>0.17</v>
      </c>
      <c r="J50" s="924">
        <f>IF($C50=$B$33,$B$33,INDEX(Data!$G$14:$G$30,MATCH('R5 - Output Incentives'!J$6+RIGHT('R5 - Output Incentives'!$C50,2),Data!$C$14:$C$30,0),0))</f>
        <v>0.17</v>
      </c>
      <c r="K50" s="925">
        <f>IF($C50=$B$33,$B$33,INDEX(Data!$G$14:$G$30,MATCH('R5 - Output Incentives'!K$6+RIGHT('R5 - Output Incentives'!$C50,2),Data!$C$14:$C$30,0),0))</f>
        <v>0.17</v>
      </c>
      <c r="L50" s="819"/>
      <c r="M50" s="820"/>
    </row>
    <row r="51" spans="1:13" s="2" customFormat="1">
      <c r="A51" s="167"/>
      <c r="B51" s="36" t="s">
        <v>210</v>
      </c>
      <c r="C51" s="162"/>
      <c r="D51" s="637">
        <f>IFERROR(D49*(1-D50),0)</f>
        <v>1.2110034753373273</v>
      </c>
      <c r="E51" s="638">
        <f t="shared" ref="E51:K51" si="14">IFERROR(E49*(1-E50),0)</f>
        <v>1.9767278568831024</v>
      </c>
      <c r="F51" s="638">
        <f t="shared" si="14"/>
        <v>2.0747957793847651</v>
      </c>
      <c r="G51" s="638">
        <f t="shared" si="14"/>
        <v>2.2486884017197775</v>
      </c>
      <c r="H51" s="638">
        <f t="shared" si="14"/>
        <v>3.5235160000000003</v>
      </c>
      <c r="I51" s="638">
        <f t="shared" si="14"/>
        <v>3.6354000000000006</v>
      </c>
      <c r="J51" s="638">
        <f t="shared" si="14"/>
        <v>3.7681999999999998</v>
      </c>
      <c r="K51" s="638">
        <f t="shared" si="14"/>
        <v>3.7681999999999998</v>
      </c>
      <c r="L51" s="696">
        <f>SUM(D51:INDEX(D51:K51,0,MATCH('RFPR cover'!$C$7,$D$6:$K$6,0)))</f>
        <v>7.5112155133249718</v>
      </c>
      <c r="M51" s="697">
        <f>SUM(D51:K51)</f>
        <v>22.206531513324972</v>
      </c>
    </row>
    <row r="52" spans="1:13" s="2" customFormat="1">
      <c r="A52" s="167"/>
      <c r="B52" s="52"/>
      <c r="C52" s="163"/>
      <c r="D52" s="163"/>
      <c r="E52" s="163"/>
      <c r="F52" s="163"/>
      <c r="G52" s="163"/>
      <c r="H52" s="163"/>
      <c r="I52" s="163"/>
      <c r="J52" s="163"/>
      <c r="K52" s="163"/>
      <c r="L52" s="163"/>
      <c r="M52" s="163"/>
    </row>
    <row r="53" spans="1:13" s="2" customFormat="1">
      <c r="A53" s="167" t="str">
        <f>$A$12</f>
        <v>b</v>
      </c>
      <c r="B53" s="179" t="str">
        <f>INDEX($B$11:$B$15,MATCH($A53,$A$11:$A$15,0),0)&amp;""</f>
        <v>Interruptions-related quality of service</v>
      </c>
      <c r="C53" s="162" t="str">
        <f>'RFPR cover'!$C$14</f>
        <v>£m 12/13</v>
      </c>
      <c r="D53" s="817">
        <f>INDEX($D$11:$K$17,MATCH($A53,$A$11:$A$17,0),0)</f>
        <v>13.087008000000001</v>
      </c>
      <c r="E53" s="817">
        <f t="shared" ref="E53:K53" si="15">INDEX($D$11:$K$17,MATCH($A53,$A$11:$A$17,0),0)</f>
        <v>13.5</v>
      </c>
      <c r="F53" s="817">
        <f t="shared" si="15"/>
        <v>13.444224</v>
      </c>
      <c r="G53" s="817">
        <f t="shared" si="15"/>
        <v>13.481033999999999</v>
      </c>
      <c r="H53" s="817">
        <f t="shared" si="15"/>
        <v>13.5</v>
      </c>
      <c r="I53" s="817">
        <f t="shared" si="15"/>
        <v>13.5</v>
      </c>
      <c r="J53" s="817">
        <f t="shared" si="15"/>
        <v>13.5</v>
      </c>
      <c r="K53" s="817">
        <f t="shared" si="15"/>
        <v>13.5</v>
      </c>
      <c r="L53" s="698">
        <f>SUM(D53:INDEX(D53:K53,0,MATCH('RFPR cover'!$C$7,$D$6:$K$6,0)))</f>
        <v>53.512266000000004</v>
      </c>
      <c r="M53" s="699">
        <f>SUM(D53:K53)</f>
        <v>107.51226600000001</v>
      </c>
    </row>
    <row r="54" spans="1:13" s="2" customFormat="1">
      <c r="A54" s="167"/>
      <c r="B54" s="36" t="s">
        <v>201</v>
      </c>
      <c r="C54" s="308" t="s">
        <v>202</v>
      </c>
      <c r="D54" s="923">
        <f>IF($C54=$B$33,$B$33,INDEX(Data!$G$14:$G$30,MATCH('R5 - Output Incentives'!D$6+RIGHT('R5 - Output Incentives'!$C54,2),Data!$C$14:$C$30,0),0))</f>
        <v>0.19</v>
      </c>
      <c r="E54" s="924">
        <f>IF($C54=$B$33,$B$33,INDEX(Data!$G$14:$G$30,MATCH('R5 - Output Incentives'!E$6+RIGHT('R5 - Output Incentives'!$C54,2),Data!$C$14:$C$30,0),0))</f>
        <v>0.19</v>
      </c>
      <c r="F54" s="924">
        <f>IF($C54=$B$33,$B$33,INDEX(Data!$G$14:$G$30,MATCH('R5 - Output Incentives'!F$6+RIGHT('R5 - Output Incentives'!$C54,2),Data!$C$14:$C$30,0),0))</f>
        <v>0.19</v>
      </c>
      <c r="G54" s="924">
        <f>IF($C54=$B$33,$B$33,INDEX(Data!$G$14:$G$30,MATCH('R5 - Output Incentives'!G$6+RIGHT('R5 - Output Incentives'!$C54,2),Data!$C$14:$C$30,0),0))</f>
        <v>0.17</v>
      </c>
      <c r="H54" s="924">
        <f>IF($C54=$B$33,$B$33,INDEX(Data!$G$14:$G$30,MATCH('R5 - Output Incentives'!H$6+RIGHT('R5 - Output Incentives'!$C54,2),Data!$C$14:$C$30,0),0))</f>
        <v>0.17</v>
      </c>
      <c r="I54" s="924">
        <f>IF($C54=$B$33,$B$33,INDEX(Data!$G$14:$G$30,MATCH('R5 - Output Incentives'!I$6+RIGHT('R5 - Output Incentives'!$C54,2),Data!$C$14:$C$30,0),0))</f>
        <v>0.17</v>
      </c>
      <c r="J54" s="924">
        <f>IF($C54=$B$33,$B$33,INDEX(Data!$G$14:$G$30,MATCH('R5 - Output Incentives'!J$6+RIGHT('R5 - Output Incentives'!$C54,2),Data!$C$14:$C$30,0),0))</f>
        <v>0.17</v>
      </c>
      <c r="K54" s="925">
        <f>IF($C54=$B$33,$B$33,INDEX(Data!$G$14:$G$30,MATCH('R5 - Output Incentives'!K$6+RIGHT('R5 - Output Incentives'!$C54,2),Data!$C$14:$C$30,0),0))</f>
        <v>0.17</v>
      </c>
      <c r="L54" s="819"/>
      <c r="M54" s="820"/>
    </row>
    <row r="55" spans="1:13" s="2" customFormat="1">
      <c r="A55" s="167"/>
      <c r="B55" s="36" t="s">
        <v>210</v>
      </c>
      <c r="C55" s="162"/>
      <c r="D55" s="637">
        <f>IFERROR(D53*(1-D54),0)</f>
        <v>10.600476480000001</v>
      </c>
      <c r="E55" s="638">
        <f t="shared" ref="E55:K55" si="16">IFERROR(E53*(1-E54),0)</f>
        <v>10.935</v>
      </c>
      <c r="F55" s="638">
        <f t="shared" si="16"/>
        <v>10.88982144</v>
      </c>
      <c r="G55" s="638">
        <f t="shared" si="16"/>
        <v>11.189258219999999</v>
      </c>
      <c r="H55" s="638">
        <f t="shared" si="16"/>
        <v>11.205</v>
      </c>
      <c r="I55" s="638">
        <f t="shared" si="16"/>
        <v>11.205</v>
      </c>
      <c r="J55" s="638">
        <f t="shared" si="16"/>
        <v>11.205</v>
      </c>
      <c r="K55" s="638">
        <f t="shared" si="16"/>
        <v>11.205</v>
      </c>
      <c r="L55" s="696">
        <f>SUM(D55:INDEX(D55:K55,0,MATCH('RFPR cover'!$C$7,$D$6:$K$6,0)))</f>
        <v>43.614556139999998</v>
      </c>
      <c r="M55" s="697">
        <f>SUM(D55:K55)</f>
        <v>88.434556139999998</v>
      </c>
    </row>
    <row r="56" spans="1:13" s="2" customFormat="1">
      <c r="A56" s="167"/>
      <c r="B56" s="52"/>
      <c r="C56" s="163"/>
      <c r="D56" s="163"/>
      <c r="E56" s="163"/>
      <c r="F56" s="163"/>
      <c r="G56" s="163"/>
      <c r="H56" s="163"/>
      <c r="I56" s="163"/>
      <c r="J56" s="163"/>
      <c r="K56" s="163"/>
      <c r="L56" s="163"/>
      <c r="M56" s="163"/>
    </row>
    <row r="57" spans="1:13" s="2" customFormat="1">
      <c r="A57" s="167" t="str">
        <f>$A$13</f>
        <v>c</v>
      </c>
      <c r="B57" s="179" t="str">
        <f>INDEX($B$11:$B$15,MATCH($A57,$A$11:$A$15,0),0)&amp;""</f>
        <v>Incentive on connections engagement</v>
      </c>
      <c r="C57" s="162" t="str">
        <f>'RFPR cover'!$C$14</f>
        <v>£m 12/13</v>
      </c>
      <c r="D57" s="817">
        <f>INDEX($D$11:$K$17,MATCH($A57,$A$11:$A$17,0),0)</f>
        <v>0</v>
      </c>
      <c r="E57" s="817">
        <f t="shared" ref="E57:K57" si="17">INDEX($D$11:$K$17,MATCH($A57,$A$11:$A$17,0),0)</f>
        <v>0</v>
      </c>
      <c r="F57" s="817">
        <f t="shared" si="17"/>
        <v>0</v>
      </c>
      <c r="G57" s="817">
        <f t="shared" si="17"/>
        <v>0</v>
      </c>
      <c r="H57" s="817">
        <f t="shared" si="17"/>
        <v>0</v>
      </c>
      <c r="I57" s="817">
        <f t="shared" si="17"/>
        <v>0</v>
      </c>
      <c r="J57" s="817">
        <f t="shared" si="17"/>
        <v>0</v>
      </c>
      <c r="K57" s="817">
        <f t="shared" si="17"/>
        <v>0</v>
      </c>
      <c r="L57" s="698">
        <f>SUM(D57:INDEX(D57:K57,0,MATCH('RFPR cover'!$C$7,$D$6:$K$6,0)))</f>
        <v>0</v>
      </c>
      <c r="M57" s="699">
        <f>SUM(D57:K57)</f>
        <v>0</v>
      </c>
    </row>
    <row r="58" spans="1:13" s="2" customFormat="1">
      <c r="A58" s="167"/>
      <c r="B58" s="36" t="s">
        <v>201</v>
      </c>
      <c r="C58" s="308" t="s">
        <v>208</v>
      </c>
      <c r="D58" s="923">
        <f>IF($C58=$B$33,$B$33,INDEX(Data!$G$14:$G$30,MATCH('R5 - Output Incentives'!D$6+RIGHT('R5 - Output Incentives'!$C58,2),Data!$C$14:$C$30,0),0))</f>
        <v>0.19</v>
      </c>
      <c r="E58" s="924">
        <f>IF($C58=$B$33,$B$33,INDEX(Data!$G$14:$G$30,MATCH('R5 - Output Incentives'!E$6+RIGHT('R5 - Output Incentives'!$C58,2),Data!$C$14:$C$30,0),0))</f>
        <v>0.19</v>
      </c>
      <c r="F58" s="924">
        <f>IF($C58=$B$33,$B$33,INDEX(Data!$G$14:$G$30,MATCH('R5 - Output Incentives'!F$6+RIGHT('R5 - Output Incentives'!$C58,2),Data!$C$14:$C$30,0),0))</f>
        <v>0.17</v>
      </c>
      <c r="G58" s="924">
        <f>IF($C58=$B$33,$B$33,INDEX(Data!$G$14:$G$30,MATCH('R5 - Output Incentives'!G$6+RIGHT('R5 - Output Incentives'!$C58,2),Data!$C$14:$C$30,0),0))</f>
        <v>0.17</v>
      </c>
      <c r="H58" s="924">
        <f>IF($C58=$B$33,$B$33,INDEX(Data!$G$14:$G$30,MATCH('R5 - Output Incentives'!H$6+RIGHT('R5 - Output Incentives'!$C58,2),Data!$C$14:$C$30,0),0))</f>
        <v>0.17</v>
      </c>
      <c r="I58" s="924">
        <f>IF($C58=$B$33,$B$33,INDEX(Data!$G$14:$G$30,MATCH('R5 - Output Incentives'!I$6+RIGHT('R5 - Output Incentives'!$C58,2),Data!$C$14:$C$30,0),0))</f>
        <v>0.17</v>
      </c>
      <c r="J58" s="924">
        <f>IF($C58=$B$33,$B$33,INDEX(Data!$G$14:$G$30,MATCH('R5 - Output Incentives'!J$6+RIGHT('R5 - Output Incentives'!$C58,2),Data!$C$14:$C$30,0),0))</f>
        <v>0.17</v>
      </c>
      <c r="K58" s="925">
        <f>IF($C58=$B$33,$B$33,INDEX(Data!$G$14:$G$30,MATCH('R5 - Output Incentives'!K$6+RIGHT('R5 - Output Incentives'!$C58,2),Data!$C$14:$C$30,0),0))</f>
        <v>0.17</v>
      </c>
      <c r="L58" s="819"/>
      <c r="M58" s="820"/>
    </row>
    <row r="59" spans="1:13" s="2" customFormat="1">
      <c r="A59" s="167"/>
      <c r="B59" s="36" t="s">
        <v>210</v>
      </c>
      <c r="C59" s="162"/>
      <c r="D59" s="637">
        <f>IFERROR(D57*(1-D58),0)</f>
        <v>0</v>
      </c>
      <c r="E59" s="638">
        <f t="shared" ref="E59:K59" si="18">IFERROR(E57*(1-E58),0)</f>
        <v>0</v>
      </c>
      <c r="F59" s="638">
        <f t="shared" si="18"/>
        <v>0</v>
      </c>
      <c r="G59" s="638">
        <f t="shared" si="18"/>
        <v>0</v>
      </c>
      <c r="H59" s="638">
        <f t="shared" si="18"/>
        <v>0</v>
      </c>
      <c r="I59" s="638">
        <f t="shared" si="18"/>
        <v>0</v>
      </c>
      <c r="J59" s="638">
        <f t="shared" si="18"/>
        <v>0</v>
      </c>
      <c r="K59" s="638">
        <f t="shared" si="18"/>
        <v>0</v>
      </c>
      <c r="L59" s="696">
        <f>SUM(D59:INDEX(D59:K59,0,MATCH('RFPR cover'!$C$7,$D$6:$K$6,0)))</f>
        <v>0</v>
      </c>
      <c r="M59" s="697">
        <f>SUM(D59:K59)</f>
        <v>0</v>
      </c>
    </row>
    <row r="60" spans="1:13" s="2" customFormat="1">
      <c r="A60" s="167"/>
      <c r="B60" s="52"/>
      <c r="C60" s="163"/>
      <c r="D60" s="163"/>
      <c r="E60" s="163"/>
      <c r="F60" s="163"/>
      <c r="G60" s="163"/>
      <c r="H60" s="163"/>
      <c r="I60" s="163"/>
      <c r="J60" s="163"/>
      <c r="K60" s="163"/>
      <c r="L60" s="163"/>
      <c r="M60" s="163"/>
    </row>
    <row r="61" spans="1:13" s="2" customFormat="1">
      <c r="A61" s="167" t="str">
        <f>$A$14</f>
        <v>d</v>
      </c>
      <c r="B61" s="179" t="str">
        <f>INDEX($B$11:$B$15,MATCH($A61,$A$11:$A$15,0),0)&amp;""</f>
        <v>Time to Connect Incentive</v>
      </c>
      <c r="C61" s="162" t="str">
        <f>'RFPR cover'!$C$14</f>
        <v>£m 12/13</v>
      </c>
      <c r="D61" s="817">
        <f>INDEX($D$11:$K$17,MATCH($A61,$A$11:$A$17,0),0)</f>
        <v>0.69580790960451977</v>
      </c>
      <c r="E61" s="817">
        <f t="shared" ref="E61:K61" si="19">INDEX($D$11:$K$17,MATCH($A61,$A$11:$A$17,0),0)</f>
        <v>0.6</v>
      </c>
      <c r="F61" s="817">
        <f t="shared" si="19"/>
        <v>6.2900000000000178E-2</v>
      </c>
      <c r="G61" s="817">
        <f t="shared" si="19"/>
        <v>0.35280000000000028</v>
      </c>
      <c r="H61" s="817">
        <f t="shared" si="19"/>
        <v>0.59263302387746997</v>
      </c>
      <c r="I61" s="817">
        <f t="shared" si="19"/>
        <v>0.59263302387746997</v>
      </c>
      <c r="J61" s="817">
        <f t="shared" si="19"/>
        <v>0.59263302387746997</v>
      </c>
      <c r="K61" s="817">
        <f t="shared" si="19"/>
        <v>0.59263302387746997</v>
      </c>
      <c r="L61" s="698">
        <f>SUM(D61:INDEX(D61:K61,0,MATCH('RFPR cover'!$C$7,$D$6:$K$6,0)))</f>
        <v>1.71150790960452</v>
      </c>
      <c r="M61" s="699">
        <f>SUM(D61:K61)</f>
        <v>4.0820400051143997</v>
      </c>
    </row>
    <row r="62" spans="1:13" s="2" customFormat="1">
      <c r="A62" s="167"/>
      <c r="B62" s="36" t="s">
        <v>201</v>
      </c>
      <c r="C62" s="308" t="s">
        <v>202</v>
      </c>
      <c r="D62" s="923">
        <f>IF($C62=$B$33,$B$33,INDEX(Data!$G$14:$G$30,MATCH('R5 - Output Incentives'!D$6+RIGHT('R5 - Output Incentives'!$C62,2),Data!$C$14:$C$30,0),0))</f>
        <v>0.19</v>
      </c>
      <c r="E62" s="924">
        <f>IF($C62=$B$33,$B$33,INDEX(Data!$G$14:$G$30,MATCH('R5 - Output Incentives'!E$6+RIGHT('R5 - Output Incentives'!$C62,2),Data!$C$14:$C$30,0),0))</f>
        <v>0.19</v>
      </c>
      <c r="F62" s="924">
        <f>IF($C62=$B$33,$B$33,INDEX(Data!$G$14:$G$30,MATCH('R5 - Output Incentives'!F$6+RIGHT('R5 - Output Incentives'!$C62,2),Data!$C$14:$C$30,0),0))</f>
        <v>0.19</v>
      </c>
      <c r="G62" s="924">
        <f>IF($C62=$B$33,$B$33,INDEX(Data!$G$14:$G$30,MATCH('R5 - Output Incentives'!G$6+RIGHT('R5 - Output Incentives'!$C62,2),Data!$C$14:$C$30,0),0))</f>
        <v>0.17</v>
      </c>
      <c r="H62" s="924">
        <f>IF($C62=$B$33,$B$33,INDEX(Data!$G$14:$G$30,MATCH('R5 - Output Incentives'!H$6+RIGHT('R5 - Output Incentives'!$C62,2),Data!$C$14:$C$30,0),0))</f>
        <v>0.17</v>
      </c>
      <c r="I62" s="924">
        <f>IF($C62=$B$33,$B$33,INDEX(Data!$G$14:$G$30,MATCH('R5 - Output Incentives'!I$6+RIGHT('R5 - Output Incentives'!$C62,2),Data!$C$14:$C$30,0),0))</f>
        <v>0.17</v>
      </c>
      <c r="J62" s="924">
        <f>IF($C62=$B$33,$B$33,INDEX(Data!$G$14:$G$30,MATCH('R5 - Output Incentives'!J$6+RIGHT('R5 - Output Incentives'!$C62,2),Data!$C$14:$C$30,0),0))</f>
        <v>0.17</v>
      </c>
      <c r="K62" s="925">
        <f>IF($C62=$B$33,$B$33,INDEX(Data!$G$14:$G$30,MATCH('R5 - Output Incentives'!K$6+RIGHT('R5 - Output Incentives'!$C62,2),Data!$C$14:$C$30,0),0))</f>
        <v>0.17</v>
      </c>
      <c r="L62" s="819"/>
      <c r="M62" s="820"/>
    </row>
    <row r="63" spans="1:13" s="2" customFormat="1">
      <c r="A63" s="167"/>
      <c r="B63" s="36" t="s">
        <v>210</v>
      </c>
      <c r="C63" s="162"/>
      <c r="D63" s="637">
        <f>IFERROR(D61*(1-D62),0)</f>
        <v>0.56360440677966106</v>
      </c>
      <c r="E63" s="638">
        <f t="shared" ref="E63:K63" si="20">IFERROR(E61*(1-E62),0)</f>
        <v>0.48599999999999999</v>
      </c>
      <c r="F63" s="638">
        <f t="shared" si="20"/>
        <v>5.0949000000000147E-2</v>
      </c>
      <c r="G63" s="638">
        <f t="shared" si="20"/>
        <v>0.2928240000000002</v>
      </c>
      <c r="H63" s="638">
        <f t="shared" si="20"/>
        <v>0.49188540981830003</v>
      </c>
      <c r="I63" s="638">
        <f t="shared" si="20"/>
        <v>0.49188540981830003</v>
      </c>
      <c r="J63" s="638">
        <f t="shared" si="20"/>
        <v>0.49188540981830003</v>
      </c>
      <c r="K63" s="638">
        <f t="shared" si="20"/>
        <v>0.49188540981830003</v>
      </c>
      <c r="L63" s="696">
        <f>SUM(D63:INDEX(D63:K63,0,MATCH('RFPR cover'!$C$7,$D$6:$K$6,0)))</f>
        <v>1.3933774067796614</v>
      </c>
      <c r="M63" s="697">
        <f>SUM(D63:K63)</f>
        <v>3.3609190460528615</v>
      </c>
    </row>
    <row r="64" spans="1:13" s="2" customFormat="1">
      <c r="A64" s="167"/>
      <c r="B64" s="52"/>
      <c r="C64" s="163"/>
      <c r="D64" s="163"/>
      <c r="E64" s="163"/>
      <c r="F64" s="163"/>
      <c r="G64" s="163"/>
      <c r="H64" s="163"/>
      <c r="I64" s="163"/>
      <c r="J64" s="163"/>
      <c r="K64" s="163"/>
      <c r="L64" s="163"/>
      <c r="M64" s="163"/>
    </row>
    <row r="65" spans="1:14" s="2" customFormat="1">
      <c r="A65" s="167" t="str">
        <f>$A$15</f>
        <v>e</v>
      </c>
      <c r="B65" s="179" t="str">
        <f>INDEX($B$11:$B$15,MATCH($A65,$A$11:$A$15,0),0)&amp;""</f>
        <v>Losses discretionary reward scheme</v>
      </c>
      <c r="C65" s="162" t="str">
        <f>'RFPR cover'!$C$14</f>
        <v>£m 12/13</v>
      </c>
      <c r="D65" s="817">
        <f>INDEX($D$11:$K$17,MATCH($A65,$A$11:$A$17,0),0)</f>
        <v>0</v>
      </c>
      <c r="E65" s="817">
        <f t="shared" ref="E65:K65" si="21">INDEX($D$11:$K$17,MATCH($A65,$A$11:$A$17,0),0)</f>
        <v>0.17499999999999999</v>
      </c>
      <c r="F65" s="817">
        <f t="shared" si="21"/>
        <v>0</v>
      </c>
      <c r="G65" s="817">
        <f t="shared" si="21"/>
        <v>0</v>
      </c>
      <c r="H65" s="817">
        <f t="shared" si="21"/>
        <v>0</v>
      </c>
      <c r="I65" s="817">
        <f t="shared" si="21"/>
        <v>0</v>
      </c>
      <c r="J65" s="817">
        <f t="shared" si="21"/>
        <v>0</v>
      </c>
      <c r="K65" s="817">
        <f t="shared" si="21"/>
        <v>0</v>
      </c>
      <c r="L65" s="698">
        <f>SUM(D65:INDEX(D65:K65,0,MATCH('RFPR cover'!$C$7,$D$6:$K$6,0)))</f>
        <v>0.17499999999999999</v>
      </c>
      <c r="M65" s="699">
        <f>SUM(D65:K65)</f>
        <v>0.17499999999999999</v>
      </c>
    </row>
    <row r="66" spans="1:14" s="2" customFormat="1">
      <c r="A66" s="167"/>
      <c r="B66" s="36" t="s">
        <v>201</v>
      </c>
      <c r="C66" s="308" t="s">
        <v>209</v>
      </c>
      <c r="D66" s="923">
        <f>IF($C66=$B$33,$B$33,INDEX(Data!$G$14:$G$30,MATCH('R5 - Output Incentives'!D$6+RIGHT('R5 - Output Incentives'!$C66,2),Data!$C$14:$C$30,0),0))</f>
        <v>0.2</v>
      </c>
      <c r="E66" s="924">
        <f>IF($C66=$B$33,$B$33,INDEX(Data!$G$14:$G$30,MATCH('R5 - Output Incentives'!E$6+RIGHT('R5 - Output Incentives'!$C66,2),Data!$C$14:$C$30,0),0))</f>
        <v>0.19</v>
      </c>
      <c r="F66" s="924">
        <f>IF($C66=$B$33,$B$33,INDEX(Data!$G$14:$G$30,MATCH('R5 - Output Incentives'!F$6+RIGHT('R5 - Output Incentives'!$C66,2),Data!$C$14:$C$30,0),0))</f>
        <v>0.19</v>
      </c>
      <c r="G66" s="924">
        <f>IF($C66=$B$33,$B$33,INDEX(Data!$G$14:$G$30,MATCH('R5 - Output Incentives'!G$6+RIGHT('R5 - Output Incentives'!$C66,2),Data!$C$14:$C$30,0),0))</f>
        <v>0.19</v>
      </c>
      <c r="H66" s="924">
        <f>IF($C66=$B$33,$B$33,INDEX(Data!$G$14:$G$30,MATCH('R5 - Output Incentives'!H$6+RIGHT('R5 - Output Incentives'!$C66,2),Data!$C$14:$C$30,0),0))</f>
        <v>0.17</v>
      </c>
      <c r="I66" s="924">
        <f>IF($C66=$B$33,$B$33,INDEX(Data!$G$14:$G$30,MATCH('R5 - Output Incentives'!I$6+RIGHT('R5 - Output Incentives'!$C66,2),Data!$C$14:$C$30,0),0))</f>
        <v>0.17</v>
      </c>
      <c r="J66" s="924">
        <f>IF($C66=$B$33,$B$33,INDEX(Data!$G$14:$G$30,MATCH('R5 - Output Incentives'!J$6+RIGHT('R5 - Output Incentives'!$C66,2),Data!$C$14:$C$30,0),0))</f>
        <v>0.17</v>
      </c>
      <c r="K66" s="925">
        <f>IF($C66=$B$33,$B$33,INDEX(Data!$G$14:$G$30,MATCH('R5 - Output Incentives'!K$6+RIGHT('R5 - Output Incentives'!$C66,2),Data!$C$14:$C$30,0),0))</f>
        <v>0.17</v>
      </c>
      <c r="L66" s="819"/>
      <c r="M66" s="820"/>
    </row>
    <row r="67" spans="1:14" s="2" customFormat="1">
      <c r="A67" s="167"/>
      <c r="B67" s="36" t="s">
        <v>210</v>
      </c>
      <c r="C67" s="162"/>
      <c r="D67" s="637">
        <f>IFERROR(D65*(1-D66),0)</f>
        <v>0</v>
      </c>
      <c r="E67" s="638">
        <f t="shared" ref="E67:K67" si="22">IFERROR(E65*(1-E66),0)</f>
        <v>0.14174999999999999</v>
      </c>
      <c r="F67" s="638">
        <f t="shared" si="22"/>
        <v>0</v>
      </c>
      <c r="G67" s="638">
        <f t="shared" si="22"/>
        <v>0</v>
      </c>
      <c r="H67" s="638">
        <f t="shared" si="22"/>
        <v>0</v>
      </c>
      <c r="I67" s="638">
        <f t="shared" si="22"/>
        <v>0</v>
      </c>
      <c r="J67" s="638">
        <f t="shared" si="22"/>
        <v>0</v>
      </c>
      <c r="K67" s="638">
        <f t="shared" si="22"/>
        <v>0</v>
      </c>
      <c r="L67" s="696">
        <f>SUM(D67:INDEX(D67:K67,0,MATCH('RFPR cover'!$C$7,$D$6:$K$6,0)))</f>
        <v>0.14174999999999999</v>
      </c>
      <c r="M67" s="697">
        <f>SUM(D67:K67)</f>
        <v>0.14174999999999999</v>
      </c>
    </row>
    <row r="68" spans="1:14" s="2" customFormat="1">
      <c r="A68" s="167"/>
      <c r="B68" s="52"/>
      <c r="C68" s="163"/>
      <c r="D68" s="163"/>
      <c r="E68" s="163"/>
      <c r="F68" s="163"/>
      <c r="G68" s="163"/>
      <c r="H68" s="163"/>
      <c r="I68" s="163"/>
      <c r="J68" s="163"/>
      <c r="K68" s="163"/>
      <c r="L68" s="163"/>
      <c r="M68" s="163"/>
    </row>
    <row r="69" spans="1:14" s="2" customFormat="1">
      <c r="A69" s="167" t="str">
        <f>$A$16</f>
        <v>f</v>
      </c>
      <c r="B69" s="179" t="str">
        <f>INDEX($B$11:$B$17,MATCH($A69,$A$11:$A$17,0),0)&amp;""</f>
        <v/>
      </c>
      <c r="C69" s="162" t="str">
        <f>'RFPR cover'!$C$14</f>
        <v>£m 12/13</v>
      </c>
      <c r="D69" s="817">
        <f>INDEX($D$11:$K$17,MATCH($A69,$A$11:$A$17,0),0)</f>
        <v>0</v>
      </c>
      <c r="E69" s="817">
        <f t="shared" ref="E69:K69" si="23">INDEX($D$11:$K$17,MATCH($A69,$A$11:$A$17,0),0)</f>
        <v>0</v>
      </c>
      <c r="F69" s="817">
        <f t="shared" si="23"/>
        <v>0</v>
      </c>
      <c r="G69" s="817">
        <f t="shared" si="23"/>
        <v>0</v>
      </c>
      <c r="H69" s="817">
        <f t="shared" si="23"/>
        <v>0</v>
      </c>
      <c r="I69" s="817">
        <f t="shared" si="23"/>
        <v>0</v>
      </c>
      <c r="J69" s="817">
        <f t="shared" si="23"/>
        <v>0</v>
      </c>
      <c r="K69" s="817">
        <f t="shared" si="23"/>
        <v>0</v>
      </c>
      <c r="L69" s="698">
        <f>SUM(D69:INDEX(D69:K69,0,MATCH('RFPR cover'!$C$7,$D$6:$K$6,0)))</f>
        <v>0</v>
      </c>
      <c r="M69" s="699">
        <f>SUM(D69:K69)</f>
        <v>0</v>
      </c>
    </row>
    <row r="70" spans="1:14" s="2" customFormat="1">
      <c r="A70" s="167"/>
      <c r="B70" s="36" t="s">
        <v>201</v>
      </c>
      <c r="C70" s="308" t="s">
        <v>241</v>
      </c>
      <c r="D70" s="923" t="str">
        <f>IF($C70=$B$33,$B$33,INDEX(Data!$G$14:$G$30,MATCH('R5 - Output Incentives'!D$6+RIGHT('R5 - Output Incentives'!$C70,2),Data!$C$14:$C$30,0),0))</f>
        <v>-</v>
      </c>
      <c r="E70" s="924" t="str">
        <f>IF($C70=$B$33,$B$33,INDEX(Data!$G$14:$G$30,MATCH('R5 - Output Incentives'!E$6+RIGHT('R5 - Output Incentives'!$C70,2),Data!$C$14:$C$30,0),0))</f>
        <v>-</v>
      </c>
      <c r="F70" s="924" t="str">
        <f>IF($C70=$B$33,$B$33,INDEX(Data!$G$14:$G$30,MATCH('R5 - Output Incentives'!F$6+RIGHT('R5 - Output Incentives'!$C70,2),Data!$C$14:$C$30,0),0))</f>
        <v>-</v>
      </c>
      <c r="G70" s="924" t="str">
        <f>IF($C70=$B$33,$B$33,INDEX(Data!$G$14:$G$30,MATCH('R5 - Output Incentives'!G$6+RIGHT('R5 - Output Incentives'!$C70,2),Data!$C$14:$C$30,0),0))</f>
        <v>-</v>
      </c>
      <c r="H70" s="924" t="str">
        <f>IF($C70=$B$33,$B$33,INDEX(Data!$G$14:$G$30,MATCH('R5 - Output Incentives'!H$6+RIGHT('R5 - Output Incentives'!$C70,2),Data!$C$14:$C$30,0),0))</f>
        <v>-</v>
      </c>
      <c r="I70" s="924" t="str">
        <f>IF($C70=$B$33,$B$33,INDEX(Data!$G$14:$G$30,MATCH('R5 - Output Incentives'!I$6+RIGHT('R5 - Output Incentives'!$C70,2),Data!$C$14:$C$30,0),0))</f>
        <v>-</v>
      </c>
      <c r="J70" s="924" t="str">
        <f>IF($C70=$B$33,$B$33,INDEX(Data!$G$14:$G$30,MATCH('R5 - Output Incentives'!J$6+RIGHT('R5 - Output Incentives'!$C70,2),Data!$C$14:$C$30,0),0))</f>
        <v>-</v>
      </c>
      <c r="K70" s="925" t="str">
        <f>IF($C70=$B$33,$B$33,INDEX(Data!$G$14:$G$30,MATCH('R5 - Output Incentives'!K$6+RIGHT('R5 - Output Incentives'!$C70,2),Data!$C$14:$C$30,0),0))</f>
        <v>-</v>
      </c>
      <c r="L70" s="819"/>
      <c r="M70" s="820"/>
    </row>
    <row r="71" spans="1:14" s="2" customFormat="1">
      <c r="A71" s="167"/>
      <c r="B71" s="36" t="s">
        <v>210</v>
      </c>
      <c r="C71" s="162"/>
      <c r="D71" s="637">
        <f>IFERROR(D69*(1-D70),0)</f>
        <v>0</v>
      </c>
      <c r="E71" s="638">
        <f t="shared" ref="E71:K71" si="24">IFERROR(E69*(1-E70),0)</f>
        <v>0</v>
      </c>
      <c r="F71" s="638">
        <f t="shared" si="24"/>
        <v>0</v>
      </c>
      <c r="G71" s="638">
        <f t="shared" si="24"/>
        <v>0</v>
      </c>
      <c r="H71" s="638">
        <f t="shared" si="24"/>
        <v>0</v>
      </c>
      <c r="I71" s="638">
        <f t="shared" si="24"/>
        <v>0</v>
      </c>
      <c r="J71" s="638">
        <f t="shared" si="24"/>
        <v>0</v>
      </c>
      <c r="K71" s="638">
        <f t="shared" si="24"/>
        <v>0</v>
      </c>
      <c r="L71" s="696">
        <f>SUM(D71:INDEX(D71:K71,0,MATCH('RFPR cover'!$C$7,$D$6:$K$6,0)))</f>
        <v>0</v>
      </c>
      <c r="M71" s="697">
        <f>SUM(D71:K71)</f>
        <v>0</v>
      </c>
    </row>
    <row r="72" spans="1:14" s="2" customFormat="1">
      <c r="A72" s="167"/>
      <c r="B72" s="52"/>
      <c r="C72" s="163"/>
      <c r="D72" s="163"/>
      <c r="E72" s="163"/>
      <c r="F72" s="163"/>
      <c r="G72" s="163"/>
      <c r="H72" s="163"/>
      <c r="I72" s="163"/>
      <c r="J72" s="163"/>
      <c r="K72" s="163"/>
      <c r="L72" s="163"/>
      <c r="M72" s="163"/>
    </row>
    <row r="73" spans="1:14" s="2" customFormat="1">
      <c r="A73" s="167" t="s">
        <v>483</v>
      </c>
      <c r="B73" s="179" t="str">
        <f>INDEX($B$11:$B$17,MATCH($A73,$A$11:$A$17,0),0)&amp;""</f>
        <v/>
      </c>
      <c r="C73" s="162" t="str">
        <f>'RFPR cover'!$C$14</f>
        <v>£m 12/13</v>
      </c>
      <c r="D73" s="817">
        <f>INDEX($D$11:$K$17,MATCH($A73,$A$11:$A$17,0),0)</f>
        <v>0</v>
      </c>
      <c r="E73" s="817">
        <f t="shared" ref="E73:K73" si="25">INDEX($D$11:$K$17,MATCH($A73,$A$11:$A$17,0),0)</f>
        <v>0</v>
      </c>
      <c r="F73" s="817">
        <f t="shared" si="25"/>
        <v>0</v>
      </c>
      <c r="G73" s="817">
        <f t="shared" si="25"/>
        <v>0</v>
      </c>
      <c r="H73" s="817">
        <f t="shared" si="25"/>
        <v>0</v>
      </c>
      <c r="I73" s="817">
        <f t="shared" si="25"/>
        <v>0</v>
      </c>
      <c r="J73" s="817">
        <f t="shared" si="25"/>
        <v>0</v>
      </c>
      <c r="K73" s="817">
        <f t="shared" si="25"/>
        <v>0</v>
      </c>
      <c r="L73" s="698">
        <f>SUM(D73:INDEX(D73:K73,0,MATCH('RFPR cover'!$C$7,$D$6:$K$6,0)))</f>
        <v>0</v>
      </c>
      <c r="M73" s="699">
        <f>SUM(D73:K73)</f>
        <v>0</v>
      </c>
    </row>
    <row r="74" spans="1:14" s="2" customFormat="1">
      <c r="A74" s="167"/>
      <c r="B74" s="36" t="s">
        <v>201</v>
      </c>
      <c r="C74" s="308" t="s">
        <v>241</v>
      </c>
      <c r="D74" s="923" t="str">
        <f>IF($C74=$B$33,$B$33,INDEX(Data!$G$14:$G$30,MATCH('R5 - Output Incentives'!D$6+RIGHT('R5 - Output Incentives'!$C74,2),Data!$C$14:$C$30,0),0))</f>
        <v>-</v>
      </c>
      <c r="E74" s="924" t="str">
        <f>IF($C74=$B$33,$B$33,INDEX(Data!$G$14:$G$30,MATCH('R5 - Output Incentives'!E$6+RIGHT('R5 - Output Incentives'!$C74,2),Data!$C$14:$C$30,0),0))</f>
        <v>-</v>
      </c>
      <c r="F74" s="924" t="str">
        <f>IF($C74=$B$33,$B$33,INDEX(Data!$G$14:$G$30,MATCH('R5 - Output Incentives'!F$6+RIGHT('R5 - Output Incentives'!$C74,2),Data!$C$14:$C$30,0),0))</f>
        <v>-</v>
      </c>
      <c r="G74" s="924" t="str">
        <f>IF($C74=$B$33,$B$33,INDEX(Data!$G$14:$G$30,MATCH('R5 - Output Incentives'!G$6+RIGHT('R5 - Output Incentives'!$C74,2),Data!$C$14:$C$30,0),0))</f>
        <v>-</v>
      </c>
      <c r="H74" s="924" t="str">
        <f>IF($C74=$B$33,$B$33,INDEX(Data!$G$14:$G$30,MATCH('R5 - Output Incentives'!H$6+RIGHT('R5 - Output Incentives'!$C74,2),Data!$C$14:$C$30,0),0))</f>
        <v>-</v>
      </c>
      <c r="I74" s="924" t="str">
        <f>IF($C74=$B$33,$B$33,INDEX(Data!$G$14:$G$30,MATCH('R5 - Output Incentives'!I$6+RIGHT('R5 - Output Incentives'!$C74,2),Data!$C$14:$C$30,0),0))</f>
        <v>-</v>
      </c>
      <c r="J74" s="924" t="str">
        <f>IF($C74=$B$33,$B$33,INDEX(Data!$G$14:$G$30,MATCH('R5 - Output Incentives'!J$6+RIGHT('R5 - Output Incentives'!$C74,2),Data!$C$14:$C$30,0),0))</f>
        <v>-</v>
      </c>
      <c r="K74" s="925" t="str">
        <f>IF($C74=$B$33,$B$33,INDEX(Data!$G$14:$G$30,MATCH('R5 - Output Incentives'!K$6+RIGHT('R5 - Output Incentives'!$C74,2),Data!$C$14:$C$30,0),0))</f>
        <v>-</v>
      </c>
      <c r="L74" s="819"/>
      <c r="M74" s="820"/>
    </row>
    <row r="75" spans="1:14" s="2" customFormat="1">
      <c r="A75" s="167"/>
      <c r="B75" s="36" t="s">
        <v>210</v>
      </c>
      <c r="C75" s="162"/>
      <c r="D75" s="637">
        <f>IFERROR(D73*(1-D74),0)</f>
        <v>0</v>
      </c>
      <c r="E75" s="638">
        <f t="shared" ref="E75:K75" si="26">IFERROR(E73*(1-E74),0)</f>
        <v>0</v>
      </c>
      <c r="F75" s="638">
        <f t="shared" si="26"/>
        <v>0</v>
      </c>
      <c r="G75" s="638">
        <f t="shared" si="26"/>
        <v>0</v>
      </c>
      <c r="H75" s="638">
        <f t="shared" si="26"/>
        <v>0</v>
      </c>
      <c r="I75" s="638">
        <f t="shared" si="26"/>
        <v>0</v>
      </c>
      <c r="J75" s="638">
        <f t="shared" si="26"/>
        <v>0</v>
      </c>
      <c r="K75" s="638">
        <f t="shared" si="26"/>
        <v>0</v>
      </c>
      <c r="L75" s="696">
        <f>SUM(D75:INDEX(D75:K75,0,MATCH('RFPR cover'!$C$7,$D$6:$K$6,0)))</f>
        <v>0</v>
      </c>
      <c r="M75" s="697">
        <f>SUM(D75:K75)</f>
        <v>0</v>
      </c>
    </row>
    <row r="76" spans="1:14" s="559" customFormat="1" ht="14.1" customHeight="1">
      <c r="A76" s="558"/>
      <c r="C76" s="560"/>
      <c r="D76" s="561"/>
      <c r="E76" s="561"/>
      <c r="F76" s="561"/>
      <c r="G76" s="561"/>
      <c r="H76" s="561"/>
      <c r="I76" s="561"/>
      <c r="J76" s="561"/>
      <c r="K76" s="561"/>
      <c r="L76" s="562"/>
      <c r="M76" s="562"/>
    </row>
    <row r="77" spans="1:14" s="2" customFormat="1">
      <c r="B77" s="117" t="s">
        <v>400</v>
      </c>
      <c r="C77" s="157"/>
      <c r="D77" s="140"/>
      <c r="E77" s="140"/>
      <c r="F77" s="140"/>
      <c r="G77" s="140"/>
      <c r="H77" s="140"/>
      <c r="I77" s="140"/>
      <c r="J77" s="140"/>
      <c r="K77" s="140"/>
      <c r="L77" s="81"/>
      <c r="M77" s="81"/>
      <c r="N77" s="81"/>
    </row>
    <row r="78" spans="1:14" s="2" customFormat="1">
      <c r="B78" s="387" t="s">
        <v>399</v>
      </c>
      <c r="C78" s="305"/>
      <c r="D78" s="306"/>
      <c r="E78" s="306"/>
      <c r="F78" s="306"/>
      <c r="G78" s="306"/>
      <c r="H78" s="306"/>
      <c r="I78" s="306"/>
      <c r="J78" s="306"/>
      <c r="K78" s="306"/>
      <c r="L78" s="307"/>
      <c r="M78" s="307"/>
      <c r="N78" s="307"/>
    </row>
    <row r="79" spans="1:14" s="2" customFormat="1">
      <c r="B79" s="387" t="s">
        <v>401</v>
      </c>
      <c r="C79" s="305"/>
      <c r="D79" s="306"/>
      <c r="E79" s="306"/>
      <c r="F79" s="306"/>
      <c r="G79" s="306"/>
      <c r="H79" s="306"/>
      <c r="I79" s="306"/>
      <c r="J79" s="306"/>
      <c r="K79" s="306"/>
      <c r="L79" s="307"/>
      <c r="M79" s="307"/>
      <c r="N79" s="307"/>
    </row>
    <row r="80" spans="1:14" s="559" customFormat="1">
      <c r="B80" s="564"/>
      <c r="C80" s="565"/>
      <c r="D80" s="566"/>
      <c r="E80" s="566"/>
      <c r="F80" s="566"/>
      <c r="G80" s="566"/>
      <c r="H80" s="566"/>
      <c r="I80" s="566"/>
      <c r="J80" s="566"/>
      <c r="K80" s="566"/>
    </row>
    <row r="81" spans="1:12" s="2" customFormat="1">
      <c r="B81" s="12"/>
      <c r="C81" s="567" t="s">
        <v>402</v>
      </c>
      <c r="D81" s="570" t="str">
        <f t="shared" ref="D81:K81" si="27">IF($C50=$B$33,D$6,IF(D$6-RIGHT($C50,1)&lt;$D$6,"Pre-RIIO",D$6-RIGHT($C50,1)))</f>
        <v>Pre-RIIO</v>
      </c>
      <c r="E81" s="571" t="str">
        <f t="shared" si="27"/>
        <v>Pre-RIIO</v>
      </c>
      <c r="F81" s="571">
        <f t="shared" si="27"/>
        <v>2016</v>
      </c>
      <c r="G81" s="571">
        <f t="shared" si="27"/>
        <v>2017</v>
      </c>
      <c r="H81" s="571">
        <f t="shared" si="27"/>
        <v>2018</v>
      </c>
      <c r="I81" s="571">
        <f t="shared" si="27"/>
        <v>2019</v>
      </c>
      <c r="J81" s="571">
        <f t="shared" si="27"/>
        <v>2020</v>
      </c>
      <c r="K81" s="572">
        <f t="shared" si="27"/>
        <v>2021</v>
      </c>
    </row>
    <row r="82" spans="1:12" s="2" customFormat="1">
      <c r="A82" s="3" t="str">
        <f>A11</f>
        <v>a</v>
      </c>
      <c r="B82" s="133" t="str">
        <f>B11&amp;""</f>
        <v>Broad measure of customer service</v>
      </c>
      <c r="C82" s="143" t="s">
        <v>128</v>
      </c>
      <c r="D82" s="665">
        <v>-1.124693400583354</v>
      </c>
      <c r="E82" s="666">
        <v>-0.93216531468781072</v>
      </c>
      <c r="F82" s="666">
        <v>1.5852435373060449</v>
      </c>
      <c r="G82" s="666">
        <v>2.6430478740438859</v>
      </c>
      <c r="H82" s="644">
        <v>2.8779822976011613</v>
      </c>
      <c r="I82" s="644">
        <v>3.1370426898451553</v>
      </c>
      <c r="J82" s="644">
        <v>5.0445283479799743</v>
      </c>
      <c r="K82" s="644">
        <v>5.3491405262902836</v>
      </c>
    </row>
    <row r="83" spans="1:12" s="2" customFormat="1">
      <c r="A83" s="3"/>
      <c r="B83" s="133"/>
      <c r="C83" s="143"/>
      <c r="D83" s="143"/>
      <c r="E83" s="143"/>
      <c r="F83" s="143"/>
      <c r="G83" s="143"/>
      <c r="H83" s="143"/>
      <c r="I83" s="143"/>
      <c r="J83" s="143"/>
      <c r="K83" s="143"/>
      <c r="L83" s="143"/>
    </row>
    <row r="84" spans="1:12" s="2" customFormat="1">
      <c r="A84" s="3"/>
      <c r="B84" s="133"/>
      <c r="C84" s="567" t="s">
        <v>402</v>
      </c>
      <c r="D84" s="570" t="str">
        <f t="shared" ref="D84:K84" si="28">IF($C54=$B$33,D$6,IF(D$6-RIGHT($C54,1)&lt;$D$6,"Pre-RIIO",D$6-RIGHT($C54,1)))</f>
        <v>Pre-RIIO</v>
      </c>
      <c r="E84" s="571" t="str">
        <f t="shared" si="28"/>
        <v>Pre-RIIO</v>
      </c>
      <c r="F84" s="571">
        <f t="shared" si="28"/>
        <v>2016</v>
      </c>
      <c r="G84" s="571">
        <f t="shared" si="28"/>
        <v>2017</v>
      </c>
      <c r="H84" s="571">
        <f t="shared" si="28"/>
        <v>2018</v>
      </c>
      <c r="I84" s="571">
        <f t="shared" si="28"/>
        <v>2019</v>
      </c>
      <c r="J84" s="571">
        <f t="shared" si="28"/>
        <v>2020</v>
      </c>
      <c r="K84" s="572">
        <f t="shared" si="28"/>
        <v>2021</v>
      </c>
    </row>
    <row r="85" spans="1:12" s="2" customFormat="1">
      <c r="A85" s="3" t="str">
        <f>A12</f>
        <v>b</v>
      </c>
      <c r="B85" s="133" t="str">
        <f>B12&amp;""</f>
        <v>Interruptions-related quality of service</v>
      </c>
      <c r="C85" s="143" t="s">
        <v>128</v>
      </c>
      <c r="D85" s="665">
        <v>9.1318670151695471</v>
      </c>
      <c r="E85" s="666">
        <v>13.844560363984531</v>
      </c>
      <c r="F85" s="666">
        <v>15.780877386240121</v>
      </c>
      <c r="G85" s="666">
        <v>16.803293561486324</v>
      </c>
      <c r="H85" s="644">
        <v>17.26117198360604</v>
      </c>
      <c r="I85" s="644">
        <v>17.601989104332137</v>
      </c>
      <c r="J85" s="644">
        <v>18.130089839022897</v>
      </c>
      <c r="K85" s="644">
        <v>18.666290845959299</v>
      </c>
    </row>
    <row r="86" spans="1:12" s="2" customFormat="1">
      <c r="A86" s="3"/>
      <c r="B86" s="133"/>
      <c r="C86" s="143"/>
      <c r="D86" s="143"/>
      <c r="E86" s="143"/>
      <c r="F86" s="143"/>
      <c r="G86" s="143"/>
      <c r="H86" s="143"/>
      <c r="I86" s="143"/>
      <c r="J86" s="143"/>
      <c r="K86" s="143"/>
      <c r="L86" s="143"/>
    </row>
    <row r="87" spans="1:12" s="2" customFormat="1">
      <c r="A87" s="3"/>
      <c r="B87" s="133"/>
      <c r="C87" s="567" t="s">
        <v>402</v>
      </c>
      <c r="D87" s="570" t="str">
        <f t="shared" ref="D87:K87" si="29">IF($C58=$B$33,D$6,IF(D$6-RIGHT($C58,1)&lt;$D$6,"Pre-RIIO",D$6-RIGHT($C58,1)))</f>
        <v>Pre-RIIO</v>
      </c>
      <c r="E87" s="571" t="str">
        <f t="shared" si="29"/>
        <v>Pre-RIIO</v>
      </c>
      <c r="F87" s="571" t="str">
        <f t="shared" si="29"/>
        <v>Pre-RIIO</v>
      </c>
      <c r="G87" s="571">
        <f t="shared" si="29"/>
        <v>2016</v>
      </c>
      <c r="H87" s="571">
        <f t="shared" si="29"/>
        <v>2017</v>
      </c>
      <c r="I87" s="571">
        <f t="shared" si="29"/>
        <v>2018</v>
      </c>
      <c r="J87" s="571">
        <f t="shared" si="29"/>
        <v>2019</v>
      </c>
      <c r="K87" s="572">
        <f t="shared" si="29"/>
        <v>2020</v>
      </c>
    </row>
    <row r="88" spans="1:12" s="2" customFormat="1">
      <c r="A88" s="3" t="str">
        <f>A13</f>
        <v>c</v>
      </c>
      <c r="B88" s="133" t="str">
        <f>B13&amp;""</f>
        <v>Incentive on connections engagement</v>
      </c>
      <c r="C88" s="143" t="s">
        <v>128</v>
      </c>
      <c r="D88" s="665">
        <v>0</v>
      </c>
      <c r="E88" s="666">
        <v>0</v>
      </c>
      <c r="F88" s="666">
        <v>0</v>
      </c>
      <c r="G88" s="666">
        <v>0</v>
      </c>
      <c r="H88" s="644">
        <v>0</v>
      </c>
      <c r="I88" s="644">
        <v>0</v>
      </c>
      <c r="J88" s="644">
        <v>0</v>
      </c>
      <c r="K88" s="644">
        <v>0</v>
      </c>
    </row>
    <row r="89" spans="1:12" s="2" customFormat="1">
      <c r="A89" s="3"/>
      <c r="B89" s="133"/>
      <c r="C89" s="143"/>
      <c r="D89" s="143"/>
      <c r="E89" s="143"/>
      <c r="F89" s="143"/>
      <c r="G89" s="143"/>
      <c r="H89" s="143"/>
      <c r="I89" s="143"/>
      <c r="J89" s="143"/>
      <c r="K89" s="143"/>
      <c r="L89" s="143"/>
    </row>
    <row r="90" spans="1:12" s="2" customFormat="1">
      <c r="A90" s="3"/>
      <c r="B90" s="133"/>
      <c r="C90" s="567" t="s">
        <v>402</v>
      </c>
      <c r="D90" s="570" t="str">
        <f t="shared" ref="D90:K90" si="30">IF($C62=$B$33,D$6,IF(D$6-RIGHT($C62,1)&lt;$D$6,"Pre-RIIO",D$6-RIGHT($C62,1)))</f>
        <v>Pre-RIIO</v>
      </c>
      <c r="E90" s="571" t="str">
        <f t="shared" si="30"/>
        <v>Pre-RIIO</v>
      </c>
      <c r="F90" s="571">
        <f t="shared" si="30"/>
        <v>2016</v>
      </c>
      <c r="G90" s="571">
        <f t="shared" si="30"/>
        <v>2017</v>
      </c>
      <c r="H90" s="571">
        <f t="shared" si="30"/>
        <v>2018</v>
      </c>
      <c r="I90" s="571">
        <f t="shared" si="30"/>
        <v>2019</v>
      </c>
      <c r="J90" s="571">
        <f t="shared" si="30"/>
        <v>2020</v>
      </c>
      <c r="K90" s="572">
        <f t="shared" si="30"/>
        <v>2021</v>
      </c>
    </row>
    <row r="91" spans="1:12" s="2" customFormat="1">
      <c r="A91" s="3" t="str">
        <f>A14</f>
        <v>d</v>
      </c>
      <c r="B91" s="133" t="str">
        <f>B14&amp;""</f>
        <v>Time to Connect Incentive</v>
      </c>
      <c r="C91" s="143" t="s">
        <v>128</v>
      </c>
      <c r="D91" s="665">
        <v>0</v>
      </c>
      <c r="E91" s="666">
        <v>0</v>
      </c>
      <c r="F91" s="666">
        <v>0.7377767790433406</v>
      </c>
      <c r="G91" s="666">
        <v>0.64982200878716667</v>
      </c>
      <c r="H91" s="644">
        <v>7.0672170021457231E-2</v>
      </c>
      <c r="I91" s="644">
        <v>0.4085054149381836</v>
      </c>
      <c r="J91" s="644">
        <v>0.70421984568429985</v>
      </c>
      <c r="K91" s="644">
        <v>0.72376194640203917</v>
      </c>
    </row>
    <row r="92" spans="1:12" s="2" customFormat="1">
      <c r="A92" s="3"/>
      <c r="B92" s="133"/>
      <c r="C92" s="143"/>
      <c r="D92" s="143"/>
      <c r="E92" s="143"/>
      <c r="F92" s="143"/>
      <c r="G92" s="143"/>
      <c r="H92" s="143"/>
      <c r="I92" s="143"/>
      <c r="J92" s="143"/>
      <c r="K92" s="143"/>
      <c r="L92" s="143"/>
    </row>
    <row r="93" spans="1:12" s="2" customFormat="1">
      <c r="A93" s="3"/>
      <c r="B93" s="133"/>
      <c r="C93" s="567" t="s">
        <v>402</v>
      </c>
      <c r="D93" s="570" t="str">
        <f>IF($C66=$B$33,D$6,IF(D$6-RIGHT($C66,1)&lt;$D$6,"Pre-RIIO",D$6-RIGHT($C66,1)))</f>
        <v>Pre-RIIO</v>
      </c>
      <c r="E93" s="571">
        <f t="shared" ref="E93:K93" si="31">IF($C66=$B$33,E$6,IF(E$6-RIGHT($C66,1)&lt;$D$6,"Pre-RIIO",E$6-RIGHT($C66,1)))</f>
        <v>2016</v>
      </c>
      <c r="F93" s="571">
        <f t="shared" si="31"/>
        <v>2017</v>
      </c>
      <c r="G93" s="571">
        <f t="shared" si="31"/>
        <v>2018</v>
      </c>
      <c r="H93" s="571">
        <f t="shared" si="31"/>
        <v>2019</v>
      </c>
      <c r="I93" s="571">
        <f t="shared" si="31"/>
        <v>2020</v>
      </c>
      <c r="J93" s="571">
        <f t="shared" si="31"/>
        <v>2021</v>
      </c>
      <c r="K93" s="572">
        <f t="shared" si="31"/>
        <v>2022</v>
      </c>
    </row>
    <row r="94" spans="1:12" s="2" customFormat="1">
      <c r="A94" s="3" t="str">
        <f>A15</f>
        <v>e</v>
      </c>
      <c r="B94" s="133" t="str">
        <f>B15&amp;""</f>
        <v>Losses discretionary reward scheme</v>
      </c>
      <c r="C94" s="143" t="s">
        <v>128</v>
      </c>
      <c r="D94" s="665">
        <v>0</v>
      </c>
      <c r="E94" s="666">
        <v>0</v>
      </c>
      <c r="F94" s="666">
        <v>0.19617499999999999</v>
      </c>
      <c r="G94" s="666">
        <v>0</v>
      </c>
      <c r="H94" s="644">
        <v>0</v>
      </c>
      <c r="I94" s="644">
        <v>0</v>
      </c>
      <c r="J94" s="644">
        <v>0</v>
      </c>
      <c r="K94" s="644">
        <v>0</v>
      </c>
    </row>
    <row r="95" spans="1:12" s="2" customFormat="1">
      <c r="A95" s="3"/>
      <c r="B95" s="133"/>
      <c r="C95" s="143"/>
      <c r="D95" s="143"/>
      <c r="E95" s="143"/>
      <c r="F95" s="143"/>
      <c r="G95" s="143"/>
      <c r="H95" s="143"/>
      <c r="I95" s="143"/>
      <c r="J95" s="143"/>
      <c r="K95" s="143"/>
      <c r="L95" s="143"/>
    </row>
    <row r="96" spans="1:12" s="2" customFormat="1">
      <c r="A96" s="3"/>
      <c r="B96" s="133"/>
      <c r="C96" s="567" t="s">
        <v>402</v>
      </c>
      <c r="D96" s="570">
        <f>IF($C70=$B$33,D$6,IF(D$6-RIGHT($C70,1)&lt;$D$6,"Pre-RIIO",D$6-RIGHT($C70,1)))</f>
        <v>2016</v>
      </c>
      <c r="E96" s="570">
        <f t="shared" ref="E96:K96" si="32">IF($C70=$B$33,E$6,IF(E$6-RIGHT($C70,1)&lt;$D$6,"Pre-RIIO",E$6-RIGHT($C70,1)))</f>
        <v>2017</v>
      </c>
      <c r="F96" s="570">
        <f t="shared" si="32"/>
        <v>2018</v>
      </c>
      <c r="G96" s="570">
        <f t="shared" si="32"/>
        <v>2019</v>
      </c>
      <c r="H96" s="570">
        <f t="shared" si="32"/>
        <v>2020</v>
      </c>
      <c r="I96" s="570">
        <f t="shared" si="32"/>
        <v>2021</v>
      </c>
      <c r="J96" s="570">
        <f t="shared" si="32"/>
        <v>2022</v>
      </c>
      <c r="K96" s="570">
        <f t="shared" si="32"/>
        <v>2023</v>
      </c>
    </row>
    <row r="97" spans="1:13" s="2" customFormat="1">
      <c r="A97" s="3" t="str">
        <f>A16</f>
        <v>f</v>
      </c>
      <c r="B97" s="133" t="str">
        <f>B16&amp;""</f>
        <v/>
      </c>
      <c r="C97" s="143" t="s">
        <v>128</v>
      </c>
      <c r="D97" s="665"/>
      <c r="E97" s="666"/>
      <c r="F97" s="666"/>
      <c r="G97" s="666"/>
      <c r="H97" s="644"/>
      <c r="I97" s="644"/>
      <c r="J97" s="644"/>
      <c r="K97" s="644"/>
    </row>
    <row r="98" spans="1:13" s="2" customFormat="1">
      <c r="A98" s="3"/>
      <c r="B98" s="133"/>
      <c r="C98" s="143"/>
      <c r="D98" s="143"/>
      <c r="E98" s="143"/>
      <c r="F98" s="143"/>
      <c r="G98" s="143"/>
      <c r="H98" s="143"/>
      <c r="I98" s="143"/>
      <c r="J98" s="143"/>
      <c r="K98" s="143"/>
      <c r="L98" s="143"/>
    </row>
    <row r="99" spans="1:13" s="2" customFormat="1">
      <c r="A99" s="3"/>
      <c r="B99" s="133"/>
      <c r="C99" s="567" t="s">
        <v>402</v>
      </c>
      <c r="D99" s="570">
        <f>IF($C74=$B$33,D$6,IF(D$6-RIGHT($C74,1)&lt;$D$6,"Pre-RIIO",D$6-RIGHT($C74,1)))</f>
        <v>2016</v>
      </c>
      <c r="E99" s="570">
        <f t="shared" ref="E99:K99" si="33">IF($C74=$B$33,E$6,IF(E$6-RIGHT($C74,1)&lt;$D$6,"Pre-RIIO",E$6-RIGHT($C74,1)))</f>
        <v>2017</v>
      </c>
      <c r="F99" s="570">
        <f t="shared" si="33"/>
        <v>2018</v>
      </c>
      <c r="G99" s="570">
        <f t="shared" si="33"/>
        <v>2019</v>
      </c>
      <c r="H99" s="570">
        <f t="shared" si="33"/>
        <v>2020</v>
      </c>
      <c r="I99" s="570">
        <f t="shared" si="33"/>
        <v>2021</v>
      </c>
      <c r="J99" s="570">
        <f t="shared" si="33"/>
        <v>2022</v>
      </c>
      <c r="K99" s="570">
        <f t="shared" si="33"/>
        <v>2023</v>
      </c>
    </row>
    <row r="100" spans="1:13" s="2" customFormat="1">
      <c r="A100" s="3" t="str">
        <f>A17</f>
        <v>g</v>
      </c>
      <c r="B100" s="133" t="str">
        <f>B17&amp;""</f>
        <v/>
      </c>
      <c r="C100" s="143" t="s">
        <v>128</v>
      </c>
      <c r="D100" s="665"/>
      <c r="E100" s="666"/>
      <c r="F100" s="666"/>
      <c r="G100" s="666"/>
      <c r="H100" s="644"/>
      <c r="I100" s="644"/>
      <c r="J100" s="644"/>
      <c r="K100" s="644"/>
    </row>
    <row r="101" spans="1:13" s="2" customFormat="1">
      <c r="A101" s="3"/>
      <c r="B101" s="133"/>
      <c r="C101" s="143"/>
      <c r="D101" s="143"/>
      <c r="E101" s="143"/>
      <c r="F101" s="143"/>
      <c r="G101" s="143"/>
      <c r="H101" s="143"/>
      <c r="I101" s="143"/>
      <c r="J101" s="143"/>
      <c r="K101" s="143"/>
      <c r="L101" s="143"/>
      <c r="M101" s="143"/>
    </row>
    <row r="102" spans="1:13" s="2" customFormat="1">
      <c r="B102" s="12" t="s">
        <v>158</v>
      </c>
      <c r="C102" s="164" t="s">
        <v>128</v>
      </c>
      <c r="D102" s="637">
        <f>SUM(D82,D85,D88,D91,D94,D97,D100)</f>
        <v>8.0071736145861934</v>
      </c>
      <c r="E102" s="637">
        <f t="shared" ref="E102:K102" si="34">SUM(E82,E85,E88,E91,E94,E97,E100)</f>
        <v>12.91239504929672</v>
      </c>
      <c r="F102" s="637">
        <f t="shared" si="34"/>
        <v>18.300072702589507</v>
      </c>
      <c r="G102" s="637">
        <f t="shared" si="34"/>
        <v>20.096163444317376</v>
      </c>
      <c r="H102" s="638">
        <f>SUM(H82,H85,H88,H91,H94,H97,H100)</f>
        <v>20.209826451228658</v>
      </c>
      <c r="I102" s="638">
        <f t="shared" si="34"/>
        <v>21.147537209115477</v>
      </c>
      <c r="J102" s="638">
        <f t="shared" si="34"/>
        <v>23.87883803268717</v>
      </c>
      <c r="K102" s="638">
        <f t="shared" si="34"/>
        <v>24.739193318651623</v>
      </c>
    </row>
    <row r="103" spans="1:13" s="2" customFormat="1">
      <c r="C103" s="143"/>
    </row>
    <row r="104" spans="1:13" s="2" customFormat="1">
      <c r="A104" s="36"/>
      <c r="B104" s="12" t="s">
        <v>377</v>
      </c>
      <c r="C104" s="163"/>
      <c r="D104" s="163"/>
      <c r="E104" s="163"/>
      <c r="F104" s="163"/>
      <c r="G104" s="163"/>
      <c r="H104" s="163"/>
      <c r="I104" s="163"/>
      <c r="J104" s="163"/>
      <c r="K104" s="163"/>
      <c r="L104" s="163"/>
      <c r="M104" s="163"/>
    </row>
    <row r="105" spans="1:13" s="2" customFormat="1">
      <c r="A105" s="282" t="str">
        <f>A82</f>
        <v>a</v>
      </c>
      <c r="B105" s="995"/>
      <c r="C105" s="995"/>
      <c r="D105" s="995"/>
      <c r="E105" s="995"/>
      <c r="F105" s="995"/>
      <c r="G105" s="995"/>
      <c r="H105" s="995"/>
      <c r="I105" s="995"/>
      <c r="J105" s="995"/>
      <c r="K105" s="995"/>
      <c r="L105" s="995"/>
      <c r="M105" s="995"/>
    </row>
    <row r="106" spans="1:13" s="2" customFormat="1">
      <c r="A106" s="282" t="str">
        <f>A85</f>
        <v>b</v>
      </c>
      <c r="B106" s="995"/>
      <c r="C106" s="995"/>
      <c r="D106" s="995"/>
      <c r="E106" s="995"/>
      <c r="F106" s="995"/>
      <c r="G106" s="995"/>
      <c r="H106" s="995"/>
      <c r="I106" s="995"/>
      <c r="J106" s="995"/>
      <c r="K106" s="995"/>
      <c r="L106" s="995"/>
      <c r="M106" s="995"/>
    </row>
    <row r="107" spans="1:13" s="2" customFormat="1">
      <c r="A107" s="282" t="str">
        <f>A88</f>
        <v>c</v>
      </c>
      <c r="B107" s="995"/>
      <c r="C107" s="995"/>
      <c r="D107" s="995"/>
      <c r="E107" s="995"/>
      <c r="F107" s="995"/>
      <c r="G107" s="995"/>
      <c r="H107" s="995"/>
      <c r="I107" s="995"/>
      <c r="J107" s="995"/>
      <c r="K107" s="995"/>
      <c r="L107" s="995"/>
      <c r="M107" s="995"/>
    </row>
    <row r="108" spans="1:13" s="2" customFormat="1">
      <c r="A108" s="282" t="str">
        <f>A91</f>
        <v>d</v>
      </c>
      <c r="B108" s="995"/>
      <c r="C108" s="995"/>
      <c r="D108" s="995"/>
      <c r="E108" s="995"/>
      <c r="F108" s="995"/>
      <c r="G108" s="995"/>
      <c r="H108" s="995"/>
      <c r="I108" s="995"/>
      <c r="J108" s="995"/>
      <c r="K108" s="995"/>
      <c r="L108" s="995"/>
      <c r="M108" s="995"/>
    </row>
    <row r="109" spans="1:13" s="2" customFormat="1">
      <c r="A109" s="282" t="str">
        <f>A94</f>
        <v>e</v>
      </c>
      <c r="B109" s="995"/>
      <c r="C109" s="995"/>
      <c r="D109" s="995"/>
      <c r="E109" s="995"/>
      <c r="F109" s="995"/>
      <c r="G109" s="995"/>
      <c r="H109" s="995"/>
      <c r="I109" s="995"/>
      <c r="J109" s="995"/>
      <c r="K109" s="995"/>
      <c r="L109" s="995"/>
      <c r="M109" s="995"/>
    </row>
    <row r="110" spans="1:13" s="2" customFormat="1">
      <c r="A110" s="282" t="str">
        <f>A97</f>
        <v>f</v>
      </c>
      <c r="B110" s="995"/>
      <c r="C110" s="995"/>
      <c r="D110" s="995"/>
      <c r="E110" s="995"/>
      <c r="F110" s="995"/>
      <c r="G110" s="995"/>
      <c r="H110" s="995"/>
      <c r="I110" s="995"/>
      <c r="J110" s="995"/>
      <c r="K110" s="995"/>
      <c r="L110" s="995"/>
      <c r="M110" s="995"/>
    </row>
    <row r="111" spans="1:13" s="2" customFormat="1">
      <c r="A111" s="282" t="str">
        <f>A100</f>
        <v>g</v>
      </c>
      <c r="B111" s="995"/>
      <c r="C111" s="995"/>
      <c r="D111" s="995"/>
      <c r="E111" s="995"/>
      <c r="F111" s="995"/>
      <c r="G111" s="995"/>
      <c r="H111" s="995"/>
      <c r="I111" s="995"/>
      <c r="J111" s="995"/>
      <c r="K111" s="995"/>
      <c r="L111" s="995"/>
      <c r="M111" s="995"/>
    </row>
    <row r="112" spans="1:13" s="559" customFormat="1">
      <c r="A112" s="558"/>
      <c r="C112" s="560"/>
      <c r="D112" s="561"/>
      <c r="E112" s="561"/>
      <c r="F112" s="561"/>
      <c r="G112" s="561"/>
      <c r="H112" s="561"/>
      <c r="I112" s="561"/>
      <c r="J112" s="561"/>
      <c r="K112" s="561"/>
      <c r="L112" s="562"/>
      <c r="M112" s="562"/>
    </row>
    <row r="113" spans="1:14" s="559" customFormat="1">
      <c r="A113" s="558"/>
      <c r="C113" s="560"/>
      <c r="D113" s="560"/>
      <c r="E113" s="560"/>
      <c r="F113" s="560"/>
      <c r="G113" s="560"/>
      <c r="H113" s="560"/>
      <c r="I113" s="560"/>
      <c r="J113" s="560"/>
      <c r="K113" s="560"/>
      <c r="L113" s="560"/>
      <c r="M113" s="560"/>
    </row>
    <row r="114" spans="1:14" s="2" customFormat="1">
      <c r="A114" s="81"/>
      <c r="B114" s="81"/>
      <c r="C114" s="157"/>
      <c r="D114" s="81"/>
      <c r="E114" s="81"/>
      <c r="F114" s="81"/>
      <c r="G114" s="81"/>
      <c r="H114" s="81"/>
      <c r="I114" s="81"/>
      <c r="J114" s="81"/>
      <c r="K114" s="81"/>
      <c r="L114" s="81"/>
      <c r="M114" s="81"/>
      <c r="N114" s="81"/>
    </row>
  </sheetData>
  <sheetProtection password="DA3D" sheet="1" objects="1" scenarios="1" formatCells="0" formatColumns="0" formatRows="0"/>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35" priority="31">
      <formula>AND(D$5="Actuals",E$5="Forecast")</formula>
    </cfRule>
  </conditionalFormatting>
  <conditionalFormatting sqref="D5:K5">
    <cfRule type="expression" dxfId="34"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55" orientation="portrait" r:id="rId1"/>
  <rowBreaks count="1" manualBreakCount="1">
    <brk id="7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L28"/>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79.625" customWidth="1"/>
    <col min="3" max="3" width="14.125" style="143" customWidth="1"/>
    <col min="4" max="11" width="11.125" customWidth="1"/>
    <col min="12" max="12" width="5" customWidth="1"/>
  </cols>
  <sheetData>
    <row r="1" spans="1:12" s="32" customFormat="1" ht="20.25">
      <c r="A1" s="267" t="s">
        <v>100</v>
      </c>
      <c r="B1" s="268"/>
      <c r="C1" s="291"/>
      <c r="D1" s="268"/>
      <c r="E1" s="268"/>
      <c r="F1" s="268"/>
      <c r="G1" s="268"/>
      <c r="H1" s="268"/>
      <c r="I1" s="269"/>
      <c r="J1" s="269"/>
      <c r="K1" s="270"/>
      <c r="L1" s="271"/>
    </row>
    <row r="2" spans="1:12" s="32" customFormat="1" ht="20.25">
      <c r="A2" s="125" t="str">
        <f>'RFPR cover'!C5</f>
        <v>NPgY</v>
      </c>
      <c r="B2" s="30"/>
      <c r="C2" s="141"/>
      <c r="D2" s="30"/>
      <c r="E2" s="30"/>
      <c r="F2" s="30"/>
      <c r="G2" s="30"/>
      <c r="H2" s="30"/>
      <c r="I2" s="27"/>
      <c r="J2" s="27"/>
      <c r="K2" s="27"/>
      <c r="L2" s="126"/>
    </row>
    <row r="3" spans="1:12" s="38" customFormat="1" ht="23.25">
      <c r="A3" s="292">
        <f>'RFPR cover'!C7</f>
        <v>2019</v>
      </c>
      <c r="B3" s="941" t="str">
        <f>'R1 - RoRE'!B3</f>
        <v/>
      </c>
      <c r="C3" s="294"/>
      <c r="D3" s="293"/>
      <c r="E3" s="293"/>
      <c r="F3" s="293"/>
      <c r="G3" s="293"/>
      <c r="H3" s="293"/>
      <c r="I3" s="266"/>
      <c r="J3" s="266"/>
      <c r="K3" s="266"/>
      <c r="L3" s="274"/>
    </row>
    <row r="4" spans="1:12" s="2" customFormat="1" ht="12.75" customHeight="1">
      <c r="C4" s="143"/>
    </row>
    <row r="5" spans="1:12" s="2" customFormat="1">
      <c r="B5" s="3"/>
      <c r="C5" s="143"/>
      <c r="D5" s="409" t="str">
        <f>IF(D6&lt;='RFPR cover'!$C$7,"Actuals","Forecast")</f>
        <v>Actuals</v>
      </c>
      <c r="E5" s="410" t="str">
        <f>IF(E6&lt;='RFPR cover'!$C$7,"Actuals","Forecast")</f>
        <v>Actuals</v>
      </c>
      <c r="F5" s="410" t="str">
        <f>IF(F6&lt;='RFPR cover'!$C$7,"Actuals","Forecast")</f>
        <v>Actuals</v>
      </c>
      <c r="G5" s="410" t="str">
        <f>IF(G6&lt;='RFPR cover'!$C$7,"Actuals","Forecast")</f>
        <v>Actuals</v>
      </c>
      <c r="H5" s="410" t="str">
        <f>IF(H6&lt;='RFPR cover'!$C$7,"Actuals","Forecast")</f>
        <v>Forecast</v>
      </c>
      <c r="I5" s="410" t="str">
        <f>IF(I6&lt;='RFPR cover'!$C$7,"Actuals","Forecast")</f>
        <v>Forecast</v>
      </c>
      <c r="J5" s="410" t="str">
        <f>IF(J6&lt;='RFPR cover'!$C$7,"Actuals","Forecast")</f>
        <v>Forecast</v>
      </c>
      <c r="K5" s="411" t="str">
        <f>IF(K6&lt;='RFPR cover'!$C$7,"Actuals","Forecast")</f>
        <v>Forecast</v>
      </c>
    </row>
    <row r="6" spans="1:12" s="2" customFormat="1">
      <c r="C6" s="143"/>
      <c r="D6" s="118">
        <f>'RFPR cover'!$C$13</f>
        <v>2016</v>
      </c>
      <c r="E6" s="119">
        <f>D6+1</f>
        <v>2017</v>
      </c>
      <c r="F6" s="119">
        <f t="shared" ref="F6:K6" si="0">E6+1</f>
        <v>2018</v>
      </c>
      <c r="G6" s="119">
        <f t="shared" si="0"/>
        <v>2019</v>
      </c>
      <c r="H6" s="119">
        <f t="shared" si="0"/>
        <v>2020</v>
      </c>
      <c r="I6" s="119">
        <f t="shared" si="0"/>
        <v>2021</v>
      </c>
      <c r="J6" s="119">
        <f t="shared" si="0"/>
        <v>2022</v>
      </c>
      <c r="K6" s="119">
        <f t="shared" si="0"/>
        <v>2023</v>
      </c>
    </row>
    <row r="7" spans="1:12" s="2" customFormat="1">
      <c r="C7" s="143"/>
    </row>
    <row r="8" spans="1:12" s="2" customFormat="1">
      <c r="B8" s="52" t="s">
        <v>134</v>
      </c>
      <c r="C8" s="144"/>
      <c r="D8" s="57"/>
      <c r="E8" s="57"/>
      <c r="F8" s="57"/>
      <c r="G8" s="57"/>
      <c r="H8" s="57"/>
      <c r="I8" s="57"/>
      <c r="J8" s="57"/>
      <c r="K8" s="57"/>
    </row>
    <row r="9" spans="1:12" s="2" customFormat="1">
      <c r="B9" s="234" t="s">
        <v>521</v>
      </c>
      <c r="C9" s="159" t="s">
        <v>128</v>
      </c>
      <c r="D9" s="621">
        <v>0.8202488247745281</v>
      </c>
      <c r="E9" s="622">
        <v>0.78253045889138884</v>
      </c>
      <c r="F9" s="622">
        <v>2.3310237800519573</v>
      </c>
      <c r="G9" s="622">
        <v>2.4119222903338855</v>
      </c>
      <c r="H9" s="622">
        <v>2.483053623415632</v>
      </c>
      <c r="I9" s="622">
        <v>2.5259103574824118</v>
      </c>
      <c r="J9" s="622">
        <v>2.5769940311052717</v>
      </c>
      <c r="K9" s="622">
        <v>2.6672936756914165</v>
      </c>
    </row>
    <row r="10" spans="1:12" s="2" customFormat="1">
      <c r="B10" s="234" t="s">
        <v>502</v>
      </c>
      <c r="C10" s="159" t="s">
        <v>128</v>
      </c>
      <c r="D10" s="623"/>
      <c r="E10" s="624"/>
      <c r="F10" s="624"/>
      <c r="G10" s="624"/>
      <c r="H10" s="624"/>
      <c r="I10" s="624"/>
      <c r="J10" s="624"/>
      <c r="K10" s="624"/>
    </row>
    <row r="11" spans="1:12" s="2" customFormat="1">
      <c r="B11" s="234" t="s">
        <v>520</v>
      </c>
      <c r="C11" s="159" t="s">
        <v>128</v>
      </c>
      <c r="D11" s="884">
        <v>8.2024882477452765E-2</v>
      </c>
      <c r="E11" s="885">
        <v>7.8253045889138839E-2</v>
      </c>
      <c r="F11" s="885">
        <v>0.23310237800519573</v>
      </c>
      <c r="G11" s="885">
        <v>0.24119222903338855</v>
      </c>
      <c r="H11" s="885">
        <v>0.2483053623415632</v>
      </c>
      <c r="I11" s="885">
        <v>0.25259103574824121</v>
      </c>
      <c r="J11" s="885">
        <v>0.25769940311052719</v>
      </c>
      <c r="K11" s="885">
        <v>0.26672936756914167</v>
      </c>
    </row>
    <row r="12" spans="1:12" s="12" customFormat="1">
      <c r="B12" s="52" t="s">
        <v>132</v>
      </c>
      <c r="C12" s="159" t="s">
        <v>128</v>
      </c>
      <c r="D12" s="637">
        <f>D9-D10-D11</f>
        <v>0.73822394229707533</v>
      </c>
      <c r="E12" s="638">
        <f t="shared" ref="E12:F12" si="1">E9-E10-E11</f>
        <v>0.70427741300225</v>
      </c>
      <c r="F12" s="638">
        <f t="shared" si="1"/>
        <v>2.0979214020467616</v>
      </c>
      <c r="G12" s="638">
        <f t="shared" ref="G12:K12" si="2">G9-G10-G11</f>
        <v>2.1707300613004969</v>
      </c>
      <c r="H12" s="638">
        <f t="shared" si="2"/>
        <v>2.2347482610740688</v>
      </c>
      <c r="I12" s="638">
        <f t="shared" si="2"/>
        <v>2.2733193217341707</v>
      </c>
      <c r="J12" s="638">
        <f t="shared" si="2"/>
        <v>2.3192946279947444</v>
      </c>
      <c r="K12" s="638">
        <f t="shared" si="2"/>
        <v>2.4005643081222749</v>
      </c>
      <c r="L12" s="2"/>
    </row>
    <row r="13" spans="1:12" s="12" customFormat="1">
      <c r="B13" s="52"/>
      <c r="C13" s="143"/>
      <c r="D13" s="53"/>
      <c r="E13" s="53"/>
      <c r="F13" s="53"/>
      <c r="G13" s="53"/>
      <c r="H13" s="53"/>
      <c r="I13" s="53"/>
      <c r="J13" s="53"/>
      <c r="K13" s="53"/>
      <c r="L13" s="2"/>
    </row>
    <row r="14" spans="1:12" s="2" customFormat="1">
      <c r="B14" s="52" t="s">
        <v>156</v>
      </c>
      <c r="C14" s="144"/>
      <c r="D14" s="57"/>
      <c r="E14" s="57"/>
      <c r="F14" s="57"/>
      <c r="G14" s="57"/>
      <c r="H14" s="57"/>
      <c r="I14" s="57"/>
      <c r="J14" s="57"/>
      <c r="K14" s="57"/>
    </row>
    <row r="15" spans="1:12" s="2" customFormat="1" ht="12.95" customHeight="1">
      <c r="B15" s="234" t="s">
        <v>523</v>
      </c>
      <c r="C15" s="159" t="s">
        <v>128</v>
      </c>
      <c r="D15" s="621">
        <v>1.58060117</v>
      </c>
      <c r="E15" s="622">
        <v>8.3856570000000005E-2</v>
      </c>
      <c r="F15" s="622">
        <v>0.24265197999999999</v>
      </c>
      <c r="G15" s="622">
        <v>0.65832199000000002</v>
      </c>
      <c r="H15" s="622">
        <v>8.9907860000000006E-2</v>
      </c>
      <c r="I15" s="622"/>
      <c r="J15" s="622"/>
      <c r="K15" s="622"/>
    </row>
    <row r="16" spans="1:12" s="2" customFormat="1">
      <c r="B16" s="234" t="s">
        <v>522</v>
      </c>
      <c r="C16" s="159" t="s">
        <v>128</v>
      </c>
      <c r="D16" s="623"/>
      <c r="E16" s="624"/>
      <c r="F16" s="624"/>
      <c r="G16" s="624"/>
      <c r="H16" s="624"/>
      <c r="I16" s="624"/>
      <c r="J16" s="624"/>
      <c r="K16" s="624"/>
    </row>
    <row r="17" spans="2:12" s="12" customFormat="1">
      <c r="B17" s="52" t="s">
        <v>133</v>
      </c>
      <c r="C17" s="159" t="s">
        <v>128</v>
      </c>
      <c r="D17" s="637">
        <f>D15-D16</f>
        <v>1.58060117</v>
      </c>
      <c r="E17" s="637">
        <f t="shared" ref="E17:F17" si="3">E15-E16</f>
        <v>8.3856570000000005E-2</v>
      </c>
      <c r="F17" s="637">
        <f t="shared" si="3"/>
        <v>0.24265197999999999</v>
      </c>
      <c r="G17" s="637">
        <f t="shared" ref="G17:K17" si="4">G15-G16</f>
        <v>0.65832199000000002</v>
      </c>
      <c r="H17" s="637">
        <f t="shared" si="4"/>
        <v>8.9907860000000006E-2</v>
      </c>
      <c r="I17" s="637">
        <f t="shared" si="4"/>
        <v>0</v>
      </c>
      <c r="J17" s="637">
        <f t="shared" si="4"/>
        <v>0</v>
      </c>
      <c r="K17" s="637">
        <f t="shared" si="4"/>
        <v>0</v>
      </c>
      <c r="L17" s="2"/>
    </row>
    <row r="18" spans="2:12" s="12" customFormat="1">
      <c r="B18" s="52"/>
      <c r="C18" s="143"/>
      <c r="D18" s="53"/>
      <c r="E18" s="53"/>
      <c r="F18" s="53"/>
      <c r="G18" s="53"/>
      <c r="H18" s="53"/>
      <c r="I18" s="53"/>
      <c r="J18" s="53"/>
      <c r="K18" s="53"/>
      <c r="L18" s="2"/>
    </row>
    <row r="19" spans="2:12" s="2" customFormat="1">
      <c r="B19" s="52" t="s">
        <v>157</v>
      </c>
      <c r="C19" s="144"/>
      <c r="D19" s="57"/>
      <c r="E19" s="57"/>
      <c r="F19" s="57"/>
      <c r="G19" s="57"/>
      <c r="H19" s="57"/>
      <c r="I19" s="57"/>
      <c r="J19" s="57"/>
      <c r="K19" s="57"/>
    </row>
    <row r="20" spans="2:12" s="2" customFormat="1">
      <c r="B20" s="234" t="s">
        <v>451</v>
      </c>
      <c r="C20" s="159" t="s">
        <v>128</v>
      </c>
      <c r="D20" s="621"/>
      <c r="E20" s="622"/>
      <c r="F20" s="622"/>
      <c r="G20" s="622"/>
      <c r="H20" s="622"/>
      <c r="I20" s="622"/>
      <c r="J20" s="622"/>
      <c r="K20" s="622"/>
    </row>
    <row r="21" spans="2:12" s="2" customFormat="1">
      <c r="B21" s="234" t="s">
        <v>520</v>
      </c>
      <c r="C21" s="159" t="s">
        <v>128</v>
      </c>
      <c r="D21" s="659"/>
      <c r="E21" s="660"/>
      <c r="F21" s="660"/>
      <c r="G21" s="660"/>
      <c r="H21" s="660"/>
      <c r="I21" s="660"/>
      <c r="J21" s="660"/>
      <c r="K21" s="660"/>
    </row>
    <row r="22" spans="2:12" s="2" customFormat="1">
      <c r="B22" s="36"/>
      <c r="C22" s="145"/>
      <c r="D22" s="36"/>
      <c r="E22" s="36"/>
      <c r="F22" s="36"/>
      <c r="G22" s="36"/>
      <c r="H22" s="36"/>
      <c r="I22" s="36"/>
      <c r="J22" s="36"/>
      <c r="K22" s="36"/>
    </row>
    <row r="23" spans="2:12" s="2" customFormat="1">
      <c r="B23" s="234" t="s">
        <v>505</v>
      </c>
      <c r="C23" s="159" t="s">
        <v>128</v>
      </c>
      <c r="D23" s="659"/>
      <c r="E23" s="660"/>
      <c r="F23" s="660"/>
      <c r="G23" s="660"/>
      <c r="H23" s="660"/>
      <c r="I23" s="660"/>
      <c r="J23" s="660"/>
      <c r="K23" s="660"/>
    </row>
    <row r="24" spans="2:12" s="2" customFormat="1">
      <c r="B24" s="36"/>
      <c r="C24" s="145"/>
      <c r="D24" s="36"/>
      <c r="E24" s="36"/>
      <c r="F24" s="36"/>
      <c r="G24" s="36"/>
      <c r="H24" s="36"/>
      <c r="I24" s="36"/>
      <c r="J24" s="36"/>
      <c r="K24" s="36"/>
    </row>
    <row r="25" spans="2:12" s="2" customFormat="1">
      <c r="B25" s="81"/>
      <c r="C25" s="157"/>
      <c r="D25" s="81"/>
      <c r="E25" s="81"/>
      <c r="F25" s="81"/>
      <c r="G25" s="81"/>
      <c r="H25" s="81"/>
      <c r="I25" s="81"/>
      <c r="J25" s="81"/>
      <c r="K25" s="81"/>
      <c r="L25" s="81"/>
    </row>
    <row r="26" spans="2:12" s="2" customFormat="1">
      <c r="B26" s="36"/>
      <c r="C26" s="145"/>
      <c r="D26" s="36"/>
      <c r="E26" s="36"/>
      <c r="F26" s="36"/>
      <c r="G26" s="36"/>
      <c r="H26" s="36"/>
      <c r="I26" s="36"/>
      <c r="J26" s="36"/>
      <c r="K26" s="36"/>
    </row>
    <row r="27" spans="2:12" s="2" customFormat="1">
      <c r="B27" s="52" t="s">
        <v>397</v>
      </c>
      <c r="C27" s="145"/>
      <c r="D27" s="36"/>
      <c r="E27" s="36"/>
      <c r="F27" s="36"/>
      <c r="G27" s="36"/>
      <c r="H27" s="36"/>
      <c r="I27" s="36"/>
      <c r="J27" s="36"/>
      <c r="K27" s="36"/>
    </row>
    <row r="28" spans="2:12" s="2" customFormat="1">
      <c r="B28" s="234" t="s">
        <v>503</v>
      </c>
      <c r="C28" s="162" t="str">
        <f>'RFPR cover'!$C$14</f>
        <v>£m 12/13</v>
      </c>
      <c r="D28" s="707">
        <f>(SUM(D10,D11,D21)-D23)/Data!C34</f>
        <v>7.7358848412386841E-2</v>
      </c>
      <c r="E28" s="707">
        <f>(SUM(E10,E11,E21)-E23)/Data!D34</f>
        <v>7.2253366150393378E-2</v>
      </c>
      <c r="F28" s="707">
        <f>(SUM(F10,F11,F21)-F23)/Data!E34</f>
        <v>0.20746695017395372</v>
      </c>
      <c r="G28" s="707">
        <f>(SUM(G10,G11,G21)-G23)/Data!F34</f>
        <v>0.2083023022249437</v>
      </c>
      <c r="H28" s="707">
        <f>(SUM(H10,H11,H21)-H23)/Data!G34</f>
        <v>0.20896025386288281</v>
      </c>
      <c r="I28" s="707">
        <f>(SUM(I10,I11,I21)-I23)/Data!H34</f>
        <v>0.20682738304214407</v>
      </c>
      <c r="J28" s="707">
        <f>(SUM(J10,J11,J21)-J23)/Data!I34</f>
        <v>0.20481459102728322</v>
      </c>
      <c r="K28" s="707">
        <f>(SUM(K10,K11,K21)-K23)/Data!J34</f>
        <v>0.20566716979875307</v>
      </c>
      <c r="L28" s="36"/>
    </row>
  </sheetData>
  <sheetProtection password="DA3D" sheet="1" objects="1" scenarios="1" formatCells="0" formatColumns="0" formatRows="0"/>
  <conditionalFormatting sqref="D6:K6">
    <cfRule type="expression" dxfId="33" priority="24">
      <formula>AND(D$5="Actuals",E$5="Forecast")</formula>
    </cfRule>
  </conditionalFormatting>
  <conditionalFormatting sqref="D5:K5">
    <cfRule type="expression" dxfId="32"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O90"/>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2" customFormat="1" ht="20.25">
      <c r="A1" s="267" t="s">
        <v>265</v>
      </c>
      <c r="B1" s="268"/>
      <c r="C1" s="268"/>
      <c r="D1" s="268"/>
      <c r="E1" s="268"/>
      <c r="F1" s="268"/>
      <c r="G1" s="268"/>
      <c r="H1" s="268"/>
      <c r="I1" s="269"/>
      <c r="J1" s="269"/>
      <c r="K1" s="270"/>
      <c r="L1" s="270"/>
      <c r="M1" s="270"/>
      <c r="N1" s="271"/>
    </row>
    <row r="2" spans="1:14" s="32" customFormat="1" ht="20.25">
      <c r="A2" s="125" t="str">
        <f>'RFPR cover'!C5</f>
        <v>NPgY</v>
      </c>
      <c r="B2" s="30"/>
      <c r="C2" s="30"/>
      <c r="D2" s="30"/>
      <c r="E2" s="30"/>
      <c r="F2" s="30"/>
      <c r="G2" s="30"/>
      <c r="H2" s="30"/>
      <c r="I2" s="27"/>
      <c r="J2" s="27"/>
      <c r="K2" s="27"/>
      <c r="L2" s="27"/>
      <c r="M2" s="27"/>
      <c r="N2" s="126"/>
    </row>
    <row r="3" spans="1:14" s="32" customFormat="1" ht="23.25">
      <c r="A3" s="272">
        <f>'RFPR cover'!C7</f>
        <v>2019</v>
      </c>
      <c r="B3" s="941" t="str">
        <f>'R1 - RoRE'!B3</f>
        <v/>
      </c>
      <c r="C3" s="273"/>
      <c r="D3" s="273"/>
      <c r="E3" s="273"/>
      <c r="F3" s="273"/>
      <c r="G3" s="273"/>
      <c r="H3" s="273"/>
      <c r="I3" s="266"/>
      <c r="J3" s="266"/>
      <c r="K3" s="266"/>
      <c r="L3" s="266"/>
      <c r="M3" s="266"/>
      <c r="N3" s="274"/>
    </row>
    <row r="4" spans="1:14" s="32" customFormat="1" ht="12.75" customHeight="1">
      <c r="A4" s="40"/>
      <c r="B4" s="40"/>
      <c r="C4" s="40"/>
      <c r="D4" s="40"/>
      <c r="E4" s="40"/>
      <c r="F4" s="40"/>
      <c r="G4" s="40"/>
      <c r="H4" s="40"/>
      <c r="I4" s="35"/>
      <c r="J4" s="35"/>
      <c r="K4" s="35"/>
      <c r="L4" s="34"/>
    </row>
    <row r="5" spans="1:14" s="2" customFormat="1">
      <c r="B5" s="3"/>
      <c r="C5" s="3"/>
      <c r="D5" s="409" t="str">
        <f>IF(D6&lt;='RFPR cover'!$C$7,"Actuals","Forecast")</f>
        <v>Actuals</v>
      </c>
      <c r="E5" s="410" t="str">
        <f>IF(E6&lt;='RFPR cover'!$C$7,"Actuals","Forecast")</f>
        <v>Actuals</v>
      </c>
      <c r="F5" s="410" t="str">
        <f>IF(F6&lt;='RFPR cover'!$C$7,"Actuals","Forecast")</f>
        <v>Actuals</v>
      </c>
      <c r="G5" s="410" t="str">
        <f>IF(G6&lt;='RFPR cover'!$C$7,"Actuals","Forecast")</f>
        <v>Actuals</v>
      </c>
      <c r="H5" s="410" t="str">
        <f>IF(H6&lt;='RFPR cover'!$C$7,"Actuals","Forecast")</f>
        <v>Forecast</v>
      </c>
      <c r="I5" s="410" t="str">
        <f>IF(I6&lt;='RFPR cover'!$C$7,"Actuals","Forecast")</f>
        <v>Forecast</v>
      </c>
      <c r="J5" s="410" t="str">
        <f>IF(J6&lt;='RFPR cover'!$C$7,"Actuals","Forecast")</f>
        <v>Forecast</v>
      </c>
      <c r="K5" s="411" t="str">
        <f>IF(K6&lt;='RFPR cover'!$C$7,"Actuals","Forecast")</f>
        <v>Forecast</v>
      </c>
    </row>
    <row r="6" spans="1:14" s="2" customFormat="1" ht="25.5">
      <c r="D6" s="118">
        <f>'RFPR cover'!$C$13</f>
        <v>2016</v>
      </c>
      <c r="E6" s="119">
        <f>D6+1</f>
        <v>2017</v>
      </c>
      <c r="F6" s="119">
        <f t="shared" ref="F6:K6" si="0">E6+1</f>
        <v>2018</v>
      </c>
      <c r="G6" s="119">
        <f t="shared" si="0"/>
        <v>2019</v>
      </c>
      <c r="H6" s="119">
        <f t="shared" si="0"/>
        <v>2020</v>
      </c>
      <c r="I6" s="119">
        <f t="shared" si="0"/>
        <v>2021</v>
      </c>
      <c r="J6" s="119">
        <f t="shared" si="0"/>
        <v>2022</v>
      </c>
      <c r="K6" s="203">
        <f t="shared" si="0"/>
        <v>2023</v>
      </c>
      <c r="L6" s="102" t="str">
        <f>"Cumulative to "&amp;'RFPR cover'!$C$7</f>
        <v>Cumulative to 2019</v>
      </c>
      <c r="M6" s="295" t="s">
        <v>109</v>
      </c>
    </row>
    <row r="7" spans="1:14" s="2" customFormat="1"/>
    <row r="8" spans="1:14">
      <c r="B8" s="504" t="s">
        <v>302</v>
      </c>
      <c r="C8" s="159" t="s">
        <v>128</v>
      </c>
      <c r="D8" s="366">
        <v>44.345330000000004</v>
      </c>
      <c r="E8" s="405">
        <v>46.886030000000012</v>
      </c>
      <c r="F8" s="405">
        <v>48.444030000000012</v>
      </c>
      <c r="G8" s="405">
        <v>48.768000000000008</v>
      </c>
      <c r="H8" s="405">
        <v>45.73</v>
      </c>
      <c r="I8" s="405">
        <v>30.059999999999995</v>
      </c>
      <c r="J8" s="405">
        <v>29.18</v>
      </c>
      <c r="K8" s="406">
        <v>25.17</v>
      </c>
      <c r="L8" s="36"/>
      <c r="M8" s="36"/>
    </row>
    <row r="9" spans="1:14">
      <c r="B9" s="14"/>
      <c r="C9" s="159"/>
      <c r="D9" s="238"/>
      <c r="E9" s="238"/>
      <c r="F9" s="238"/>
      <c r="G9" s="238"/>
      <c r="H9" s="238"/>
      <c r="I9" s="238"/>
      <c r="J9" s="238"/>
      <c r="K9" s="238"/>
      <c r="L9" s="36"/>
      <c r="M9" s="36"/>
    </row>
    <row r="10" spans="1:14">
      <c r="B10" s="14" t="s">
        <v>481</v>
      </c>
      <c r="C10" s="16"/>
      <c r="D10" s="239"/>
      <c r="E10" s="239"/>
      <c r="F10" s="239"/>
      <c r="G10" s="239"/>
      <c r="H10" s="239"/>
      <c r="I10" s="239"/>
      <c r="J10" s="239"/>
      <c r="K10" s="239"/>
      <c r="L10" s="36"/>
      <c r="M10" s="36"/>
    </row>
    <row r="11" spans="1:14">
      <c r="B11" s="389" t="s">
        <v>12</v>
      </c>
      <c r="C11" s="159" t="s">
        <v>128</v>
      </c>
      <c r="D11" s="397">
        <v>0</v>
      </c>
      <c r="E11" s="398">
        <v>0</v>
      </c>
      <c r="F11" s="398">
        <v>0</v>
      </c>
      <c r="G11" s="398">
        <v>0</v>
      </c>
      <c r="H11" s="398">
        <v>0</v>
      </c>
      <c r="I11" s="398">
        <v>0</v>
      </c>
      <c r="J11" s="398">
        <v>0</v>
      </c>
      <c r="K11" s="402">
        <v>0</v>
      </c>
      <c r="L11" s="36"/>
      <c r="M11" s="36"/>
    </row>
    <row r="12" spans="1:14">
      <c r="B12" s="389" t="s">
        <v>13</v>
      </c>
      <c r="C12" s="159" t="s">
        <v>128</v>
      </c>
      <c r="D12" s="365">
        <v>0</v>
      </c>
      <c r="E12" s="399">
        <v>0</v>
      </c>
      <c r="F12" s="399">
        <v>0</v>
      </c>
      <c r="G12" s="399">
        <v>0</v>
      </c>
      <c r="H12" s="399">
        <v>0</v>
      </c>
      <c r="I12" s="399">
        <v>0</v>
      </c>
      <c r="J12" s="399">
        <v>0</v>
      </c>
      <c r="K12" s="403">
        <v>0</v>
      </c>
      <c r="L12" s="36"/>
      <c r="M12" s="36"/>
    </row>
    <row r="13" spans="1:14">
      <c r="B13" s="389" t="s">
        <v>14</v>
      </c>
      <c r="C13" s="159" t="s">
        <v>128</v>
      </c>
      <c r="D13" s="365">
        <v>0</v>
      </c>
      <c r="E13" s="399">
        <v>0</v>
      </c>
      <c r="F13" s="399">
        <v>0</v>
      </c>
      <c r="G13" s="399">
        <v>0</v>
      </c>
      <c r="H13" s="399">
        <v>0</v>
      </c>
      <c r="I13" s="399">
        <v>0</v>
      </c>
      <c r="J13" s="399">
        <v>0</v>
      </c>
      <c r="K13" s="403">
        <v>0</v>
      </c>
      <c r="L13" s="36"/>
      <c r="M13" s="36"/>
    </row>
    <row r="14" spans="1:14">
      <c r="B14" s="389" t="s">
        <v>15</v>
      </c>
      <c r="C14" s="159" t="s">
        <v>128</v>
      </c>
      <c r="D14" s="365">
        <v>0</v>
      </c>
      <c r="E14" s="399">
        <v>0</v>
      </c>
      <c r="F14" s="399">
        <v>0</v>
      </c>
      <c r="G14" s="399">
        <v>0</v>
      </c>
      <c r="H14" s="399">
        <v>0</v>
      </c>
      <c r="I14" s="399">
        <v>0</v>
      </c>
      <c r="J14" s="399">
        <v>0</v>
      </c>
      <c r="K14" s="403">
        <v>0</v>
      </c>
      <c r="L14" s="36"/>
      <c r="M14" s="36"/>
    </row>
    <row r="15" spans="1:14">
      <c r="B15" s="389" t="s">
        <v>16</v>
      </c>
      <c r="C15" s="159" t="s">
        <v>128</v>
      </c>
      <c r="D15" s="365">
        <v>0</v>
      </c>
      <c r="E15" s="399">
        <v>0</v>
      </c>
      <c r="F15" s="399">
        <v>0</v>
      </c>
      <c r="G15" s="399">
        <v>0</v>
      </c>
      <c r="H15" s="399">
        <v>0</v>
      </c>
      <c r="I15" s="399">
        <v>0</v>
      </c>
      <c r="J15" s="399">
        <v>0</v>
      </c>
      <c r="K15" s="403">
        <v>0</v>
      </c>
      <c r="L15" s="36"/>
      <c r="M15" s="36"/>
    </row>
    <row r="16" spans="1:14">
      <c r="B16" s="389" t="s">
        <v>17</v>
      </c>
      <c r="C16" s="159" t="s">
        <v>128</v>
      </c>
      <c r="D16" s="365">
        <v>0</v>
      </c>
      <c r="E16" s="399">
        <v>0</v>
      </c>
      <c r="F16" s="399">
        <v>0</v>
      </c>
      <c r="G16" s="399">
        <v>0</v>
      </c>
      <c r="H16" s="399">
        <v>0</v>
      </c>
      <c r="I16" s="399">
        <v>0</v>
      </c>
      <c r="J16" s="399">
        <v>0</v>
      </c>
      <c r="K16" s="403">
        <v>0</v>
      </c>
      <c r="L16" s="36"/>
    </row>
    <row r="17" spans="2:12">
      <c r="B17" s="389" t="s">
        <v>282</v>
      </c>
      <c r="C17" s="159" t="s">
        <v>128</v>
      </c>
      <c r="D17" s="365">
        <v>-0.96299999999999997</v>
      </c>
      <c r="E17" s="399">
        <v>-0.78500000000000003</v>
      </c>
      <c r="F17" s="399">
        <v>-0.80100000000000005</v>
      </c>
      <c r="G17" s="399">
        <v>-0.81700000000000006</v>
      </c>
      <c r="H17" s="399">
        <v>-0.77</v>
      </c>
      <c r="I17" s="399">
        <v>-0.55000000000000004</v>
      </c>
      <c r="J17" s="399">
        <v>-0.56999999999999995</v>
      </c>
      <c r="K17" s="403">
        <v>-0.56999999999999995</v>
      </c>
      <c r="L17" s="36"/>
    </row>
    <row r="18" spans="2:12" ht="12.75" customHeight="1">
      <c r="B18" s="389" t="s">
        <v>18</v>
      </c>
      <c r="C18" s="159" t="s">
        <v>128</v>
      </c>
      <c r="D18" s="365">
        <v>-0.19500000000000001</v>
      </c>
      <c r="E18" s="399">
        <v>-9.1999999999999998E-2</v>
      </c>
      <c r="F18" s="399">
        <v>-9.0999999999999998E-2</v>
      </c>
      <c r="G18" s="399">
        <v>-6.9000000000000006E-2</v>
      </c>
      <c r="H18" s="399">
        <v>-0.09</v>
      </c>
      <c r="I18" s="399">
        <v>0</v>
      </c>
      <c r="J18" s="399">
        <v>0</v>
      </c>
      <c r="K18" s="403">
        <v>0</v>
      </c>
      <c r="L18" s="36"/>
    </row>
    <row r="19" spans="2:12">
      <c r="B19" s="389" t="s">
        <v>540</v>
      </c>
      <c r="C19" s="159" t="s">
        <v>128</v>
      </c>
      <c r="D19" s="365">
        <v>3.3039999999999998</v>
      </c>
      <c r="E19" s="399">
        <v>2.472</v>
      </c>
      <c r="F19" s="399">
        <v>2.0249999999999999</v>
      </c>
      <c r="G19" s="399">
        <v>1.278</v>
      </c>
      <c r="H19" s="399">
        <v>1.52</v>
      </c>
      <c r="I19" s="399">
        <v>2.1800000000000002</v>
      </c>
      <c r="J19" s="399">
        <v>3.08</v>
      </c>
      <c r="K19" s="403">
        <v>2.74</v>
      </c>
      <c r="L19" s="36"/>
    </row>
    <row r="20" spans="2:12">
      <c r="B20" s="389" t="s">
        <v>351</v>
      </c>
      <c r="C20" s="159" t="s">
        <v>128</v>
      </c>
      <c r="D20" s="365">
        <v>0</v>
      </c>
      <c r="E20" s="399">
        <v>0</v>
      </c>
      <c r="F20" s="399">
        <v>0</v>
      </c>
      <c r="G20" s="399">
        <v>0</v>
      </c>
      <c r="H20" s="399">
        <v>0</v>
      </c>
      <c r="I20" s="399">
        <v>0</v>
      </c>
      <c r="J20" s="399">
        <v>0</v>
      </c>
      <c r="K20" s="403">
        <v>0</v>
      </c>
      <c r="L20" s="36"/>
    </row>
    <row r="21" spans="2:12">
      <c r="B21" s="389" t="s">
        <v>352</v>
      </c>
      <c r="C21" s="159" t="s">
        <v>128</v>
      </c>
      <c r="D21" s="365">
        <v>0</v>
      </c>
      <c r="E21" s="399">
        <v>0</v>
      </c>
      <c r="F21" s="399">
        <v>0</v>
      </c>
      <c r="G21" s="399">
        <v>0</v>
      </c>
      <c r="H21" s="399">
        <v>0</v>
      </c>
      <c r="I21" s="399">
        <v>0</v>
      </c>
      <c r="J21" s="399">
        <v>0</v>
      </c>
      <c r="K21" s="403">
        <v>0</v>
      </c>
      <c r="L21" s="36"/>
    </row>
    <row r="22" spans="2:12">
      <c r="B22" s="389" t="s">
        <v>353</v>
      </c>
      <c r="C22" s="159" t="s">
        <v>128</v>
      </c>
      <c r="D22" s="365">
        <v>0</v>
      </c>
      <c r="E22" s="399">
        <v>0</v>
      </c>
      <c r="F22" s="399">
        <v>0</v>
      </c>
      <c r="G22" s="399">
        <v>0</v>
      </c>
      <c r="H22" s="399">
        <v>0</v>
      </c>
      <c r="I22" s="399">
        <v>0</v>
      </c>
      <c r="J22" s="399">
        <v>0</v>
      </c>
      <c r="K22" s="403">
        <v>0</v>
      </c>
      <c r="L22" s="36"/>
    </row>
    <row r="23" spans="2:12">
      <c r="B23" s="389" t="s">
        <v>354</v>
      </c>
      <c r="C23" s="159" t="s">
        <v>128</v>
      </c>
      <c r="D23" s="365">
        <v>0</v>
      </c>
      <c r="E23" s="399">
        <v>0</v>
      </c>
      <c r="F23" s="399">
        <v>0</v>
      </c>
      <c r="G23" s="399">
        <v>0</v>
      </c>
      <c r="H23" s="399">
        <v>0</v>
      </c>
      <c r="I23" s="399">
        <v>0</v>
      </c>
      <c r="J23" s="399">
        <v>0</v>
      </c>
      <c r="K23" s="403">
        <v>0</v>
      </c>
      <c r="L23" s="36"/>
    </row>
    <row r="24" spans="2:12">
      <c r="B24" s="389" t="s">
        <v>355</v>
      </c>
      <c r="C24" s="159" t="s">
        <v>128</v>
      </c>
      <c r="D24" s="365">
        <v>0</v>
      </c>
      <c r="E24" s="399">
        <v>0</v>
      </c>
      <c r="F24" s="399">
        <v>0</v>
      </c>
      <c r="G24" s="399">
        <v>0</v>
      </c>
      <c r="H24" s="399">
        <v>0</v>
      </c>
      <c r="I24" s="399">
        <v>0</v>
      </c>
      <c r="J24" s="399">
        <v>0</v>
      </c>
      <c r="K24" s="403">
        <v>0</v>
      </c>
      <c r="L24" s="36"/>
    </row>
    <row r="25" spans="2:12">
      <c r="B25" s="389" t="s">
        <v>356</v>
      </c>
      <c r="C25" s="159" t="s">
        <v>128</v>
      </c>
      <c r="D25" s="365">
        <v>0</v>
      </c>
      <c r="E25" s="399">
        <v>0</v>
      </c>
      <c r="F25" s="399">
        <v>0</v>
      </c>
      <c r="G25" s="399">
        <v>0</v>
      </c>
      <c r="H25" s="399">
        <v>0</v>
      </c>
      <c r="I25" s="399">
        <v>0</v>
      </c>
      <c r="J25" s="399">
        <v>0</v>
      </c>
      <c r="K25" s="403">
        <v>0</v>
      </c>
      <c r="L25" s="36"/>
    </row>
    <row r="26" spans="2:12">
      <c r="B26" s="389" t="s">
        <v>357</v>
      </c>
      <c r="C26" s="159" t="s">
        <v>128</v>
      </c>
      <c r="D26" s="365">
        <v>0</v>
      </c>
      <c r="E26" s="399">
        <v>0</v>
      </c>
      <c r="F26" s="399">
        <v>0</v>
      </c>
      <c r="G26" s="399">
        <v>0</v>
      </c>
      <c r="H26" s="399">
        <v>0</v>
      </c>
      <c r="I26" s="399">
        <v>0</v>
      </c>
      <c r="J26" s="399">
        <v>0</v>
      </c>
      <c r="K26" s="403">
        <v>0</v>
      </c>
      <c r="L26" s="36"/>
    </row>
    <row r="27" spans="2:12">
      <c r="B27" s="389" t="s">
        <v>358</v>
      </c>
      <c r="C27" s="159" t="s">
        <v>128</v>
      </c>
      <c r="D27" s="400">
        <v>0</v>
      </c>
      <c r="E27" s="401">
        <v>0</v>
      </c>
      <c r="F27" s="401">
        <v>0</v>
      </c>
      <c r="G27" s="401">
        <v>0</v>
      </c>
      <c r="H27" s="401">
        <v>0</v>
      </c>
      <c r="I27" s="401">
        <v>0</v>
      </c>
      <c r="J27" s="401">
        <v>0</v>
      </c>
      <c r="K27" s="404">
        <v>0</v>
      </c>
      <c r="L27" s="36"/>
    </row>
    <row r="28" spans="2:12">
      <c r="B28" s="13" t="s">
        <v>19</v>
      </c>
      <c r="C28" s="159" t="s">
        <v>128</v>
      </c>
      <c r="D28" s="149">
        <f t="shared" ref="D28:K28" si="1">SUM(D8,D11:D27)</f>
        <v>46.491330000000005</v>
      </c>
      <c r="E28" s="150">
        <f t="shared" si="1"/>
        <v>48.481030000000018</v>
      </c>
      <c r="F28" s="150">
        <f t="shared" si="1"/>
        <v>49.577030000000008</v>
      </c>
      <c r="G28" s="150">
        <f t="shared" si="1"/>
        <v>49.160000000000004</v>
      </c>
      <c r="H28" s="150">
        <f t="shared" si="1"/>
        <v>46.389999999999993</v>
      </c>
      <c r="I28" s="150">
        <f t="shared" si="1"/>
        <v>31.689999999999994</v>
      </c>
      <c r="J28" s="150">
        <f t="shared" si="1"/>
        <v>31.689999999999998</v>
      </c>
      <c r="K28" s="151">
        <f t="shared" si="1"/>
        <v>27.340000000000003</v>
      </c>
      <c r="L28" s="36"/>
    </row>
    <row r="29" spans="2:12">
      <c r="B29" s="390" t="s">
        <v>304</v>
      </c>
      <c r="C29" s="159" t="s">
        <v>128</v>
      </c>
      <c r="D29" s="407"/>
      <c r="E29" s="408"/>
      <c r="F29" s="408"/>
      <c r="G29" s="708"/>
      <c r="H29" s="708">
        <v>2.2700000000000005</v>
      </c>
      <c r="I29" s="708">
        <v>9.0299999999999994</v>
      </c>
      <c r="J29" s="708">
        <v>9.34</v>
      </c>
      <c r="K29" s="709">
        <v>11.209999999999999</v>
      </c>
      <c r="L29" s="36"/>
    </row>
    <row r="30" spans="2:12">
      <c r="B30" s="364" t="s">
        <v>303</v>
      </c>
      <c r="C30" s="159" t="s">
        <v>128</v>
      </c>
      <c r="D30" s="149">
        <f>SUM(D28:D29)</f>
        <v>46.491330000000005</v>
      </c>
      <c r="E30" s="150">
        <f t="shared" ref="E30:K30" si="2">SUM(E28:E29)</f>
        <v>48.481030000000018</v>
      </c>
      <c r="F30" s="150">
        <f t="shared" si="2"/>
        <v>49.577030000000008</v>
      </c>
      <c r="G30" s="150">
        <f t="shared" si="2"/>
        <v>49.160000000000004</v>
      </c>
      <c r="H30" s="150">
        <f t="shared" si="2"/>
        <v>48.66</v>
      </c>
      <c r="I30" s="150">
        <f t="shared" si="2"/>
        <v>40.719999999999992</v>
      </c>
      <c r="J30" s="150">
        <f t="shared" si="2"/>
        <v>41.03</v>
      </c>
      <c r="K30" s="151">
        <f t="shared" si="2"/>
        <v>38.550000000000004</v>
      </c>
    </row>
    <row r="31" spans="2:12">
      <c r="B31" s="222" t="s">
        <v>21</v>
      </c>
      <c r="C31" s="159" t="s">
        <v>128</v>
      </c>
      <c r="D31" s="613">
        <v>47.188330000000008</v>
      </c>
      <c r="E31" s="614">
        <v>48.984030000000018</v>
      </c>
      <c r="F31" s="614">
        <v>50.21003000000001</v>
      </c>
      <c r="G31" s="614">
        <v>50.341000000000001</v>
      </c>
      <c r="H31" s="614">
        <v>50.019999999999996</v>
      </c>
      <c r="I31" s="614">
        <v>42.519999999999989</v>
      </c>
      <c r="J31" s="614">
        <v>42.53</v>
      </c>
      <c r="K31" s="710">
        <v>38.21</v>
      </c>
    </row>
    <row r="32" spans="2:12">
      <c r="B32" s="222" t="s">
        <v>475</v>
      </c>
      <c r="C32" s="159" t="s">
        <v>128</v>
      </c>
      <c r="D32" s="617">
        <v>-0.69699999999999984</v>
      </c>
      <c r="E32" s="618">
        <v>-0.503</v>
      </c>
      <c r="F32" s="618">
        <v>-0.63300000000000001</v>
      </c>
      <c r="G32" s="618">
        <v>-1.181</v>
      </c>
      <c r="H32" s="618">
        <v>-1.36</v>
      </c>
      <c r="I32" s="618">
        <v>-1.8</v>
      </c>
      <c r="J32" s="618">
        <v>-1.5</v>
      </c>
      <c r="K32" s="711">
        <v>0.34</v>
      </c>
    </row>
    <row r="33" spans="2:14">
      <c r="B33" s="222"/>
      <c r="D33" s="235" t="str">
        <f>IF(ABS(D30-SUM(D31:D32))&lt;'RFPR cover'!$F$14,"OK","ERROR")</f>
        <v>OK</v>
      </c>
      <c r="E33" s="236" t="str">
        <f>IF(ABS(E30-SUM(E31:E32))&lt;'RFPR cover'!$F$14,"OK","ERROR")</f>
        <v>OK</v>
      </c>
      <c r="F33" s="236" t="str">
        <f>IF(ABS(F30-SUM(F31:F32))&lt;'RFPR cover'!$F$14,"OK","ERROR")</f>
        <v>OK</v>
      </c>
      <c r="G33" s="236" t="str">
        <f>IF(ABS(G30-SUM(G31:G32))&lt;'RFPR cover'!$F$14,"OK","ERROR")</f>
        <v>OK</v>
      </c>
      <c r="H33" s="236" t="str">
        <f>IF(ABS(H30-SUM(H31:H32))&lt;'RFPR cover'!$F$14,"OK","ERROR")</f>
        <v>OK</v>
      </c>
      <c r="I33" s="236" t="str">
        <f>IF(ABS(I30-SUM(I31:I32))&lt;'RFPR cover'!$F$14,"OK","ERROR")</f>
        <v>OK</v>
      </c>
      <c r="J33" s="236" t="str">
        <f>IF(ABS(J30-SUM(J31:J32))&lt;'RFPR cover'!$F$14,"OK","ERROR")</f>
        <v>OK</v>
      </c>
      <c r="K33" s="237" t="str">
        <f>IF(ABS(K30-SUM(K31:K32))&lt;'RFPR cover'!$F$14,"OK","ERROR")</f>
        <v>OK</v>
      </c>
    </row>
    <row r="34" spans="2:14">
      <c r="D34" s="23"/>
      <c r="E34" s="23"/>
      <c r="F34" s="23"/>
      <c r="G34" s="23"/>
      <c r="H34" s="23"/>
      <c r="I34" s="23"/>
      <c r="J34" s="23"/>
      <c r="K34" s="23"/>
    </row>
    <row r="35" spans="2:14">
      <c r="B35" s="222" t="s">
        <v>538</v>
      </c>
      <c r="C35" s="159" t="s">
        <v>128</v>
      </c>
      <c r="D35" s="613">
        <v>0</v>
      </c>
      <c r="E35" s="614">
        <v>0</v>
      </c>
      <c r="F35" s="614">
        <v>0</v>
      </c>
      <c r="G35" s="614">
        <v>0</v>
      </c>
      <c r="H35" s="614">
        <v>0</v>
      </c>
      <c r="I35" s="614">
        <v>0</v>
      </c>
      <c r="J35" s="614">
        <v>0</v>
      </c>
      <c r="K35" s="710">
        <v>0</v>
      </c>
    </row>
    <row r="36" spans="2:14">
      <c r="D36" s="23"/>
      <c r="E36" s="23"/>
      <c r="F36" s="23"/>
      <c r="G36" s="23"/>
      <c r="H36" s="23"/>
      <c r="I36" s="23"/>
      <c r="J36" s="23"/>
      <c r="K36" s="23"/>
    </row>
    <row r="37" spans="2:14">
      <c r="B37" s="222" t="s">
        <v>82</v>
      </c>
      <c r="C37" s="159" t="s">
        <v>128</v>
      </c>
      <c r="D37" s="918">
        <f>('R8 - Net Debt'!D54-AVERAGE('R8 - Net Debt'!D8,'R8 - Net Debt'!D10))*(Data!C36-1)</f>
        <v>8.6493710576305833</v>
      </c>
      <c r="E37" s="918">
        <f>('R8 - Net Debt'!E54-AVERAGE('R8 - Net Debt'!E8,'R8 - Net Debt'!E10))*(Data!D36-1)</f>
        <v>17.807321928975966</v>
      </c>
      <c r="F37" s="918">
        <f>('R8 - Net Debt'!F54-AVERAGE('R8 - Net Debt'!F8,'R8 - Net Debt'!F10))*(Data!E36-1)</f>
        <v>30.792541812583089</v>
      </c>
      <c r="G37" s="918">
        <f>('R8 - Net Debt'!G54-AVERAGE('R8 - Net Debt'!G8,'R8 - Net Debt'!G10))*(Data!F36-1)</f>
        <v>25.352350604565739</v>
      </c>
      <c r="H37" s="918">
        <f>('R8 - Net Debt'!H54-AVERAGE('R8 - Net Debt'!H8,'R8 - Net Debt'!H10))*(Data!G36-1)</f>
        <v>22.739456250000096</v>
      </c>
      <c r="I37" s="918">
        <f>('R8 - Net Debt'!I54-AVERAGE('R8 - Net Debt'!I8,'R8 - Net Debt'!I10))*(Data!H36-1)</f>
        <v>25.553309999999946</v>
      </c>
      <c r="J37" s="918">
        <f>('R8 - Net Debt'!J54-AVERAGE('R8 - Net Debt'!J8,'R8 - Net Debt'!J10))*(Data!I36-1)</f>
        <v>29.41842750000011</v>
      </c>
      <c r="K37" s="918">
        <f>('R8 - Net Debt'!K54-AVERAGE('R8 - Net Debt'!K8,'R8 - Net Debt'!K10))*(Data!J36-1)</f>
        <v>31.100396250000056</v>
      </c>
      <c r="N37" s="340"/>
    </row>
    <row r="38" spans="2:14" s="32" customFormat="1">
      <c r="B38" s="221"/>
      <c r="C38" s="857"/>
      <c r="D38" s="859"/>
      <c r="E38" s="859"/>
      <c r="F38" s="859"/>
      <c r="G38" s="859"/>
      <c r="H38" s="859"/>
      <c r="I38" s="859"/>
      <c r="J38" s="859"/>
      <c r="K38" s="859"/>
      <c r="L38"/>
      <c r="M38"/>
      <c r="N38" s="858"/>
    </row>
    <row r="39" spans="2:14">
      <c r="B39" s="222" t="s">
        <v>489</v>
      </c>
      <c r="C39" s="159" t="s">
        <v>128</v>
      </c>
      <c r="D39" s="103">
        <f t="shared" ref="D39:K39" si="3">D30-D37</f>
        <v>37.841958942369423</v>
      </c>
      <c r="E39" s="103">
        <f t="shared" si="3"/>
        <v>30.673708071024052</v>
      </c>
      <c r="F39" s="103">
        <f t="shared" si="3"/>
        <v>18.784488187416919</v>
      </c>
      <c r="G39" s="103">
        <f t="shared" si="3"/>
        <v>23.807649395434265</v>
      </c>
      <c r="H39" s="103">
        <f t="shared" si="3"/>
        <v>25.920543749999901</v>
      </c>
      <c r="I39" s="103">
        <f t="shared" si="3"/>
        <v>15.166690000000045</v>
      </c>
      <c r="J39" s="103">
        <f t="shared" si="3"/>
        <v>11.611572499999891</v>
      </c>
      <c r="K39" s="103">
        <f t="shared" si="3"/>
        <v>7.4496037499999481</v>
      </c>
    </row>
    <row r="40" spans="2:14">
      <c r="B40" s="222"/>
      <c r="C40" s="159"/>
      <c r="D40" s="159"/>
      <c r="E40" s="159"/>
      <c r="F40" s="159"/>
      <c r="G40" s="159"/>
      <c r="H40" s="159"/>
      <c r="I40" s="159"/>
      <c r="J40" s="159"/>
      <c r="K40" s="159"/>
      <c r="L40" s="159"/>
      <c r="N40" s="340"/>
    </row>
    <row r="41" spans="2:14">
      <c r="B41" s="887" t="s">
        <v>379</v>
      </c>
      <c r="C41" s="159" t="s">
        <v>127</v>
      </c>
      <c r="D41" s="530">
        <f>Data!C34</f>
        <v>1.0603167467048125</v>
      </c>
      <c r="E41" s="530">
        <f>Data!D34</f>
        <v>1.0830366813119445</v>
      </c>
      <c r="F41" s="530">
        <f>Data!E34</f>
        <v>1.1235639113109226</v>
      </c>
      <c r="G41" s="530">
        <f>Data!F34</f>
        <v>1.1578951670583426</v>
      </c>
      <c r="H41" s="530">
        <f>Data!G34</f>
        <v>1.1882899151936241</v>
      </c>
      <c r="I41" s="530">
        <f>Data!H34</f>
        <v>1.2212649603402472</v>
      </c>
      <c r="J41" s="530">
        <f>Data!I34</f>
        <v>1.2582082253905398</v>
      </c>
      <c r="K41" s="530">
        <f>Data!J34</f>
        <v>1.296898128321299</v>
      </c>
      <c r="L41" s="159"/>
      <c r="N41" s="340"/>
    </row>
    <row r="42" spans="2:14">
      <c r="L42" s="162"/>
      <c r="M42" s="162"/>
      <c r="N42" s="162"/>
    </row>
    <row r="43" spans="2:14">
      <c r="B43" s="868" t="s">
        <v>435</v>
      </c>
      <c r="C43" s="163" t="str">
        <f>'RFPR cover'!$C$14</f>
        <v>£m 12/13</v>
      </c>
      <c r="D43" s="152">
        <f t="shared" ref="D43:K43" si="4">D39/D41</f>
        <v>35.689296674764734</v>
      </c>
      <c r="E43" s="153">
        <f t="shared" si="4"/>
        <v>28.321947539087251</v>
      </c>
      <c r="F43" s="153">
        <f t="shared" si="4"/>
        <v>16.718664597815398</v>
      </c>
      <c r="G43" s="153">
        <f t="shared" si="4"/>
        <v>20.561144111101271</v>
      </c>
      <c r="H43" s="153">
        <f t="shared" si="4"/>
        <v>21.813316277935687</v>
      </c>
      <c r="I43" s="153">
        <f t="shared" si="4"/>
        <v>12.418836610013416</v>
      </c>
      <c r="J43" s="153">
        <f t="shared" si="4"/>
        <v>9.2286572807896992</v>
      </c>
      <c r="K43" s="154">
        <f t="shared" si="4"/>
        <v>5.7441703302037244</v>
      </c>
      <c r="L43" s="717">
        <f>SUM(D43:INDEX(D43:K43,0,MATCH('RFPR cover'!$C$7,$D$6:$K$6,0)))</f>
        <v>101.29105292276864</v>
      </c>
      <c r="M43" s="718">
        <f>SUM(D43:K43)</f>
        <v>150.49603342171116</v>
      </c>
    </row>
    <row r="44" spans="2:14">
      <c r="B44" s="222"/>
      <c r="C44" s="66"/>
      <c r="D44" s="840"/>
      <c r="E44" s="840"/>
      <c r="F44" s="840"/>
      <c r="G44" s="840"/>
      <c r="H44" s="840"/>
      <c r="I44" s="840"/>
      <c r="J44" s="840"/>
      <c r="K44" s="840"/>
      <c r="L44" s="863"/>
      <c r="M44" s="863"/>
    </row>
    <row r="45" spans="2:14">
      <c r="B45" s="868" t="s">
        <v>526</v>
      </c>
      <c r="C45" s="159"/>
      <c r="D45" s="840"/>
      <c r="E45" s="840"/>
      <c r="F45" s="840"/>
      <c r="G45" s="840"/>
      <c r="H45" s="840"/>
      <c r="I45" s="840"/>
      <c r="J45" s="840"/>
      <c r="K45" s="840"/>
      <c r="L45" s="863"/>
      <c r="M45" s="863"/>
    </row>
    <row r="46" spans="2:14">
      <c r="B46" s="389" t="s">
        <v>510</v>
      </c>
      <c r="C46" s="159" t="s">
        <v>128</v>
      </c>
      <c r="D46" s="915">
        <v>0.96299999999999997</v>
      </c>
      <c r="E46" s="915">
        <v>0.78500000000000003</v>
      </c>
      <c r="F46" s="915">
        <v>0.80100000000000005</v>
      </c>
      <c r="G46" s="915">
        <v>0.81700000000000006</v>
      </c>
      <c r="H46" s="915">
        <v>0.77</v>
      </c>
      <c r="I46" s="915">
        <v>0.55000000000000004</v>
      </c>
      <c r="J46" s="915">
        <v>0.56999999999999995</v>
      </c>
      <c r="K46" s="915">
        <v>0.56999999999999995</v>
      </c>
      <c r="L46" s="916">
        <f>SUM(D46:INDEX(D46:K46,0,MATCH('RFPR cover'!$C$7,$D$6:$K$6,0)))</f>
        <v>3.3660000000000001</v>
      </c>
      <c r="M46" s="917">
        <f>SUM(D46:K46)</f>
        <v>5.8260000000000005</v>
      </c>
    </row>
    <row r="47" spans="2:14">
      <c r="B47" s="389" t="s">
        <v>529</v>
      </c>
      <c r="C47" s="159" t="s">
        <v>128</v>
      </c>
      <c r="D47" s="915">
        <v>0</v>
      </c>
      <c r="E47" s="915">
        <v>0</v>
      </c>
      <c r="F47" s="915">
        <v>0</v>
      </c>
      <c r="G47" s="915">
        <v>0</v>
      </c>
      <c r="H47" s="915">
        <v>0</v>
      </c>
      <c r="I47" s="915">
        <v>0</v>
      </c>
      <c r="J47" s="915">
        <v>0</v>
      </c>
      <c r="K47" s="915">
        <v>0</v>
      </c>
      <c r="L47" s="916">
        <f>SUM(D47:INDEX(D47:K47,0,MATCH('RFPR cover'!$C$7,$D$6:$K$6,0)))</f>
        <v>0</v>
      </c>
      <c r="M47" s="917">
        <f t="shared" ref="M47:M54" si="5">SUM(D47:K47)</f>
        <v>0</v>
      </c>
    </row>
    <row r="48" spans="2:14">
      <c r="B48" s="389" t="s">
        <v>530</v>
      </c>
      <c r="C48" s="159" t="s">
        <v>128</v>
      </c>
      <c r="D48" s="915">
        <v>0</v>
      </c>
      <c r="E48" s="915">
        <v>0</v>
      </c>
      <c r="F48" s="915">
        <v>0</v>
      </c>
      <c r="G48" s="915">
        <v>0</v>
      </c>
      <c r="H48" s="915">
        <v>0</v>
      </c>
      <c r="I48" s="915">
        <v>0</v>
      </c>
      <c r="J48" s="915">
        <v>0</v>
      </c>
      <c r="K48" s="915">
        <v>0</v>
      </c>
      <c r="L48" s="916">
        <f>SUM(D48:INDEX(D48:K48,0,MATCH('RFPR cover'!$C$7,$D$6:$K$6,0)))</f>
        <v>0</v>
      </c>
      <c r="M48" s="917">
        <f t="shared" si="5"/>
        <v>0</v>
      </c>
    </row>
    <row r="49" spans="1:14">
      <c r="B49" s="389" t="s">
        <v>511</v>
      </c>
      <c r="C49" s="159" t="s">
        <v>128</v>
      </c>
      <c r="D49" s="915">
        <v>0</v>
      </c>
      <c r="E49" s="915">
        <v>0</v>
      </c>
      <c r="F49" s="915">
        <v>0</v>
      </c>
      <c r="G49" s="915">
        <v>0</v>
      </c>
      <c r="H49" s="915">
        <v>0</v>
      </c>
      <c r="I49" s="915">
        <v>0</v>
      </c>
      <c r="J49" s="915">
        <v>0</v>
      </c>
      <c r="K49" s="915">
        <v>0</v>
      </c>
      <c r="L49" s="916">
        <f>SUM(D49:INDEX(D49:K49,0,MATCH('RFPR cover'!$C$7,$D$6:$K$6,0)))</f>
        <v>0</v>
      </c>
      <c r="M49" s="917">
        <f t="shared" si="5"/>
        <v>0</v>
      </c>
    </row>
    <row r="50" spans="1:14">
      <c r="B50" s="389" t="s">
        <v>511</v>
      </c>
      <c r="C50" s="159" t="s">
        <v>128</v>
      </c>
      <c r="D50" s="915">
        <v>0</v>
      </c>
      <c r="E50" s="915">
        <v>0</v>
      </c>
      <c r="F50" s="915">
        <v>0</v>
      </c>
      <c r="G50" s="915">
        <v>0</v>
      </c>
      <c r="H50" s="915">
        <v>0</v>
      </c>
      <c r="I50" s="915">
        <v>0</v>
      </c>
      <c r="J50" s="915">
        <v>0</v>
      </c>
      <c r="K50" s="915">
        <v>0</v>
      </c>
      <c r="L50" s="916">
        <f>SUM(D50:INDEX(D50:K50,0,MATCH('RFPR cover'!$C$7,$D$6:$K$6,0)))</f>
        <v>0</v>
      </c>
      <c r="M50" s="917">
        <f t="shared" si="5"/>
        <v>0</v>
      </c>
    </row>
    <row r="51" spans="1:14">
      <c r="B51" s="389" t="s">
        <v>511</v>
      </c>
      <c r="C51" s="159" t="s">
        <v>128</v>
      </c>
      <c r="D51" s="915">
        <v>0</v>
      </c>
      <c r="E51" s="915">
        <v>0</v>
      </c>
      <c r="F51" s="915">
        <v>0</v>
      </c>
      <c r="G51" s="915">
        <v>0</v>
      </c>
      <c r="H51" s="915">
        <v>0</v>
      </c>
      <c r="I51" s="915">
        <v>0</v>
      </c>
      <c r="J51" s="915">
        <v>0</v>
      </c>
      <c r="K51" s="915">
        <v>0</v>
      </c>
      <c r="L51" s="916">
        <f>SUM(D51:INDEX(D51:K51,0,MATCH('RFPR cover'!$C$7,$D$6:$K$6,0)))</f>
        <v>0</v>
      </c>
      <c r="M51" s="917">
        <f t="shared" si="5"/>
        <v>0</v>
      </c>
    </row>
    <row r="52" spans="1:14">
      <c r="B52" s="389" t="s">
        <v>511</v>
      </c>
      <c r="C52" s="159" t="s">
        <v>128</v>
      </c>
      <c r="D52" s="915">
        <v>0</v>
      </c>
      <c r="E52" s="915">
        <v>0</v>
      </c>
      <c r="F52" s="915">
        <v>0</v>
      </c>
      <c r="G52" s="915">
        <v>0</v>
      </c>
      <c r="H52" s="915">
        <v>0</v>
      </c>
      <c r="I52" s="915">
        <v>0</v>
      </c>
      <c r="J52" s="915">
        <v>0</v>
      </c>
      <c r="K52" s="915">
        <v>0</v>
      </c>
      <c r="L52" s="916">
        <f>SUM(D52:INDEX(D52:K52,0,MATCH('RFPR cover'!$C$7,$D$6:$K$6,0)))</f>
        <v>0</v>
      </c>
      <c r="M52" s="917">
        <f t="shared" si="5"/>
        <v>0</v>
      </c>
    </row>
    <row r="53" spans="1:14" s="899" customFormat="1">
      <c r="B53" s="898"/>
      <c r="C53" s="900"/>
      <c r="D53" s="901"/>
      <c r="E53" s="901"/>
      <c r="F53" s="901"/>
      <c r="G53" s="901"/>
      <c r="H53" s="901"/>
      <c r="I53" s="901"/>
      <c r="J53" s="901"/>
      <c r="K53" s="901"/>
      <c r="L53" s="902"/>
      <c r="M53" s="902"/>
    </row>
    <row r="54" spans="1:14">
      <c r="B54" s="893" t="s">
        <v>527</v>
      </c>
      <c r="C54" s="244" t="s">
        <v>128</v>
      </c>
      <c r="D54" s="152">
        <f>SUM(D46:D52)</f>
        <v>0.96299999999999997</v>
      </c>
      <c r="E54" s="152">
        <f t="shared" ref="E54:K54" si="6">SUM(E46:E52)</f>
        <v>0.78500000000000003</v>
      </c>
      <c r="F54" s="152">
        <f t="shared" si="6"/>
        <v>0.80100000000000005</v>
      </c>
      <c r="G54" s="152">
        <f t="shared" si="6"/>
        <v>0.81700000000000006</v>
      </c>
      <c r="H54" s="152">
        <f t="shared" si="6"/>
        <v>0.77</v>
      </c>
      <c r="I54" s="152">
        <f t="shared" si="6"/>
        <v>0.55000000000000004</v>
      </c>
      <c r="J54" s="152">
        <f t="shared" si="6"/>
        <v>0.56999999999999995</v>
      </c>
      <c r="K54" s="152">
        <f t="shared" si="6"/>
        <v>0.56999999999999995</v>
      </c>
      <c r="L54" s="717">
        <f>SUM(D54:INDEX(D54:K54,0,MATCH('RFPR cover'!$C$7,$D$6:$K$6,0)))</f>
        <v>3.3660000000000001</v>
      </c>
      <c r="M54" s="718">
        <f t="shared" si="5"/>
        <v>5.8260000000000005</v>
      </c>
    </row>
    <row r="55" spans="1:14">
      <c r="B55" s="893" t="s">
        <v>527</v>
      </c>
      <c r="C55" s="163" t="str">
        <f>'RFPR cover'!$C$14</f>
        <v>£m 12/13</v>
      </c>
      <c r="D55" s="152">
        <f>D54/D41</f>
        <v>0.90821917412202768</v>
      </c>
      <c r="E55" s="152">
        <f t="shared" ref="E55:K55" si="7">E54/E41</f>
        <v>0.72481386230527711</v>
      </c>
      <c r="F55" s="152">
        <f t="shared" si="7"/>
        <v>0.71291004627002497</v>
      </c>
      <c r="G55" s="152">
        <f t="shared" si="7"/>
        <v>0.70559064692843132</v>
      </c>
      <c r="H55" s="152">
        <f t="shared" si="7"/>
        <v>0.64799001502468656</v>
      </c>
      <c r="I55" s="152">
        <f t="shared" si="7"/>
        <v>0.45035272267761517</v>
      </c>
      <c r="J55" s="152">
        <f t="shared" si="7"/>
        <v>0.4530251738126061</v>
      </c>
      <c r="K55" s="152">
        <f t="shared" si="7"/>
        <v>0.43951023411361245</v>
      </c>
      <c r="L55" s="717">
        <f>SUM(D55:INDEX(D55:K55,0,MATCH('RFPR cover'!$C$7,$D$6:$K$6,0)))</f>
        <v>3.0515337296257612</v>
      </c>
      <c r="M55" s="718">
        <f>SUM(D55:K55)</f>
        <v>5.0424118752542819</v>
      </c>
    </row>
    <row r="56" spans="1:14">
      <c r="B56" s="222"/>
      <c r="C56" s="66"/>
      <c r="D56" s="840"/>
      <c r="E56" s="840"/>
      <c r="F56" s="840"/>
      <c r="G56" s="840"/>
      <c r="H56" s="840"/>
      <c r="I56" s="840"/>
      <c r="J56" s="840"/>
      <c r="K56" s="840"/>
      <c r="L56" s="863"/>
      <c r="M56" s="863"/>
    </row>
    <row r="57" spans="1:14" s="2" customFormat="1">
      <c r="A57" s="1"/>
    </row>
    <row r="58" spans="1:14" s="2" customFormat="1">
      <c r="A58" s="1"/>
      <c r="B58" s="864" t="s">
        <v>445</v>
      </c>
      <c r="C58" s="81"/>
      <c r="D58" s="81"/>
      <c r="E58" s="81"/>
      <c r="F58" s="81"/>
      <c r="G58" s="81"/>
      <c r="H58" s="81"/>
      <c r="I58" s="81"/>
      <c r="J58" s="81"/>
      <c r="K58" s="81"/>
      <c r="L58" s="81"/>
      <c r="M58" s="81"/>
      <c r="N58" s="81"/>
    </row>
    <row r="59" spans="1:14" s="2" customFormat="1">
      <c r="A59" s="1"/>
      <c r="B59" s="388" t="s">
        <v>446</v>
      </c>
    </row>
    <row r="60" spans="1:14" s="2" customFormat="1">
      <c r="A60" s="1"/>
    </row>
    <row r="61" spans="1:14" s="32" customFormat="1">
      <c r="B61" s="222" t="s">
        <v>115</v>
      </c>
      <c r="C61" s="162" t="s">
        <v>7</v>
      </c>
      <c r="D61" s="926">
        <f>'RFPR cover'!$C$12</f>
        <v>0.65</v>
      </c>
      <c r="E61" s="927">
        <f>'RFPR cover'!$C$12</f>
        <v>0.65</v>
      </c>
      <c r="F61" s="927">
        <f>'RFPR cover'!$C$12</f>
        <v>0.65</v>
      </c>
      <c r="G61" s="927">
        <f>'RFPR cover'!$C$12</f>
        <v>0.65</v>
      </c>
      <c r="H61" s="927">
        <f>'RFPR cover'!$C$12</f>
        <v>0.65</v>
      </c>
      <c r="I61" s="927">
        <f>'RFPR cover'!$C$12</f>
        <v>0.65</v>
      </c>
      <c r="J61" s="927">
        <f>'RFPR cover'!$C$12</f>
        <v>0.65</v>
      </c>
      <c r="K61" s="928">
        <f>'RFPR cover'!$C$12</f>
        <v>0.65</v>
      </c>
      <c r="N61" s="858"/>
    </row>
    <row r="62" spans="1:14" s="32" customFormat="1">
      <c r="B62" s="222" t="s">
        <v>408</v>
      </c>
      <c r="C62" s="162" t="s">
        <v>7</v>
      </c>
      <c r="D62" s="927">
        <f>'R8 - Net Debt'!D64</f>
        <v>0.50796480907353903</v>
      </c>
      <c r="E62" s="927">
        <f>'R8 - Net Debt'!E64</f>
        <v>0.49895526062470108</v>
      </c>
      <c r="F62" s="927">
        <f>'R8 - Net Debt'!F64</f>
        <v>0.47609288290097451</v>
      </c>
      <c r="G62" s="927">
        <f>'R8 - Net Debt'!G64</f>
        <v>0.46572632035019268</v>
      </c>
      <c r="H62" s="927">
        <f>'R8 - Net Debt'!H64</f>
        <v>0.46413243928924452</v>
      </c>
      <c r="I62" s="927">
        <f>'R8 - Net Debt'!I64</f>
        <v>0.46938704463001618</v>
      </c>
      <c r="J62" s="927">
        <f>'R8 - Net Debt'!J64</f>
        <v>0.47494533530155286</v>
      </c>
      <c r="K62" s="928">
        <f>'R8 - Net Debt'!K64</f>
        <v>0.47118617491000719</v>
      </c>
      <c r="N62" s="858"/>
    </row>
    <row r="63" spans="1:14" s="32" customFormat="1">
      <c r="B63" s="222"/>
      <c r="C63" s="162"/>
      <c r="D63" s="162"/>
      <c r="E63" s="162"/>
      <c r="F63" s="162"/>
      <c r="G63" s="162"/>
      <c r="H63" s="162"/>
      <c r="I63" s="162"/>
      <c r="J63" s="162"/>
      <c r="K63" s="162"/>
      <c r="N63" s="858"/>
    </row>
    <row r="64" spans="1:14">
      <c r="B64" s="222" t="s">
        <v>435</v>
      </c>
      <c r="C64" s="159" t="s">
        <v>128</v>
      </c>
      <c r="D64" s="96">
        <f t="shared" ref="D64:K64" si="8">D39</f>
        <v>37.841958942369423</v>
      </c>
      <c r="E64" s="97">
        <f t="shared" si="8"/>
        <v>30.673708071024052</v>
      </c>
      <c r="F64" s="97">
        <f t="shared" si="8"/>
        <v>18.784488187416919</v>
      </c>
      <c r="G64" s="97">
        <f t="shared" si="8"/>
        <v>23.807649395434265</v>
      </c>
      <c r="H64" s="97">
        <f t="shared" si="8"/>
        <v>25.920543749999901</v>
      </c>
      <c r="I64" s="97">
        <f t="shared" si="8"/>
        <v>15.166690000000045</v>
      </c>
      <c r="J64" s="97">
        <f t="shared" si="8"/>
        <v>11.611572499999891</v>
      </c>
      <c r="K64" s="98">
        <f t="shared" si="8"/>
        <v>7.4496037499999481</v>
      </c>
      <c r="L64" s="32"/>
      <c r="M64" s="32"/>
    </row>
    <row r="65" spans="2:15" s="32" customFormat="1">
      <c r="B65" s="222" t="s">
        <v>453</v>
      </c>
      <c r="C65" s="159" t="s">
        <v>128</v>
      </c>
      <c r="D65" s="96">
        <f>((D61-D62)/D62)*D64</f>
        <v>10.581224855347424</v>
      </c>
      <c r="E65" s="96">
        <f t="shared" ref="E65:K65" si="9">((E61-E62)/E62)*E64</f>
        <v>9.28560656011744</v>
      </c>
      <c r="F65" s="96">
        <f t="shared" si="9"/>
        <v>6.8615942480573651</v>
      </c>
      <c r="G65" s="96">
        <f t="shared" si="9"/>
        <v>9.4199596763403495</v>
      </c>
      <c r="H65" s="96">
        <f t="shared" si="9"/>
        <v>10.38020149267456</v>
      </c>
      <c r="I65" s="96">
        <f t="shared" si="9"/>
        <v>5.8359103333147617</v>
      </c>
      <c r="J65" s="96">
        <f t="shared" si="9"/>
        <v>4.2797765964342229</v>
      </c>
      <c r="K65" s="96">
        <f t="shared" si="9"/>
        <v>2.8271036224623192</v>
      </c>
      <c r="N65" s="858"/>
    </row>
    <row r="66" spans="2:15">
      <c r="B66" s="222" t="s">
        <v>452</v>
      </c>
      <c r="C66" s="159" t="s">
        <v>128</v>
      </c>
      <c r="D66" s="103">
        <f>SUM(D64:D65)</f>
        <v>48.423183797716845</v>
      </c>
      <c r="E66" s="104">
        <f t="shared" ref="E66:K66" si="10">SUM(E64:E65)</f>
        <v>39.959314631141496</v>
      </c>
      <c r="F66" s="104">
        <f t="shared" si="10"/>
        <v>25.646082435474284</v>
      </c>
      <c r="G66" s="104">
        <f t="shared" si="10"/>
        <v>33.227609071774616</v>
      </c>
      <c r="H66" s="104">
        <f t="shared" si="10"/>
        <v>36.300745242674459</v>
      </c>
      <c r="I66" s="104">
        <f t="shared" si="10"/>
        <v>21.002600333314806</v>
      </c>
      <c r="J66" s="104">
        <f t="shared" si="10"/>
        <v>15.891349096434114</v>
      </c>
      <c r="K66" s="105">
        <f t="shared" si="10"/>
        <v>10.276707372462267</v>
      </c>
      <c r="L66" s="32"/>
      <c r="M66" s="32"/>
    </row>
    <row r="67" spans="2:15">
      <c r="B67" s="222"/>
      <c r="C67" s="159"/>
      <c r="D67" s="159"/>
      <c r="E67" s="159"/>
      <c r="F67" s="159"/>
      <c r="G67" s="159"/>
      <c r="H67" s="159"/>
      <c r="I67" s="159"/>
      <c r="J67" s="159"/>
      <c r="K67" s="159"/>
      <c r="L67" s="159"/>
      <c r="M67" s="159"/>
      <c r="N67" s="159"/>
      <c r="O67" s="159"/>
    </row>
    <row r="68" spans="2:15">
      <c r="B68" s="868" t="s">
        <v>452</v>
      </c>
      <c r="C68" s="163" t="str">
        <f>'RFPR cover'!$C$14</f>
        <v>£m 12/13</v>
      </c>
      <c r="D68" s="152">
        <f t="shared" ref="D68:K68" si="11">D66/D41</f>
        <v>45.668602281538469</v>
      </c>
      <c r="E68" s="153">
        <f t="shared" si="11"/>
        <v>36.8956244240375</v>
      </c>
      <c r="F68" s="153">
        <f t="shared" si="11"/>
        <v>22.825655200647748</v>
      </c>
      <c r="G68" s="153">
        <f t="shared" si="11"/>
        <v>28.696560808859807</v>
      </c>
      <c r="H68" s="153">
        <f t="shared" si="11"/>
        <v>30.548727863906418</v>
      </c>
      <c r="I68" s="153">
        <f t="shared" si="11"/>
        <v>17.197414988032929</v>
      </c>
      <c r="J68" s="153">
        <f t="shared" si="11"/>
        <v>12.630142432506782</v>
      </c>
      <c r="K68" s="154">
        <f t="shared" si="11"/>
        <v>7.9240667775227696</v>
      </c>
      <c r="L68" s="717">
        <f>SUM(D68:INDEX(D68:K68,0,MATCH('RFPR cover'!$C$7,$D$6:$K$6,0)))</f>
        <v>134.08644271508354</v>
      </c>
      <c r="M68" s="718">
        <f>SUM(D68:K68)</f>
        <v>202.38679477705242</v>
      </c>
    </row>
    <row r="69" spans="2:15">
      <c r="B69" s="391" t="s">
        <v>528</v>
      </c>
      <c r="C69" s="166" t="str">
        <f>'RFPR cover'!$C$14</f>
        <v>£m 12/13</v>
      </c>
      <c r="D69" s="96">
        <f>D55*((D61-D62)/D62)+D55</f>
        <v>1.1621719706450238</v>
      </c>
      <c r="E69" s="96">
        <f t="shared" ref="E69:K69" si="12">E55*((E61-E62)/E62)+E55</f>
        <v>0.9442309715475653</v>
      </c>
      <c r="F69" s="96">
        <f t="shared" si="12"/>
        <v>0.97332169145637049</v>
      </c>
      <c r="G69" s="96">
        <f t="shared" si="12"/>
        <v>0.98477131410271301</v>
      </c>
      <c r="H69" s="96">
        <f t="shared" si="12"/>
        <v>0.90748560995013983</v>
      </c>
      <c r="I69" s="96">
        <f t="shared" si="12"/>
        <v>0.62364156209549237</v>
      </c>
      <c r="J69" s="96">
        <f t="shared" si="12"/>
        <v>0.6200005370959818</v>
      </c>
      <c r="K69" s="96">
        <f t="shared" si="12"/>
        <v>0.60630312896682725</v>
      </c>
      <c r="L69" s="713">
        <f>SUM(D69:INDEX(D69:K69,0,MATCH('RFPR cover'!$C$7,$D$6:$K$6,0)))</f>
        <v>4.0644959477516727</v>
      </c>
      <c r="M69" s="714">
        <f>SUM(D69:K69)</f>
        <v>6.8219267858601134</v>
      </c>
      <c r="N69" s="162"/>
    </row>
    <row r="71" spans="2:15">
      <c r="B71" s="860" t="s">
        <v>317</v>
      </c>
      <c r="C71" s="861"/>
      <c r="D71" s="861"/>
      <c r="E71" s="861"/>
      <c r="F71" s="861"/>
      <c r="G71" s="861"/>
      <c r="H71" s="861"/>
      <c r="I71" s="861"/>
      <c r="J71" s="861"/>
      <c r="K71" s="861"/>
      <c r="L71" s="861"/>
      <c r="M71" s="861"/>
      <c r="N71" s="861"/>
      <c r="O71" s="162"/>
    </row>
    <row r="72" spans="2:15" s="32" customFormat="1">
      <c r="B72" s="862"/>
      <c r="C72" s="66"/>
      <c r="D72" s="66"/>
      <c r="E72" s="66"/>
      <c r="F72" s="66"/>
      <c r="G72" s="66"/>
      <c r="H72" s="66"/>
      <c r="I72" s="66"/>
      <c r="J72" s="66"/>
      <c r="K72" s="66"/>
      <c r="L72" s="66"/>
      <c r="M72" s="66"/>
      <c r="N72" s="66"/>
      <c r="O72" s="66"/>
    </row>
    <row r="73" spans="2:15">
      <c r="B73" s="388" t="s">
        <v>482</v>
      </c>
      <c r="C73" s="387"/>
      <c r="D73" s="387"/>
      <c r="E73" s="387"/>
      <c r="F73" s="387"/>
      <c r="G73" s="387"/>
      <c r="H73" s="387"/>
      <c r="I73" s="387"/>
      <c r="J73" s="387"/>
      <c r="K73" s="387"/>
      <c r="L73" s="387"/>
      <c r="M73" s="387"/>
      <c r="N73" s="387"/>
      <c r="O73" s="162"/>
    </row>
    <row r="74" spans="2:15">
      <c r="B74" s="388" t="s">
        <v>346</v>
      </c>
      <c r="C74" s="387"/>
      <c r="D74" s="387"/>
      <c r="E74" s="387"/>
      <c r="F74" s="387"/>
      <c r="G74" s="387"/>
      <c r="H74" s="387"/>
      <c r="I74" s="387"/>
      <c r="J74" s="387"/>
      <c r="K74" s="387"/>
      <c r="L74" s="387"/>
      <c r="M74" s="387"/>
      <c r="N74" s="387"/>
      <c r="O74" s="162"/>
    </row>
    <row r="75" spans="2:15">
      <c r="B75" s="388" t="s">
        <v>347</v>
      </c>
      <c r="C75" s="387"/>
      <c r="D75" s="387"/>
      <c r="E75" s="387"/>
      <c r="F75" s="387"/>
      <c r="G75" s="387"/>
      <c r="H75" s="387"/>
      <c r="I75" s="387"/>
      <c r="J75" s="387"/>
      <c r="K75" s="387"/>
      <c r="L75" s="387"/>
      <c r="M75" s="387"/>
      <c r="N75" s="387"/>
      <c r="O75" s="162"/>
    </row>
    <row r="76" spans="2:15">
      <c r="B76" s="388" t="s">
        <v>534</v>
      </c>
      <c r="C76" s="387"/>
      <c r="D76" s="387"/>
      <c r="E76" s="387"/>
      <c r="F76" s="387"/>
      <c r="G76" s="387"/>
      <c r="H76" s="387"/>
      <c r="I76" s="387"/>
      <c r="J76" s="387"/>
      <c r="K76" s="387"/>
      <c r="L76" s="387"/>
      <c r="M76" s="387"/>
      <c r="N76" s="387"/>
      <c r="O76" s="162"/>
    </row>
    <row r="77" spans="2:15" s="32" customFormat="1">
      <c r="B77" s="392"/>
      <c r="C77" s="392"/>
      <c r="D77" s="392"/>
      <c r="E77" s="392"/>
      <c r="F77" s="392"/>
      <c r="G77" s="392"/>
      <c r="H77" s="392"/>
      <c r="I77" s="392"/>
      <c r="J77" s="392"/>
      <c r="K77" s="392"/>
      <c r="L77" s="392"/>
      <c r="M77" s="392"/>
      <c r="N77" s="392"/>
      <c r="O77" s="66"/>
    </row>
    <row r="78" spans="2:15">
      <c r="B78" s="391" t="s">
        <v>233</v>
      </c>
      <c r="C78" s="162" t="str">
        <f>'RFPR cover'!$C$14</f>
        <v>£m 12/13</v>
      </c>
      <c r="D78" s="624">
        <v>24.515547037464778</v>
      </c>
      <c r="E78" s="624">
        <v>23.698616270196741</v>
      </c>
      <c r="F78" s="624">
        <v>22.668182565629547</v>
      </c>
      <c r="G78" s="624">
        <v>20.955529192429225</v>
      </c>
      <c r="H78" s="624">
        <v>19.717251544397097</v>
      </c>
      <c r="I78" s="624"/>
      <c r="J78" s="936"/>
      <c r="K78" s="939"/>
      <c r="L78" s="937"/>
      <c r="M78" s="937"/>
      <c r="O78" s="66"/>
    </row>
    <row r="79" spans="2:15">
      <c r="B79" s="391" t="s">
        <v>316</v>
      </c>
      <c r="C79" s="162" t="str">
        <f>'RFPR cover'!$C$14</f>
        <v>£m 12/13</v>
      </c>
      <c r="D79" s="715">
        <f>'R9 - RAV'!D49</f>
        <v>24.516606839357802</v>
      </c>
      <c r="E79" s="716">
        <f>'R9 - RAV'!E49</f>
        <v>23.703063123455422</v>
      </c>
      <c r="F79" s="716">
        <f>'R9 - RAV'!F49</f>
        <v>22.677301714986964</v>
      </c>
      <c r="G79" s="716">
        <f>'R9 - RAV'!G49</f>
        <v>20.937167305325239</v>
      </c>
      <c r="H79" s="716">
        <f>'R9 - RAV'!H49</f>
        <v>19.705095948803159</v>
      </c>
      <c r="I79" s="716">
        <f>'R9 - RAV'!I49</f>
        <v>18.732865112741315</v>
      </c>
      <c r="J79" s="716">
        <f>'R9 - RAV'!J49</f>
        <v>17.961214022993119</v>
      </c>
      <c r="K79" s="938">
        <f>'R9 - RAV'!K49</f>
        <v>17.319599788866629</v>
      </c>
      <c r="L79" s="940">
        <f>SUM(D79:INDEX(D79:K79,0,MATCH('RFPR cover'!$C$7,$D$6:$K$6,0)))</f>
        <v>91.834138983125428</v>
      </c>
      <c r="M79" s="940">
        <f>SUM(D79:K79)</f>
        <v>165.55291385652967</v>
      </c>
      <c r="O79" s="66"/>
    </row>
    <row r="80" spans="2:15" s="32" customFormat="1">
      <c r="B80" s="865"/>
      <c r="C80" s="66"/>
      <c r="D80" s="866"/>
      <c r="E80" s="866"/>
      <c r="F80" s="866"/>
      <c r="G80" s="866"/>
      <c r="H80" s="866"/>
      <c r="I80" s="866"/>
      <c r="J80" s="866"/>
      <c r="K80" s="866"/>
      <c r="L80" s="863"/>
      <c r="M80" s="863"/>
      <c r="O80" s="66"/>
    </row>
    <row r="81" spans="2:15" s="32" customFormat="1">
      <c r="B81" s="865"/>
      <c r="C81" s="66"/>
      <c r="D81" s="866"/>
      <c r="E81" s="867"/>
      <c r="F81" s="867"/>
      <c r="G81" s="867"/>
      <c r="H81" s="867"/>
      <c r="I81" s="867"/>
      <c r="J81" s="867"/>
      <c r="K81" s="867"/>
      <c r="L81" s="863"/>
      <c r="M81" s="863"/>
      <c r="O81" s="66"/>
    </row>
    <row r="82" spans="2:15">
      <c r="B82" s="869" t="s">
        <v>436</v>
      </c>
      <c r="C82" s="861"/>
      <c r="D82" s="861"/>
      <c r="E82" s="861"/>
      <c r="F82" s="861"/>
      <c r="G82" s="861"/>
      <c r="H82" s="861"/>
      <c r="I82" s="861"/>
      <c r="J82" s="861"/>
      <c r="K82" s="861"/>
      <c r="L82" s="861"/>
      <c r="M82" s="861"/>
      <c r="N82" s="861"/>
    </row>
    <row r="83" spans="2:15">
      <c r="B83" s="391"/>
      <c r="C83" s="162"/>
      <c r="D83" s="162"/>
      <c r="E83" s="162"/>
      <c r="F83" s="162"/>
      <c r="G83" s="162"/>
      <c r="H83" s="162"/>
      <c r="I83" s="162"/>
      <c r="J83" s="162"/>
      <c r="K83" s="162"/>
      <c r="L83" s="162"/>
      <c r="M83" s="162"/>
      <c r="N83" s="162"/>
    </row>
    <row r="84" spans="2:15">
      <c r="B84" s="888" t="s">
        <v>490</v>
      </c>
      <c r="C84" s="162"/>
      <c r="D84" s="162"/>
      <c r="E84" s="162"/>
      <c r="F84" s="162"/>
      <c r="G84" s="162"/>
      <c r="H84" s="162"/>
      <c r="I84" s="162"/>
      <c r="J84" s="162"/>
      <c r="K84" s="162"/>
      <c r="L84" s="162"/>
      <c r="M84" s="162"/>
      <c r="N84" s="162"/>
    </row>
    <row r="85" spans="2:15">
      <c r="B85" s="222" t="s">
        <v>491</v>
      </c>
      <c r="C85" s="162" t="str">
        <f>'RFPR cover'!$C$14</f>
        <v>£m 12/13</v>
      </c>
      <c r="D85" s="152">
        <f>D79-D43-D55</f>
        <v>-12.080909009528959</v>
      </c>
      <c r="E85" s="152">
        <f t="shared" ref="E85:K85" si="13">E79-E43-E55</f>
        <v>-5.3436982779371061</v>
      </c>
      <c r="F85" s="152">
        <f t="shared" si="13"/>
        <v>5.2457270709015411</v>
      </c>
      <c r="G85" s="152">
        <f t="shared" si="13"/>
        <v>-0.32956745270446286</v>
      </c>
      <c r="H85" s="152">
        <f t="shared" si="13"/>
        <v>-2.756210344157215</v>
      </c>
      <c r="I85" s="152">
        <f t="shared" si="13"/>
        <v>5.8636757800502837</v>
      </c>
      <c r="J85" s="152">
        <f t="shared" si="13"/>
        <v>8.2795315683908139</v>
      </c>
      <c r="K85" s="152">
        <f t="shared" si="13"/>
        <v>11.135919224549292</v>
      </c>
      <c r="L85" s="717">
        <f>SUM(D85:INDEX(D85:K85,0,MATCH('RFPR cover'!$C$7,$D$6:$K$6,0)))</f>
        <v>-12.508447669268989</v>
      </c>
      <c r="M85" s="718">
        <f>SUM(D85:K85)</f>
        <v>10.014468559564186</v>
      </c>
    </row>
    <row r="86" spans="2:15">
      <c r="B86" s="222"/>
    </row>
    <row r="87" spans="2:15">
      <c r="B87" s="222" t="s">
        <v>492</v>
      </c>
      <c r="C87" s="162" t="str">
        <f>'RFPR cover'!$C$14</f>
        <v>£m 12/13</v>
      </c>
      <c r="D87" s="152">
        <f>D79-D68-D69</f>
        <v>-22.314167412825689</v>
      </c>
      <c r="E87" s="152">
        <f t="shared" ref="E87:K87" si="14">E79-E68-E69</f>
        <v>-14.136792272129643</v>
      </c>
      <c r="F87" s="152">
        <f t="shared" si="14"/>
        <v>-1.1216751771171551</v>
      </c>
      <c r="G87" s="152">
        <f t="shared" si="14"/>
        <v>-8.7441648176372802</v>
      </c>
      <c r="H87" s="152">
        <f t="shared" si="14"/>
        <v>-11.751117525053399</v>
      </c>
      <c r="I87" s="152">
        <f t="shared" si="14"/>
        <v>0.91180856261289434</v>
      </c>
      <c r="J87" s="152">
        <f t="shared" si="14"/>
        <v>4.7110710533903548</v>
      </c>
      <c r="K87" s="152">
        <f t="shared" si="14"/>
        <v>8.7892298823770325</v>
      </c>
      <c r="L87" s="717">
        <f>SUM(D87:INDEX(D87:K87,0,MATCH('RFPR cover'!$C$7,$D$6:$K$6,0)))</f>
        <v>-46.316799679709774</v>
      </c>
      <c r="M87" s="718">
        <f>SUM(D87:K87)</f>
        <v>-43.655807706382888</v>
      </c>
    </row>
    <row r="88" spans="2:15">
      <c r="B88" s="222"/>
    </row>
    <row r="89" spans="2:15">
      <c r="B89" s="222" t="s">
        <v>493</v>
      </c>
      <c r="C89" s="162" t="str">
        <f>'RFPR cover'!$C$14</f>
        <v>£m 12/13</v>
      </c>
      <c r="D89" s="152">
        <f t="shared" ref="D89:K89" si="15">D85-D87</f>
        <v>10.23325840329673</v>
      </c>
      <c r="E89" s="152">
        <f t="shared" si="15"/>
        <v>8.793093994192537</v>
      </c>
      <c r="F89" s="152">
        <f t="shared" si="15"/>
        <v>6.3674022480186965</v>
      </c>
      <c r="G89" s="152">
        <f t="shared" si="15"/>
        <v>8.414597364932817</v>
      </c>
      <c r="H89" s="152">
        <f t="shared" si="15"/>
        <v>8.9949071808961847</v>
      </c>
      <c r="I89" s="152">
        <f t="shared" si="15"/>
        <v>4.951867217437389</v>
      </c>
      <c r="J89" s="152">
        <f t="shared" si="15"/>
        <v>3.5684605150004591</v>
      </c>
      <c r="K89" s="152">
        <f t="shared" si="15"/>
        <v>2.3466893421722599</v>
      </c>
      <c r="L89" s="717">
        <f>SUM(D89:INDEX(D89:K89,0,MATCH('RFPR cover'!$C$7,$D$6:$K$6,0)))</f>
        <v>33.808352010440785</v>
      </c>
      <c r="M89" s="718">
        <f>SUM(D89:K89)</f>
        <v>53.670276265947081</v>
      </c>
    </row>
    <row r="90" spans="2:15">
      <c r="B90" s="209"/>
    </row>
  </sheetData>
  <sheetProtection password="DA3D" sheet="1" objects="1" scenarios="1" formatCells="0" formatColumns="0" formatRows="0"/>
  <conditionalFormatting sqref="D6:K6">
    <cfRule type="expression" dxfId="31" priority="14">
      <formula>AND(D$5="Actuals",E$5="Forecast")</formula>
    </cfRule>
  </conditionalFormatting>
  <conditionalFormatting sqref="D5:K5">
    <cfRule type="expression" dxfId="30" priority="7">
      <formula>AND(D$5="Actuals",E$5="Forecast")</formula>
    </cfRule>
  </conditionalFormatting>
  <conditionalFormatting sqref="D29:K29">
    <cfRule type="expression" dxfId="29" priority="5">
      <formula>D$5="Forecast"</formula>
    </cfRule>
    <cfRule type="expression" dxfId="28" priority="6">
      <formula>D$5="Actuals"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4" id="{4F9EFF1D-0920-4D6C-8AB9-85AB6A059E37}">
            <xm:f>D6&gt;=('RFPR cover'!$C$7+2)</xm:f>
            <x14:dxf>
              <fill>
                <patternFill patternType="darkUp">
                  <fgColor rgb="FFC0C0C0"/>
                </patternFill>
              </fill>
            </x14:dxf>
          </x14:cfRule>
          <xm:sqref>D78:K78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6"/>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2" customFormat="1" ht="20.25">
      <c r="A1" s="381" t="s">
        <v>237</v>
      </c>
      <c r="B1" s="268"/>
      <c r="C1" s="268"/>
      <c r="D1" s="268"/>
      <c r="E1" s="268"/>
      <c r="F1" s="268"/>
      <c r="G1" s="268"/>
      <c r="H1" s="268"/>
      <c r="I1" s="269"/>
      <c r="J1" s="269"/>
      <c r="K1" s="270"/>
      <c r="L1" s="382"/>
    </row>
    <row r="2" spans="1:12" s="32" customFormat="1" ht="20.25">
      <c r="A2" s="125" t="str">
        <f>'RFPR cover'!C5</f>
        <v>NPgY</v>
      </c>
      <c r="B2" s="30"/>
      <c r="C2" s="30"/>
      <c r="D2" s="30"/>
      <c r="E2" s="30"/>
      <c r="F2" s="30"/>
      <c r="G2" s="30"/>
      <c r="H2" s="30"/>
      <c r="I2" s="27"/>
      <c r="J2" s="27"/>
      <c r="K2" s="27"/>
      <c r="L2" s="126"/>
    </row>
    <row r="3" spans="1:12" s="32" customFormat="1" ht="23.25">
      <c r="A3" s="272">
        <f>'RFPR cover'!C7</f>
        <v>2019</v>
      </c>
      <c r="B3" s="941" t="str">
        <f>'R1 - RoRE'!B3</f>
        <v/>
      </c>
      <c r="C3" s="273"/>
      <c r="D3" s="273"/>
      <c r="E3" s="273"/>
      <c r="F3" s="273"/>
      <c r="G3" s="273"/>
      <c r="H3" s="273"/>
      <c r="I3" s="266"/>
      <c r="J3" s="266"/>
      <c r="K3" s="266"/>
      <c r="L3" s="274"/>
    </row>
    <row r="4" spans="1:12" s="32" customFormat="1" ht="12.75" customHeight="1">
      <c r="A4" s="40"/>
      <c r="B4" s="40"/>
      <c r="C4" s="40"/>
      <c r="D4" s="40"/>
      <c r="E4" s="40"/>
      <c r="F4" s="40"/>
      <c r="G4" s="40"/>
      <c r="H4" s="40"/>
      <c r="I4" s="35"/>
      <c r="J4" s="35"/>
      <c r="K4" s="35"/>
      <c r="L4" s="34"/>
    </row>
    <row r="5" spans="1:12" s="2" customFormat="1">
      <c r="B5" s="3"/>
      <c r="C5" s="3"/>
      <c r="D5" s="409" t="str">
        <f>IF(D6&lt;='RFPR cover'!$C$7,"Actuals","Forecast")</f>
        <v>Actuals</v>
      </c>
      <c r="E5" s="410" t="str">
        <f>IF(E6&lt;='RFPR cover'!$C$7,"Actuals","Forecast")</f>
        <v>Actuals</v>
      </c>
      <c r="F5" s="410" t="str">
        <f>IF(F6&lt;='RFPR cover'!$C$7,"Actuals","Forecast")</f>
        <v>Actuals</v>
      </c>
      <c r="G5" s="410" t="str">
        <f>IF(G6&lt;='RFPR cover'!$C$7,"Actuals","Forecast")</f>
        <v>Actuals</v>
      </c>
      <c r="H5" s="410" t="str">
        <f>IF(H6&lt;='RFPR cover'!$C$7,"Actuals","Forecast")</f>
        <v>Forecast</v>
      </c>
      <c r="I5" s="410" t="str">
        <f>IF(I6&lt;='RFPR cover'!$C$7,"Actuals","Forecast")</f>
        <v>Forecast</v>
      </c>
      <c r="J5" s="410" t="str">
        <f>IF(J6&lt;='RFPR cover'!$C$7,"Actuals","Forecast")</f>
        <v>Forecast</v>
      </c>
      <c r="K5" s="411" t="str">
        <f>IF(K6&lt;='RFPR cover'!$C$7,"Actuals","Forecast")</f>
        <v>Forecast</v>
      </c>
    </row>
    <row r="6" spans="1:12" s="2" customFormat="1">
      <c r="D6" s="118">
        <f>'RFPR cover'!$C$13</f>
        <v>2016</v>
      </c>
      <c r="E6" s="119">
        <f>D6+1</f>
        <v>2017</v>
      </c>
      <c r="F6" s="119">
        <f t="shared" ref="F6:K6" si="0">E6+1</f>
        <v>2018</v>
      </c>
      <c r="G6" s="119">
        <f t="shared" si="0"/>
        <v>2019</v>
      </c>
      <c r="H6" s="119">
        <f t="shared" si="0"/>
        <v>2020</v>
      </c>
      <c r="I6" s="119">
        <f t="shared" si="0"/>
        <v>2021</v>
      </c>
      <c r="J6" s="119">
        <f t="shared" si="0"/>
        <v>2022</v>
      </c>
      <c r="K6" s="203">
        <f t="shared" si="0"/>
        <v>2023</v>
      </c>
    </row>
    <row r="7" spans="1:12" s="2" customFormat="1"/>
    <row r="8" spans="1:12" s="2" customFormat="1">
      <c r="B8" s="222" t="s">
        <v>524</v>
      </c>
      <c r="C8" s="159" t="s">
        <v>128</v>
      </c>
      <c r="D8" s="919">
        <v>17.8</v>
      </c>
      <c r="E8" s="725">
        <f>D10</f>
        <v>0</v>
      </c>
      <c r="F8" s="725">
        <f t="shared" ref="F8:K8" si="1">E10</f>
        <v>0</v>
      </c>
      <c r="G8" s="725">
        <f t="shared" si="1"/>
        <v>10.5</v>
      </c>
      <c r="H8" s="725">
        <f t="shared" si="1"/>
        <v>18</v>
      </c>
      <c r="I8" s="725">
        <f t="shared" si="1"/>
        <v>0</v>
      </c>
      <c r="J8" s="725">
        <f t="shared" si="1"/>
        <v>0</v>
      </c>
      <c r="K8" s="725">
        <f t="shared" si="1"/>
        <v>0</v>
      </c>
    </row>
    <row r="9" spans="1:12" s="2" customFormat="1">
      <c r="B9" s="222"/>
    </row>
    <row r="10" spans="1:12">
      <c r="B10" s="222" t="s">
        <v>525</v>
      </c>
      <c r="C10" s="159" t="s">
        <v>128</v>
      </c>
      <c r="D10" s="719">
        <v>0</v>
      </c>
      <c r="E10" s="720">
        <v>0</v>
      </c>
      <c r="F10" s="720">
        <v>10.5</v>
      </c>
      <c r="G10" s="720">
        <v>18</v>
      </c>
      <c r="H10" s="720">
        <v>0</v>
      </c>
      <c r="I10" s="720">
        <v>0</v>
      </c>
      <c r="J10" s="720">
        <v>0</v>
      </c>
      <c r="K10" s="721">
        <v>0</v>
      </c>
    </row>
    <row r="11" spans="1:12">
      <c r="B11" s="222" t="s">
        <v>373</v>
      </c>
      <c r="C11" s="159" t="s">
        <v>128</v>
      </c>
      <c r="D11" s="722">
        <v>999.34</v>
      </c>
      <c r="E11" s="723">
        <v>1050.31</v>
      </c>
      <c r="F11" s="723">
        <v>1050.96</v>
      </c>
      <c r="G11" s="723">
        <v>1061.6300000000001</v>
      </c>
      <c r="H11" s="723">
        <v>848.47</v>
      </c>
      <c r="I11" s="723">
        <v>849.02</v>
      </c>
      <c r="J11" s="723">
        <v>849.59000000000015</v>
      </c>
      <c r="K11" s="724">
        <v>694.81</v>
      </c>
    </row>
    <row r="12" spans="1:12">
      <c r="B12" s="222" t="s">
        <v>374</v>
      </c>
      <c r="C12" s="159" t="s">
        <v>128</v>
      </c>
      <c r="D12" s="722">
        <v>0</v>
      </c>
      <c r="E12" s="723">
        <v>0</v>
      </c>
      <c r="F12" s="723">
        <v>0</v>
      </c>
      <c r="G12" s="723">
        <v>0</v>
      </c>
      <c r="H12" s="723">
        <v>0</v>
      </c>
      <c r="I12" s="723">
        <v>0</v>
      </c>
      <c r="J12" s="723">
        <v>0</v>
      </c>
      <c r="K12" s="724">
        <v>0</v>
      </c>
    </row>
    <row r="13" spans="1:12">
      <c r="B13" s="222" t="s">
        <v>375</v>
      </c>
      <c r="C13" s="159" t="s">
        <v>128</v>
      </c>
      <c r="D13" s="722">
        <v>-141.59</v>
      </c>
      <c r="E13" s="723">
        <v>-208.31</v>
      </c>
      <c r="F13" s="723">
        <v>-207.91</v>
      </c>
      <c r="G13" s="723">
        <v>-204.66</v>
      </c>
      <c r="H13" s="723">
        <v>0</v>
      </c>
      <c r="I13" s="723">
        <v>0</v>
      </c>
      <c r="J13" s="723">
        <v>0</v>
      </c>
      <c r="K13" s="724">
        <v>0</v>
      </c>
    </row>
    <row r="14" spans="1:12">
      <c r="B14" s="222" t="s">
        <v>376</v>
      </c>
      <c r="C14" s="159" t="s">
        <v>128</v>
      </c>
      <c r="D14" s="722">
        <v>0</v>
      </c>
      <c r="E14" s="723">
        <v>0</v>
      </c>
      <c r="F14" s="723">
        <v>0</v>
      </c>
      <c r="G14" s="723">
        <v>0</v>
      </c>
      <c r="H14" s="723">
        <v>0</v>
      </c>
      <c r="I14" s="723">
        <v>0</v>
      </c>
      <c r="J14" s="723">
        <v>0</v>
      </c>
      <c r="K14" s="724">
        <v>0</v>
      </c>
    </row>
    <row r="15" spans="1:12">
      <c r="B15" s="222" t="s">
        <v>291</v>
      </c>
      <c r="C15" s="159" t="s">
        <v>128</v>
      </c>
      <c r="D15" s="722">
        <v>0</v>
      </c>
      <c r="E15" s="723">
        <v>0</v>
      </c>
      <c r="F15" s="723">
        <v>0</v>
      </c>
      <c r="G15" s="723">
        <v>0</v>
      </c>
      <c r="H15" s="723">
        <v>0</v>
      </c>
      <c r="I15" s="723">
        <v>0</v>
      </c>
      <c r="J15" s="723">
        <v>0</v>
      </c>
      <c r="K15" s="724">
        <v>0</v>
      </c>
    </row>
    <row r="16" spans="1:12">
      <c r="B16" s="222" t="s">
        <v>292</v>
      </c>
      <c r="C16" s="159" t="s">
        <v>128</v>
      </c>
      <c r="D16" s="722">
        <v>0</v>
      </c>
      <c r="E16" s="723">
        <v>0</v>
      </c>
      <c r="F16" s="723">
        <v>0</v>
      </c>
      <c r="G16" s="723">
        <v>0</v>
      </c>
      <c r="H16" s="723">
        <v>0</v>
      </c>
      <c r="I16" s="723">
        <v>0</v>
      </c>
      <c r="J16" s="723">
        <v>0</v>
      </c>
      <c r="K16" s="724">
        <v>0</v>
      </c>
    </row>
    <row r="17" spans="2:13">
      <c r="B17" s="222" t="s">
        <v>296</v>
      </c>
      <c r="C17" s="159" t="s">
        <v>128</v>
      </c>
      <c r="D17" s="722">
        <v>0</v>
      </c>
      <c r="E17" s="723">
        <v>0</v>
      </c>
      <c r="F17" s="723">
        <v>0</v>
      </c>
      <c r="G17" s="723">
        <v>0</v>
      </c>
      <c r="H17" s="723">
        <v>0</v>
      </c>
      <c r="I17" s="723">
        <v>0</v>
      </c>
      <c r="J17" s="723">
        <v>0</v>
      </c>
      <c r="K17" s="724">
        <v>0</v>
      </c>
    </row>
    <row r="18" spans="2:13">
      <c r="B18" s="222" t="s">
        <v>297</v>
      </c>
      <c r="C18" s="159" t="s">
        <v>128</v>
      </c>
      <c r="D18" s="722">
        <v>0</v>
      </c>
      <c r="E18" s="723">
        <v>0</v>
      </c>
      <c r="F18" s="723">
        <v>0</v>
      </c>
      <c r="G18" s="723">
        <v>0</v>
      </c>
      <c r="H18" s="723">
        <v>0</v>
      </c>
      <c r="I18" s="723">
        <v>0</v>
      </c>
      <c r="J18" s="723">
        <v>0</v>
      </c>
      <c r="K18" s="724">
        <v>0</v>
      </c>
    </row>
    <row r="19" spans="2:13">
      <c r="B19" s="222" t="s">
        <v>298</v>
      </c>
      <c r="C19" s="159" t="s">
        <v>128</v>
      </c>
      <c r="D19" s="722">
        <v>0</v>
      </c>
      <c r="E19" s="723">
        <v>0</v>
      </c>
      <c r="F19" s="723">
        <v>0</v>
      </c>
      <c r="G19" s="723">
        <v>0</v>
      </c>
      <c r="H19" s="723">
        <v>0</v>
      </c>
      <c r="I19" s="723">
        <v>0</v>
      </c>
      <c r="J19" s="723">
        <v>0</v>
      </c>
      <c r="K19" s="724">
        <v>0</v>
      </c>
    </row>
    <row r="20" spans="2:13">
      <c r="B20" s="222" t="s">
        <v>299</v>
      </c>
      <c r="C20" s="159" t="s">
        <v>128</v>
      </c>
      <c r="D20" s="722">
        <v>0</v>
      </c>
      <c r="E20" s="723">
        <v>0</v>
      </c>
      <c r="F20" s="723">
        <v>0</v>
      </c>
      <c r="G20" s="723">
        <v>0</v>
      </c>
      <c r="H20" s="723">
        <v>0</v>
      </c>
      <c r="I20" s="723">
        <v>0</v>
      </c>
      <c r="J20" s="723">
        <v>0</v>
      </c>
      <c r="K20" s="724">
        <v>0</v>
      </c>
    </row>
    <row r="21" spans="2:13">
      <c r="B21" s="222" t="s">
        <v>300</v>
      </c>
      <c r="C21" s="159" t="s">
        <v>128</v>
      </c>
      <c r="D21" s="722">
        <v>0</v>
      </c>
      <c r="E21" s="723">
        <v>0</v>
      </c>
      <c r="F21" s="723">
        <v>0</v>
      </c>
      <c r="G21" s="723">
        <v>0</v>
      </c>
      <c r="H21" s="723">
        <v>0</v>
      </c>
      <c r="I21" s="723">
        <v>0</v>
      </c>
      <c r="J21" s="723">
        <v>0</v>
      </c>
      <c r="K21" s="724">
        <v>0</v>
      </c>
    </row>
    <row r="22" spans="2:13">
      <c r="B22" s="222" t="s">
        <v>301</v>
      </c>
      <c r="C22" s="159" t="s">
        <v>128</v>
      </c>
      <c r="D22" s="722">
        <v>0</v>
      </c>
      <c r="E22" s="723">
        <v>0</v>
      </c>
      <c r="F22" s="723">
        <v>0</v>
      </c>
      <c r="G22" s="723">
        <v>0</v>
      </c>
      <c r="H22" s="723">
        <v>0</v>
      </c>
      <c r="I22" s="723">
        <v>0</v>
      </c>
      <c r="J22" s="723">
        <v>0</v>
      </c>
      <c r="K22" s="724">
        <v>0</v>
      </c>
    </row>
    <row r="23" spans="2:13">
      <c r="B23" s="14" t="s">
        <v>318</v>
      </c>
      <c r="C23" s="244" t="s">
        <v>128</v>
      </c>
      <c r="D23" s="725">
        <f>SUM(D10:D22)</f>
        <v>857.75</v>
      </c>
      <c r="E23" s="725">
        <f t="shared" ref="E23:K23" si="2">SUM(E10:E22)</f>
        <v>842</v>
      </c>
      <c r="F23" s="725">
        <f t="shared" si="2"/>
        <v>853.55000000000007</v>
      </c>
      <c r="G23" s="725">
        <f t="shared" si="2"/>
        <v>874.97000000000014</v>
      </c>
      <c r="H23" s="725">
        <f t="shared" si="2"/>
        <v>848.47</v>
      </c>
      <c r="I23" s="725">
        <f t="shared" si="2"/>
        <v>849.02</v>
      </c>
      <c r="J23" s="725">
        <f t="shared" si="2"/>
        <v>849.59000000000015</v>
      </c>
      <c r="K23" s="726">
        <f t="shared" si="2"/>
        <v>694.81</v>
      </c>
      <c r="L23" s="2"/>
      <c r="M23" s="341"/>
    </row>
    <row r="24" spans="2:13">
      <c r="B24" s="14"/>
      <c r="C24" s="159"/>
      <c r="D24" s="248"/>
      <c r="E24" s="248"/>
      <c r="F24" s="248"/>
      <c r="G24" s="248"/>
      <c r="H24" s="248"/>
      <c r="I24" s="248"/>
      <c r="J24" s="248"/>
      <c r="K24" s="248"/>
      <c r="L24" s="2"/>
      <c r="M24" s="2"/>
    </row>
    <row r="25" spans="2:13">
      <c r="B25" s="14" t="s">
        <v>123</v>
      </c>
      <c r="C25" s="16"/>
      <c r="D25" s="249"/>
      <c r="E25" s="249"/>
      <c r="F25" s="249"/>
      <c r="G25" s="249"/>
      <c r="H25" s="249"/>
      <c r="I25" s="249"/>
      <c r="J25" s="249"/>
      <c r="K25" s="249"/>
      <c r="L25" s="2"/>
      <c r="M25" s="2"/>
    </row>
    <row r="26" spans="2:13">
      <c r="B26" s="389" t="s">
        <v>536</v>
      </c>
      <c r="C26" s="159" t="s">
        <v>128</v>
      </c>
      <c r="D26" s="365">
        <v>8.67</v>
      </c>
      <c r="E26" s="399">
        <v>8.0399999999999991</v>
      </c>
      <c r="F26" s="399">
        <v>7.39</v>
      </c>
      <c r="G26" s="399">
        <v>6.72</v>
      </c>
      <c r="H26" s="399">
        <v>6.07</v>
      </c>
      <c r="I26" s="399">
        <v>5.52</v>
      </c>
      <c r="J26" s="399">
        <v>4.95</v>
      </c>
      <c r="K26" s="403">
        <v>4.38</v>
      </c>
      <c r="L26" s="36"/>
      <c r="M26" s="36"/>
    </row>
    <row r="27" spans="2:13">
      <c r="B27" s="389" t="s">
        <v>8</v>
      </c>
      <c r="C27" s="159" t="s">
        <v>128</v>
      </c>
      <c r="D27" s="365">
        <v>0</v>
      </c>
      <c r="E27" s="399">
        <v>0</v>
      </c>
      <c r="F27" s="399">
        <v>0</v>
      </c>
      <c r="G27" s="399">
        <v>0</v>
      </c>
      <c r="H27" s="399">
        <v>0</v>
      </c>
      <c r="I27" s="399">
        <v>0</v>
      </c>
      <c r="J27" s="399">
        <v>0</v>
      </c>
      <c r="K27" s="403">
        <v>0</v>
      </c>
      <c r="L27" s="36"/>
      <c r="M27" s="36"/>
    </row>
    <row r="28" spans="2:13">
      <c r="B28" s="389" t="s">
        <v>9</v>
      </c>
      <c r="C28" s="159" t="s">
        <v>128</v>
      </c>
      <c r="D28" s="365">
        <v>0</v>
      </c>
      <c r="E28" s="399">
        <v>0</v>
      </c>
      <c r="F28" s="399">
        <v>0</v>
      </c>
      <c r="G28" s="399">
        <v>0</v>
      </c>
      <c r="H28" s="399">
        <v>0</v>
      </c>
      <c r="I28" s="399">
        <v>0</v>
      </c>
      <c r="J28" s="399">
        <v>0</v>
      </c>
      <c r="K28" s="403">
        <v>0</v>
      </c>
      <c r="L28" s="36"/>
      <c r="M28" s="36"/>
    </row>
    <row r="29" spans="2:13">
      <c r="B29" s="389" t="s">
        <v>10</v>
      </c>
      <c r="C29" s="159" t="s">
        <v>128</v>
      </c>
      <c r="D29" s="365">
        <v>0</v>
      </c>
      <c r="E29" s="399">
        <v>0</v>
      </c>
      <c r="F29" s="399">
        <v>0</v>
      </c>
      <c r="G29" s="399">
        <v>0</v>
      </c>
      <c r="H29" s="399">
        <v>0</v>
      </c>
      <c r="I29" s="399">
        <v>0</v>
      </c>
      <c r="J29" s="399">
        <v>0</v>
      </c>
      <c r="K29" s="403">
        <v>0</v>
      </c>
      <c r="L29" s="36"/>
      <c r="M29" s="36"/>
    </row>
    <row r="30" spans="2:13">
      <c r="B30" s="389" t="s">
        <v>539</v>
      </c>
      <c r="C30" s="159" t="s">
        <v>128</v>
      </c>
      <c r="D30" s="365">
        <v>-27.01</v>
      </c>
      <c r="E30" s="399">
        <v>-27.35</v>
      </c>
      <c r="F30" s="399">
        <v>-27.35</v>
      </c>
      <c r="G30" s="399">
        <v>-27.36</v>
      </c>
      <c r="H30" s="399">
        <v>-23.54</v>
      </c>
      <c r="I30" s="399">
        <v>-23.54</v>
      </c>
      <c r="J30" s="399">
        <v>-23.54</v>
      </c>
      <c r="K30" s="403">
        <v>-19.190000000000001</v>
      </c>
    </row>
    <row r="31" spans="2:13">
      <c r="B31" s="389" t="s">
        <v>571</v>
      </c>
      <c r="C31" s="159" t="s">
        <v>128</v>
      </c>
      <c r="D31" s="365">
        <v>0</v>
      </c>
      <c r="E31" s="399">
        <v>0</v>
      </c>
      <c r="F31" s="399">
        <v>0</v>
      </c>
      <c r="G31" s="399">
        <v>0</v>
      </c>
      <c r="H31" s="399">
        <v>0</v>
      </c>
      <c r="I31" s="399">
        <v>0</v>
      </c>
      <c r="J31" s="399">
        <v>0</v>
      </c>
      <c r="K31" s="403">
        <v>0</v>
      </c>
    </row>
    <row r="32" spans="2:13" ht="12.75" customHeight="1">
      <c r="B32" s="389" t="s">
        <v>359</v>
      </c>
      <c r="C32" s="159" t="s">
        <v>128</v>
      </c>
      <c r="D32" s="365">
        <v>0</v>
      </c>
      <c r="E32" s="399">
        <v>0</v>
      </c>
      <c r="F32" s="399">
        <v>0</v>
      </c>
      <c r="G32" s="399">
        <v>0</v>
      </c>
      <c r="H32" s="399">
        <v>0</v>
      </c>
      <c r="I32" s="399">
        <v>0</v>
      </c>
      <c r="J32" s="399">
        <v>0</v>
      </c>
      <c r="K32" s="403">
        <v>0</v>
      </c>
    </row>
    <row r="33" spans="2:12">
      <c r="B33" s="389" t="s">
        <v>360</v>
      </c>
      <c r="C33" s="159" t="s">
        <v>128</v>
      </c>
      <c r="D33" s="365">
        <v>0</v>
      </c>
      <c r="E33" s="399">
        <v>0</v>
      </c>
      <c r="F33" s="399">
        <v>0</v>
      </c>
      <c r="G33" s="399">
        <v>0</v>
      </c>
      <c r="H33" s="399">
        <v>0</v>
      </c>
      <c r="I33" s="399">
        <v>0</v>
      </c>
      <c r="J33" s="399">
        <v>0</v>
      </c>
      <c r="K33" s="403">
        <v>0</v>
      </c>
    </row>
    <row r="34" spans="2:12">
      <c r="B34" s="389" t="s">
        <v>361</v>
      </c>
      <c r="C34" s="159" t="s">
        <v>128</v>
      </c>
      <c r="D34" s="365">
        <v>0</v>
      </c>
      <c r="E34" s="399">
        <v>0</v>
      </c>
      <c r="F34" s="399">
        <v>0</v>
      </c>
      <c r="G34" s="399">
        <v>0</v>
      </c>
      <c r="H34" s="399">
        <v>0</v>
      </c>
      <c r="I34" s="399">
        <v>0</v>
      </c>
      <c r="J34" s="399">
        <v>0</v>
      </c>
      <c r="K34" s="403">
        <v>0</v>
      </c>
    </row>
    <row r="35" spans="2:12">
      <c r="B35" s="389" t="s">
        <v>362</v>
      </c>
      <c r="C35" s="159" t="s">
        <v>128</v>
      </c>
      <c r="D35" s="365">
        <v>0</v>
      </c>
      <c r="E35" s="399">
        <v>0</v>
      </c>
      <c r="F35" s="399">
        <v>0</v>
      </c>
      <c r="G35" s="399">
        <v>0</v>
      </c>
      <c r="H35" s="399">
        <v>0</v>
      </c>
      <c r="I35" s="399">
        <v>0</v>
      </c>
      <c r="J35" s="399">
        <v>0</v>
      </c>
      <c r="K35" s="403">
        <v>0</v>
      </c>
    </row>
    <row r="36" spans="2:12">
      <c r="B36" s="389" t="s">
        <v>363</v>
      </c>
      <c r="C36" s="159" t="s">
        <v>128</v>
      </c>
      <c r="D36" s="365">
        <v>0</v>
      </c>
      <c r="E36" s="399">
        <v>0</v>
      </c>
      <c r="F36" s="399">
        <v>0</v>
      </c>
      <c r="G36" s="399">
        <v>0</v>
      </c>
      <c r="H36" s="399">
        <v>0</v>
      </c>
      <c r="I36" s="399">
        <v>0</v>
      </c>
      <c r="J36" s="399">
        <v>0</v>
      </c>
      <c r="K36" s="403">
        <v>0</v>
      </c>
    </row>
    <row r="37" spans="2:12">
      <c r="B37" s="389" t="s">
        <v>364</v>
      </c>
      <c r="C37" s="159" t="s">
        <v>128</v>
      </c>
      <c r="D37" s="365">
        <v>0</v>
      </c>
      <c r="E37" s="399">
        <v>0</v>
      </c>
      <c r="F37" s="399">
        <v>0</v>
      </c>
      <c r="G37" s="399">
        <v>0</v>
      </c>
      <c r="H37" s="399">
        <v>0</v>
      </c>
      <c r="I37" s="399">
        <v>0</v>
      </c>
      <c r="J37" s="399">
        <v>0</v>
      </c>
      <c r="K37" s="403">
        <v>0</v>
      </c>
    </row>
    <row r="38" spans="2:12">
      <c r="B38" s="389" t="s">
        <v>365</v>
      </c>
      <c r="C38" s="159" t="s">
        <v>128</v>
      </c>
      <c r="D38" s="365">
        <v>0</v>
      </c>
      <c r="E38" s="399">
        <v>0</v>
      </c>
      <c r="F38" s="399">
        <v>0</v>
      </c>
      <c r="G38" s="399">
        <v>0</v>
      </c>
      <c r="H38" s="399">
        <v>0</v>
      </c>
      <c r="I38" s="399">
        <v>0</v>
      </c>
      <c r="J38" s="399">
        <v>0</v>
      </c>
      <c r="K38" s="403">
        <v>0</v>
      </c>
    </row>
    <row r="39" spans="2:12">
      <c r="B39" s="389" t="s">
        <v>366</v>
      </c>
      <c r="C39" s="159" t="s">
        <v>128</v>
      </c>
      <c r="D39" s="365">
        <v>0</v>
      </c>
      <c r="E39" s="399">
        <v>0</v>
      </c>
      <c r="F39" s="399">
        <v>0</v>
      </c>
      <c r="G39" s="399">
        <v>0</v>
      </c>
      <c r="H39" s="399">
        <v>0</v>
      </c>
      <c r="I39" s="399">
        <v>0</v>
      </c>
      <c r="J39" s="399">
        <v>0</v>
      </c>
      <c r="K39" s="403">
        <v>0</v>
      </c>
    </row>
    <row r="40" spans="2:12">
      <c r="B40" s="389" t="s">
        <v>367</v>
      </c>
      <c r="C40" s="159" t="s">
        <v>128</v>
      </c>
      <c r="D40" s="365">
        <v>0</v>
      </c>
      <c r="E40" s="399">
        <v>0</v>
      </c>
      <c r="F40" s="399">
        <v>0</v>
      </c>
      <c r="G40" s="399">
        <v>0</v>
      </c>
      <c r="H40" s="399">
        <v>0</v>
      </c>
      <c r="I40" s="399">
        <v>0</v>
      </c>
      <c r="J40" s="399">
        <v>0</v>
      </c>
      <c r="K40" s="403">
        <v>0</v>
      </c>
    </row>
    <row r="41" spans="2:12">
      <c r="B41" s="389" t="s">
        <v>368</v>
      </c>
      <c r="C41" s="159" t="s">
        <v>128</v>
      </c>
      <c r="D41" s="400">
        <v>0</v>
      </c>
      <c r="E41" s="401">
        <v>0</v>
      </c>
      <c r="F41" s="401">
        <v>0</v>
      </c>
      <c r="G41" s="401">
        <v>0</v>
      </c>
      <c r="H41" s="401">
        <v>0</v>
      </c>
      <c r="I41" s="401">
        <v>0</v>
      </c>
      <c r="J41" s="401">
        <v>0</v>
      </c>
      <c r="K41" s="404">
        <v>0</v>
      </c>
    </row>
    <row r="42" spans="2:12">
      <c r="B42" s="208" t="s">
        <v>234</v>
      </c>
      <c r="C42" s="159" t="s">
        <v>128</v>
      </c>
      <c r="D42" s="733">
        <f>SUM(D23,D26:D41)</f>
        <v>839.41</v>
      </c>
      <c r="E42" s="734">
        <f t="shared" ref="E42:K42" si="3">SUM(E23,E26:E41)</f>
        <v>822.68999999999994</v>
      </c>
      <c r="F42" s="734">
        <f t="shared" si="3"/>
        <v>833.59</v>
      </c>
      <c r="G42" s="734">
        <f t="shared" si="3"/>
        <v>854.33000000000015</v>
      </c>
      <c r="H42" s="734">
        <f t="shared" si="3"/>
        <v>831.00000000000011</v>
      </c>
      <c r="I42" s="735">
        <f t="shared" si="3"/>
        <v>831</v>
      </c>
      <c r="J42" s="735">
        <f t="shared" si="3"/>
        <v>831.00000000000023</v>
      </c>
      <c r="K42" s="736">
        <f t="shared" si="3"/>
        <v>679.99999999999989</v>
      </c>
    </row>
    <row r="43" spans="2:12">
      <c r="B43" s="390" t="s">
        <v>305</v>
      </c>
      <c r="C43" s="159" t="s">
        <v>128</v>
      </c>
      <c r="D43" s="737"/>
      <c r="E43" s="738"/>
      <c r="F43" s="738"/>
      <c r="G43" s="739"/>
      <c r="H43" s="739">
        <v>65.199999999999989</v>
      </c>
      <c r="I43" s="739">
        <v>114.47999999999999</v>
      </c>
      <c r="J43" s="739">
        <v>168.54</v>
      </c>
      <c r="K43" s="740">
        <v>343.25</v>
      </c>
    </row>
    <row r="44" spans="2:12">
      <c r="B44" s="364" t="s">
        <v>440</v>
      </c>
      <c r="C44" s="159" t="s">
        <v>128</v>
      </c>
      <c r="D44" s="96">
        <f>SUM(D42:D43)</f>
        <v>839.41</v>
      </c>
      <c r="E44" s="97">
        <f t="shared" ref="E44:K44" si="4">SUM(E42:E43)</f>
        <v>822.68999999999994</v>
      </c>
      <c r="F44" s="97">
        <f t="shared" si="4"/>
        <v>833.59</v>
      </c>
      <c r="G44" s="97">
        <f t="shared" si="4"/>
        <v>854.33000000000015</v>
      </c>
      <c r="H44" s="97">
        <f t="shared" si="4"/>
        <v>896.2</v>
      </c>
      <c r="I44" s="97">
        <f t="shared" si="4"/>
        <v>945.48</v>
      </c>
      <c r="J44" s="97">
        <f t="shared" si="4"/>
        <v>999.54000000000019</v>
      </c>
      <c r="K44" s="98">
        <f t="shared" si="4"/>
        <v>1023.2499999999999</v>
      </c>
    </row>
    <row r="45" spans="2:12">
      <c r="D45" s="235" t="s">
        <v>590</v>
      </c>
      <c r="E45" s="236" t="s">
        <v>590</v>
      </c>
      <c r="F45" s="236" t="s">
        <v>590</v>
      </c>
      <c r="G45" s="236" t="s">
        <v>590</v>
      </c>
      <c r="H45" s="236" t="s">
        <v>590</v>
      </c>
      <c r="I45" s="236" t="s">
        <v>590</v>
      </c>
      <c r="J45" s="236" t="s">
        <v>590</v>
      </c>
      <c r="K45" s="237" t="s">
        <v>590</v>
      </c>
    </row>
    <row r="47" spans="2:12">
      <c r="B47" s="856" t="s">
        <v>441</v>
      </c>
      <c r="C47" s="159" t="s">
        <v>128</v>
      </c>
      <c r="D47" s="871">
        <v>783.60194595000007</v>
      </c>
      <c r="E47" s="97">
        <f>D48</f>
        <v>839.41</v>
      </c>
      <c r="F47" s="97">
        <f t="shared" ref="F47:K47" si="5">E48</f>
        <v>822.68999999999994</v>
      </c>
      <c r="G47" s="97">
        <f t="shared" si="5"/>
        <v>833.59</v>
      </c>
      <c r="H47" s="97">
        <f t="shared" si="5"/>
        <v>854.33000000000015</v>
      </c>
      <c r="I47" s="97">
        <f t="shared" si="5"/>
        <v>896.2</v>
      </c>
      <c r="J47" s="97">
        <f t="shared" si="5"/>
        <v>945.48</v>
      </c>
      <c r="K47" s="98">
        <f t="shared" si="5"/>
        <v>999.54000000000019</v>
      </c>
      <c r="L47" s="855"/>
    </row>
    <row r="48" spans="2:12">
      <c r="B48" s="856" t="s">
        <v>442</v>
      </c>
      <c r="C48" s="159" t="s">
        <v>128</v>
      </c>
      <c r="D48" s="605">
        <f>D44</f>
        <v>839.41</v>
      </c>
      <c r="E48" s="606">
        <f>E44</f>
        <v>822.68999999999994</v>
      </c>
      <c r="F48" s="606">
        <f t="shared" ref="F48:K48" si="6">F44</f>
        <v>833.59</v>
      </c>
      <c r="G48" s="606">
        <f t="shared" si="6"/>
        <v>854.33000000000015</v>
      </c>
      <c r="H48" s="606">
        <f t="shared" si="6"/>
        <v>896.2</v>
      </c>
      <c r="I48" s="606">
        <f t="shared" si="6"/>
        <v>945.48</v>
      </c>
      <c r="J48" s="606">
        <f t="shared" si="6"/>
        <v>999.54000000000019</v>
      </c>
      <c r="K48" s="870">
        <f t="shared" si="6"/>
        <v>1023.2499999999999</v>
      </c>
      <c r="L48" s="855"/>
    </row>
    <row r="49" spans="2:13">
      <c r="D49" s="23"/>
      <c r="E49" s="23"/>
      <c r="F49" s="23"/>
      <c r="G49" s="23"/>
      <c r="H49" s="23"/>
      <c r="I49" s="23"/>
      <c r="J49" s="23"/>
      <c r="K49" s="23"/>
    </row>
    <row r="50" spans="2:13">
      <c r="B50" s="14" t="s">
        <v>124</v>
      </c>
    </row>
    <row r="51" spans="2:13">
      <c r="B51" t="s">
        <v>125</v>
      </c>
      <c r="C51" s="505" t="s">
        <v>7</v>
      </c>
      <c r="D51" s="499">
        <v>0</v>
      </c>
      <c r="E51" s="500">
        <v>0</v>
      </c>
      <c r="F51" s="500">
        <v>0</v>
      </c>
      <c r="G51" s="500">
        <v>0</v>
      </c>
      <c r="H51" s="500">
        <v>0</v>
      </c>
      <c r="I51" s="500">
        <v>0</v>
      </c>
      <c r="J51" s="500">
        <v>0</v>
      </c>
      <c r="K51" s="501">
        <v>0</v>
      </c>
    </row>
    <row r="52" spans="2:13">
      <c r="B52" t="s">
        <v>126</v>
      </c>
      <c r="C52" s="505" t="s">
        <v>7</v>
      </c>
      <c r="D52" s="511">
        <f>1-D51</f>
        <v>1</v>
      </c>
      <c r="E52" s="512">
        <f t="shared" ref="E52:K52" si="7">1-E51</f>
        <v>1</v>
      </c>
      <c r="F52" s="512">
        <f t="shared" si="7"/>
        <v>1</v>
      </c>
      <c r="G52" s="512">
        <f t="shared" si="7"/>
        <v>1</v>
      </c>
      <c r="H52" s="512">
        <f t="shared" si="7"/>
        <v>1</v>
      </c>
      <c r="I52" s="512">
        <f t="shared" si="7"/>
        <v>1</v>
      </c>
      <c r="J52" s="512">
        <f t="shared" si="7"/>
        <v>1</v>
      </c>
      <c r="K52" s="513">
        <f t="shared" si="7"/>
        <v>1</v>
      </c>
    </row>
    <row r="53" spans="2:13">
      <c r="C53" s="855"/>
      <c r="D53" s="855"/>
      <c r="E53" s="855"/>
      <c r="F53" s="855"/>
      <c r="G53" s="855"/>
      <c r="H53" s="855"/>
      <c r="I53" s="855"/>
      <c r="J53" s="855"/>
      <c r="K53" s="855"/>
      <c r="L53" s="855"/>
    </row>
    <row r="54" spans="2:13">
      <c r="B54" s="209" t="s">
        <v>464</v>
      </c>
      <c r="C54" s="279" t="s">
        <v>128</v>
      </c>
      <c r="D54" s="741">
        <f>AVERAGE(D47:D48)*D52</f>
        <v>811.50597297500008</v>
      </c>
      <c r="E54" s="742">
        <f t="shared" ref="E54:K54" si="8">AVERAGE(E47:E48)*E52</f>
        <v>831.05</v>
      </c>
      <c r="F54" s="742">
        <f t="shared" si="8"/>
        <v>828.14</v>
      </c>
      <c r="G54" s="742">
        <f t="shared" si="8"/>
        <v>843.96</v>
      </c>
      <c r="H54" s="742">
        <f t="shared" si="8"/>
        <v>875.2650000000001</v>
      </c>
      <c r="I54" s="742">
        <f t="shared" si="8"/>
        <v>920.84</v>
      </c>
      <c r="J54" s="742">
        <f t="shared" si="8"/>
        <v>972.5100000000001</v>
      </c>
      <c r="K54" s="743">
        <f t="shared" si="8"/>
        <v>1011.395</v>
      </c>
    </row>
    <row r="55" spans="2:13">
      <c r="B55" s="209" t="s">
        <v>272</v>
      </c>
      <c r="C55" s="159" t="s">
        <v>128</v>
      </c>
      <c r="D55" s="727">
        <f>D56-D54</f>
        <v>786.05739850161899</v>
      </c>
      <c r="E55" s="728">
        <f t="shared" ref="E55:K55" si="9">E56-E54</f>
        <v>834.53019442366508</v>
      </c>
      <c r="F55" s="728">
        <f t="shared" si="9"/>
        <v>911.31049326068148</v>
      </c>
      <c r="G55" s="728">
        <f t="shared" si="9"/>
        <v>968.17722120193434</v>
      </c>
      <c r="H55" s="728">
        <f t="shared" si="9"/>
        <v>1010.5437173142841</v>
      </c>
      <c r="I55" s="728">
        <f t="shared" si="9"/>
        <v>1040.9525346146515</v>
      </c>
      <c r="J55" s="728">
        <f t="shared" si="9"/>
        <v>1075.115121704865</v>
      </c>
      <c r="K55" s="729">
        <f t="shared" si="9"/>
        <v>1135.0920020712479</v>
      </c>
    </row>
    <row r="56" spans="2:13">
      <c r="B56" s="209" t="s">
        <v>512</v>
      </c>
      <c r="C56" s="159" t="s">
        <v>128</v>
      </c>
      <c r="D56" s="909">
        <f>IF(D6='RFPR cover'!$C$13,AVERAGE(('R9 - RAV'!D16*'R9 - RAV'!D36),'R9 - RAV'!D38),AVERAGE('R9 - RAV'!C38:D38))</f>
        <v>1597.5633714766191</v>
      </c>
      <c r="E56" s="909">
        <f>IF(E6='RFPR cover'!$C$13,AVERAGE(('R9 - RAV'!E16*'R9 - RAV'!E36),'R9 - RAV'!E38),AVERAGE('R9 - RAV'!D38:E38))</f>
        <v>1665.580194423665</v>
      </c>
      <c r="F56" s="909">
        <f>IF(F6='RFPR cover'!$C$13,AVERAGE(('R9 - RAV'!F16*'R9 - RAV'!F36),'R9 - RAV'!F38),AVERAGE('R9 - RAV'!E38:F38))</f>
        <v>1739.4504932606815</v>
      </c>
      <c r="G56" s="909">
        <f>IF(G6='RFPR cover'!$C$13,AVERAGE(('R9 - RAV'!G16*'R9 - RAV'!G36),'R9 - RAV'!G38),AVERAGE('R9 - RAV'!F38:G38))</f>
        <v>1812.1372212019344</v>
      </c>
      <c r="H56" s="909">
        <f>IF(H6='RFPR cover'!$C$13,AVERAGE(('R9 - RAV'!H16*'R9 - RAV'!H36),'R9 - RAV'!H38),AVERAGE('R9 - RAV'!G38:H38))</f>
        <v>1885.8087173142842</v>
      </c>
      <c r="I56" s="909">
        <f>IF(I6='RFPR cover'!$C$13,AVERAGE(('R9 - RAV'!I16*'R9 - RAV'!I36),'R9 - RAV'!I38),AVERAGE('R9 - RAV'!H38:I38))</f>
        <v>1961.7925346146517</v>
      </c>
      <c r="J56" s="909">
        <f>IF(J6='RFPR cover'!$C$13,AVERAGE(('R9 - RAV'!J16*'R9 - RAV'!J36),'R9 - RAV'!J38),AVERAGE('R9 - RAV'!I38:J38))</f>
        <v>2047.625121704865</v>
      </c>
      <c r="K56" s="909">
        <f>IF(K6='RFPR cover'!$C$13,AVERAGE(('R9 - RAV'!K16*'R9 - RAV'!K36),'R9 - RAV'!K38),AVERAGE('R9 - RAV'!J38:K38))</f>
        <v>2146.4870020712478</v>
      </c>
    </row>
    <row r="57" spans="2:13">
      <c r="B57" s="209" t="s">
        <v>235</v>
      </c>
      <c r="C57" s="159" t="s">
        <v>7</v>
      </c>
      <c r="D57" s="240">
        <f>D54/D56</f>
        <v>0.50796480907353903</v>
      </c>
      <c r="E57" s="241">
        <f t="shared" ref="E57:K57" si="10">E54/E56</f>
        <v>0.49895526062470102</v>
      </c>
      <c r="F57" s="241">
        <f t="shared" si="10"/>
        <v>0.47609288290097451</v>
      </c>
      <c r="G57" s="241">
        <f t="shared" si="10"/>
        <v>0.46572632035019268</v>
      </c>
      <c r="H57" s="241">
        <f t="shared" si="10"/>
        <v>0.46413243928924452</v>
      </c>
      <c r="I57" s="241">
        <f t="shared" si="10"/>
        <v>0.46938704463001618</v>
      </c>
      <c r="J57" s="241">
        <f t="shared" si="10"/>
        <v>0.47494533530155286</v>
      </c>
      <c r="K57" s="242">
        <f t="shared" si="10"/>
        <v>0.47118617491000719</v>
      </c>
    </row>
    <row r="58" spans="2:13">
      <c r="B58" s="209" t="s">
        <v>115</v>
      </c>
      <c r="C58" s="159" t="s">
        <v>7</v>
      </c>
      <c r="D58" s="910">
        <f>'RFPR cover'!$C$12</f>
        <v>0.65</v>
      </c>
      <c r="E58" s="911">
        <f>'RFPR cover'!$C$12</f>
        <v>0.65</v>
      </c>
      <c r="F58" s="911">
        <f>'RFPR cover'!$C$12</f>
        <v>0.65</v>
      </c>
      <c r="G58" s="911">
        <f>'RFPR cover'!$C$12</f>
        <v>0.65</v>
      </c>
      <c r="H58" s="911">
        <f>'RFPR cover'!$C$12</f>
        <v>0.65</v>
      </c>
      <c r="I58" s="911">
        <f>'RFPR cover'!$C$12</f>
        <v>0.65</v>
      </c>
      <c r="J58" s="911">
        <f>'RFPR cover'!$C$12</f>
        <v>0.65</v>
      </c>
      <c r="K58" s="912">
        <f>'RFPR cover'!$C$12</f>
        <v>0.65</v>
      </c>
    </row>
    <row r="59" spans="2:13">
      <c r="B59" s="209" t="s">
        <v>236</v>
      </c>
      <c r="C59" s="159" t="s">
        <v>7</v>
      </c>
      <c r="D59" s="245">
        <f t="shared" ref="D59:K59" si="11">IF(ISBLANK(D23),"n/a",D57-D58)</f>
        <v>-0.142035190926461</v>
      </c>
      <c r="E59" s="246">
        <f t="shared" si="11"/>
        <v>-0.151044739375299</v>
      </c>
      <c r="F59" s="246">
        <f t="shared" si="11"/>
        <v>-0.17390711709902551</v>
      </c>
      <c r="G59" s="246">
        <f t="shared" si="11"/>
        <v>-0.18427367964980734</v>
      </c>
      <c r="H59" s="246">
        <f t="shared" si="11"/>
        <v>-0.1858675607107555</v>
      </c>
      <c r="I59" s="246">
        <f t="shared" si="11"/>
        <v>-0.18061295536998384</v>
      </c>
      <c r="J59" s="246">
        <f t="shared" si="11"/>
        <v>-0.17505466469844716</v>
      </c>
      <c r="K59" s="247">
        <f t="shared" si="11"/>
        <v>-0.17881382508999283</v>
      </c>
    </row>
    <row r="61" spans="2:13">
      <c r="B61" s="209" t="s">
        <v>519</v>
      </c>
      <c r="C61" s="162" t="str">
        <f>'RFPR cover'!$C$14</f>
        <v>£m 12/13</v>
      </c>
      <c r="D61" s="741">
        <f t="shared" ref="D61:K61" si="12">D63*D57</f>
        <v>751.3468182374304</v>
      </c>
      <c r="E61" s="731">
        <f t="shared" si="12"/>
        <v>751.86065088159194</v>
      </c>
      <c r="F61" s="731">
        <f t="shared" si="12"/>
        <v>725.32764191490469</v>
      </c>
      <c r="G61" s="731">
        <f t="shared" si="12"/>
        <v>717.77621550721267</v>
      </c>
      <c r="H61" s="731">
        <f t="shared" si="12"/>
        <v>725.27948050330053</v>
      </c>
      <c r="I61" s="731">
        <f t="shared" si="12"/>
        <v>743.27677030620305</v>
      </c>
      <c r="J61" s="731">
        <f t="shared" si="12"/>
        <v>763.02279218009107</v>
      </c>
      <c r="K61" s="732">
        <f t="shared" si="12"/>
        <v>770.24596276434511</v>
      </c>
      <c r="M61" s="340"/>
    </row>
    <row r="62" spans="2:13">
      <c r="B62" s="209" t="s">
        <v>517</v>
      </c>
      <c r="C62" s="162" t="str">
        <f>'RFPR cover'!$C$14</f>
        <v>£m 12/13</v>
      </c>
      <c r="D62" s="693">
        <f>D63*(1-D57)</f>
        <v>727.78481611296502</v>
      </c>
      <c r="E62" s="694">
        <f t="shared" ref="E62:K62" si="13">E63*(1-E57)</f>
        <v>755.00922346395316</v>
      </c>
      <c r="F62" s="694">
        <f t="shared" si="13"/>
        <v>798.17264125519682</v>
      </c>
      <c r="G62" s="694">
        <f t="shared" si="13"/>
        <v>823.42123059696416</v>
      </c>
      <c r="H62" s="694">
        <f t="shared" si="13"/>
        <v>837.3768199569023</v>
      </c>
      <c r="I62" s="694">
        <f t="shared" si="13"/>
        <v>840.22831107514253</v>
      </c>
      <c r="J62" s="694">
        <f t="shared" si="13"/>
        <v>843.52586819496389</v>
      </c>
      <c r="K62" s="695">
        <f t="shared" si="13"/>
        <v>864.44962844534166</v>
      </c>
      <c r="M62" s="340"/>
    </row>
    <row r="63" spans="2:13">
      <c r="B63" s="209" t="s">
        <v>518</v>
      </c>
      <c r="C63" s="162" t="str">
        <f>'RFPR cover'!$C$14</f>
        <v>£m 12/13</v>
      </c>
      <c r="D63" s="908">
        <f>'R9 - RAV'!D47</f>
        <v>1479.1316343503954</v>
      </c>
      <c r="E63" s="908">
        <f>'R9 - RAV'!E47</f>
        <v>1506.869874345545</v>
      </c>
      <c r="F63" s="908">
        <f>'R9 - RAV'!F47</f>
        <v>1523.5002831701015</v>
      </c>
      <c r="G63" s="908">
        <f>'R9 - RAV'!G47</f>
        <v>1541.1974461041768</v>
      </c>
      <c r="H63" s="908">
        <f>'R9 - RAV'!H47</f>
        <v>1562.6563004602028</v>
      </c>
      <c r="I63" s="908">
        <f>'R9 - RAV'!I47</f>
        <v>1583.5050813813455</v>
      </c>
      <c r="J63" s="908">
        <f>'R9 - RAV'!J47</f>
        <v>1606.5486603750551</v>
      </c>
      <c r="K63" s="908">
        <f>'R9 - RAV'!K47</f>
        <v>1634.6955912096869</v>
      </c>
    </row>
    <row r="64" spans="2:13">
      <c r="B64" s="209" t="s">
        <v>235</v>
      </c>
      <c r="C64" s="159" t="s">
        <v>7</v>
      </c>
      <c r="D64" s="240">
        <f>D61/D63</f>
        <v>0.50796480907353903</v>
      </c>
      <c r="E64" s="241">
        <f t="shared" ref="E64:K64" si="14">E61/E63</f>
        <v>0.49895526062470108</v>
      </c>
      <c r="F64" s="241">
        <f t="shared" si="14"/>
        <v>0.47609288290097451</v>
      </c>
      <c r="G64" s="241">
        <f t="shared" si="14"/>
        <v>0.46572632035019268</v>
      </c>
      <c r="H64" s="241">
        <f t="shared" si="14"/>
        <v>0.46413243928924452</v>
      </c>
      <c r="I64" s="241">
        <f t="shared" si="14"/>
        <v>0.46938704463001618</v>
      </c>
      <c r="J64" s="241">
        <f t="shared" si="14"/>
        <v>0.47494533530155286</v>
      </c>
      <c r="K64" s="242">
        <f t="shared" si="14"/>
        <v>0.47118617491000719</v>
      </c>
    </row>
    <row r="65" spans="2:11">
      <c r="B65" s="209" t="s">
        <v>115</v>
      </c>
      <c r="C65" s="159" t="s">
        <v>7</v>
      </c>
      <c r="D65" s="910">
        <f>'RFPR cover'!$C$12</f>
        <v>0.65</v>
      </c>
      <c r="E65" s="911">
        <f>'RFPR cover'!$C$12</f>
        <v>0.65</v>
      </c>
      <c r="F65" s="911">
        <f>'RFPR cover'!$C$12</f>
        <v>0.65</v>
      </c>
      <c r="G65" s="911">
        <f>'RFPR cover'!$C$12</f>
        <v>0.65</v>
      </c>
      <c r="H65" s="911">
        <f>'RFPR cover'!$C$12</f>
        <v>0.65</v>
      </c>
      <c r="I65" s="911">
        <f>'RFPR cover'!$C$12</f>
        <v>0.65</v>
      </c>
      <c r="J65" s="911">
        <f>'RFPR cover'!$C$12</f>
        <v>0.65</v>
      </c>
      <c r="K65" s="912">
        <f>'RFPR cover'!$C$12</f>
        <v>0.65</v>
      </c>
    </row>
    <row r="66" spans="2:11">
      <c r="B66" s="209" t="s">
        <v>236</v>
      </c>
      <c r="C66" s="159" t="s">
        <v>7</v>
      </c>
      <c r="D66" s="245">
        <f t="shared" ref="D66:K66" si="15">IF(ISBLANK(D23),"n/a",D64-D65)</f>
        <v>-0.142035190926461</v>
      </c>
      <c r="E66" s="246">
        <f t="shared" si="15"/>
        <v>-0.15104473937529894</v>
      </c>
      <c r="F66" s="246">
        <f t="shared" si="15"/>
        <v>-0.17390711709902551</v>
      </c>
      <c r="G66" s="246">
        <f t="shared" si="15"/>
        <v>-0.18427367964980734</v>
      </c>
      <c r="H66" s="246">
        <f t="shared" si="15"/>
        <v>-0.1858675607107555</v>
      </c>
      <c r="I66" s="246">
        <f t="shared" si="15"/>
        <v>-0.18061295536998384</v>
      </c>
      <c r="J66" s="246">
        <f t="shared" si="15"/>
        <v>-0.17505466469844716</v>
      </c>
      <c r="K66" s="247">
        <f t="shared" si="15"/>
        <v>-0.17881382508999283</v>
      </c>
    </row>
  </sheetData>
  <sheetProtection password="DA3D" sheet="1" objects="1" scenarios="1" formatCells="0" formatColumns="0" formatRows="0"/>
  <conditionalFormatting sqref="D6:K6">
    <cfRule type="expression" dxfId="26" priority="18">
      <formula>AND(D$5="Actuals",E$5="Forecast")</formula>
    </cfRule>
  </conditionalFormatting>
  <conditionalFormatting sqref="D5:K5">
    <cfRule type="expression" dxfId="25" priority="7">
      <formula>AND(D$5="Actuals",E$5="Forecast")</formula>
    </cfRule>
  </conditionalFormatting>
  <pageMargins left="0.70866141732283472" right="0.70866141732283472" top="0.74803149606299213" bottom="0.74803149606299213" header="0.31496062992125984" footer="0.31496062992125984"/>
  <pageSetup paperSize="8" scale="8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N63"/>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100.125" customWidth="1"/>
    <col min="3" max="3" width="14.125" style="207" customWidth="1"/>
    <col min="4" max="11" width="11.125" customWidth="1"/>
    <col min="12" max="12" width="5" customWidth="1"/>
    <col min="14" max="14" width="9" style="222"/>
  </cols>
  <sheetData>
    <row r="1" spans="1:14" s="32" customFormat="1" ht="20.25">
      <c r="A1" s="381" t="s">
        <v>120</v>
      </c>
      <c r="B1" s="122"/>
      <c r="C1" s="420"/>
      <c r="D1" s="122"/>
      <c r="E1" s="122"/>
      <c r="F1" s="122"/>
      <c r="G1" s="122"/>
      <c r="H1" s="122"/>
      <c r="I1" s="130"/>
      <c r="J1" s="130"/>
      <c r="K1" s="131"/>
      <c r="L1" s="382"/>
      <c r="N1" s="221"/>
    </row>
    <row r="2" spans="1:14" s="32" customFormat="1" ht="20.25">
      <c r="A2" s="125" t="str">
        <f>'RFPR cover'!C5</f>
        <v>NPgY</v>
      </c>
      <c r="B2" s="30"/>
      <c r="C2" s="230"/>
      <c r="D2" s="30"/>
      <c r="E2" s="30"/>
      <c r="F2" s="30"/>
      <c r="G2" s="30"/>
      <c r="H2" s="30"/>
      <c r="I2" s="27"/>
      <c r="J2" s="27"/>
      <c r="K2" s="27"/>
      <c r="L2" s="126"/>
      <c r="N2" s="221"/>
    </row>
    <row r="3" spans="1:14" s="32" customFormat="1" ht="20.25">
      <c r="A3" s="272">
        <f>'RFPR cover'!C7</f>
        <v>2019</v>
      </c>
      <c r="B3" s="273"/>
      <c r="C3" s="421"/>
      <c r="D3" s="273"/>
      <c r="E3" s="273"/>
      <c r="F3" s="273"/>
      <c r="G3" s="273"/>
      <c r="H3" s="273"/>
      <c r="I3" s="266"/>
      <c r="J3" s="266"/>
      <c r="K3" s="266"/>
      <c r="L3" s="274"/>
      <c r="N3" s="221"/>
    </row>
    <row r="4" spans="1:14" s="2" customFormat="1" ht="12.75" customHeight="1">
      <c r="C4" s="1"/>
      <c r="N4" s="133"/>
    </row>
    <row r="5" spans="1:14" s="2" customFormat="1">
      <c r="B5" s="39"/>
      <c r="C5" s="231"/>
      <c r="D5" s="409" t="str">
        <f>IF(D6&lt;='RFPR cover'!$C$7,"Actuals","Forecast")</f>
        <v>Actuals</v>
      </c>
      <c r="E5" s="410" t="str">
        <f>IF(E6&lt;='RFPR cover'!$C$7,"Actuals","Forecast")</f>
        <v>Actuals</v>
      </c>
      <c r="F5" s="410" t="str">
        <f>IF(F6&lt;='RFPR cover'!$C$7,"Actuals","Forecast")</f>
        <v>Actuals</v>
      </c>
      <c r="G5" s="410" t="str">
        <f>IF(G6&lt;='RFPR cover'!$C$7,"Actuals","Forecast")</f>
        <v>Actuals</v>
      </c>
      <c r="H5" s="410" t="str">
        <f>IF(H6&lt;='RFPR cover'!$C$7,"Actuals","Forecast")</f>
        <v>Forecast</v>
      </c>
      <c r="I5" s="410" t="str">
        <f>IF(I6&lt;='RFPR cover'!$C$7,"Actuals","Forecast")</f>
        <v>Forecast</v>
      </c>
      <c r="J5" s="410" t="str">
        <f>IF(J6&lt;='RFPR cover'!$C$7,"Actuals","Forecast")</f>
        <v>Forecast</v>
      </c>
      <c r="K5" s="411" t="str">
        <f>IF(K6&lt;='RFPR cover'!$C$7,"Actuals","Forecast")</f>
        <v>Forecast</v>
      </c>
      <c r="N5" s="133"/>
    </row>
    <row r="6" spans="1:14" s="2" customFormat="1">
      <c r="C6" s="1"/>
      <c r="D6" s="118">
        <f>'RFPR cover'!$C$13</f>
        <v>2016</v>
      </c>
      <c r="E6" s="119">
        <f>D6+1</f>
        <v>2017</v>
      </c>
      <c r="F6" s="119">
        <f t="shared" ref="F6:K6" si="0">E6+1</f>
        <v>2018</v>
      </c>
      <c r="G6" s="119">
        <f t="shared" si="0"/>
        <v>2019</v>
      </c>
      <c r="H6" s="119">
        <f t="shared" si="0"/>
        <v>2020</v>
      </c>
      <c r="I6" s="119">
        <f t="shared" si="0"/>
        <v>2021</v>
      </c>
      <c r="J6" s="119">
        <f t="shared" si="0"/>
        <v>2022</v>
      </c>
      <c r="K6" s="203">
        <f t="shared" si="0"/>
        <v>2023</v>
      </c>
      <c r="N6" s="133"/>
    </row>
    <row r="7" spans="1:14" s="2" customFormat="1">
      <c r="A7" s="36"/>
      <c r="B7" s="36"/>
      <c r="C7" s="338"/>
      <c r="D7" s="454"/>
      <c r="E7" s="454"/>
      <c r="F7" s="454"/>
      <c r="G7" s="454"/>
      <c r="H7" s="454"/>
      <c r="I7" s="454"/>
      <c r="J7" s="454"/>
      <c r="K7" s="454"/>
      <c r="L7" s="36"/>
      <c r="M7" s="36"/>
      <c r="N7" s="234"/>
    </row>
    <row r="8" spans="1:14" s="2" customFormat="1">
      <c r="B8" s="12" t="s">
        <v>322</v>
      </c>
      <c r="N8" s="133"/>
    </row>
    <row r="9" spans="1:14" s="2" customFormat="1">
      <c r="B9" s="388" t="s">
        <v>321</v>
      </c>
      <c r="C9" s="388"/>
      <c r="D9" s="388"/>
      <c r="E9" s="388"/>
      <c r="F9" s="388"/>
      <c r="G9" s="388"/>
      <c r="H9" s="388"/>
      <c r="I9" s="388"/>
      <c r="J9" s="388"/>
      <c r="K9" s="388"/>
      <c r="L9" s="388"/>
      <c r="N9" s="133"/>
    </row>
    <row r="10" spans="1:14" s="36" customFormat="1">
      <c r="B10" s="453"/>
      <c r="C10" s="453"/>
      <c r="D10" s="453"/>
      <c r="E10" s="453"/>
      <c r="F10" s="453"/>
      <c r="G10" s="453"/>
      <c r="H10" s="453"/>
      <c r="I10" s="453"/>
      <c r="J10" s="453"/>
      <c r="K10" s="453"/>
      <c r="L10" s="453"/>
      <c r="N10" s="234"/>
    </row>
    <row r="11" spans="1:14" s="2" customFormat="1">
      <c r="B11" s="209" t="s">
        <v>320</v>
      </c>
      <c r="C11" s="219" t="str">
        <f>'RFPR cover'!$C$14</f>
        <v>£m 12/13</v>
      </c>
      <c r="D11" s="744">
        <v>1524.9276910375202</v>
      </c>
      <c r="E11" s="745">
        <v>1542.9099597277684</v>
      </c>
      <c r="F11" s="745">
        <v>1556.7956484462936</v>
      </c>
      <c r="G11" s="745">
        <v>1581.1588448728601</v>
      </c>
      <c r="H11" s="745">
        <v>1598.0454910146079</v>
      </c>
      <c r="I11" s="745">
        <v>1608.9530795084261</v>
      </c>
      <c r="J11" s="745">
        <v>1622.2820028685187</v>
      </c>
      <c r="K11" s="746">
        <v>1638.3535886627556</v>
      </c>
      <c r="N11" s="133"/>
    </row>
    <row r="12" spans="1:14" s="2" customFormat="1">
      <c r="N12" s="133"/>
    </row>
    <row r="13" spans="1:14" s="2" customFormat="1">
      <c r="B13" s="12" t="s">
        <v>323</v>
      </c>
      <c r="C13" s="1"/>
      <c r="D13" s="1"/>
      <c r="E13" s="1"/>
      <c r="F13" s="1"/>
      <c r="G13" s="1"/>
      <c r="H13" s="1"/>
      <c r="I13" s="1"/>
      <c r="J13" s="1"/>
      <c r="K13" s="1"/>
      <c r="N13" s="133"/>
    </row>
    <row r="14" spans="1:14" s="2" customFormat="1">
      <c r="B14" s="388" t="s">
        <v>345</v>
      </c>
      <c r="C14" s="339"/>
      <c r="D14" s="339"/>
      <c r="E14" s="339"/>
      <c r="F14" s="339"/>
      <c r="G14" s="339"/>
      <c r="H14" s="339"/>
      <c r="I14" s="339"/>
      <c r="J14" s="339"/>
      <c r="K14" s="339"/>
      <c r="L14" s="307"/>
      <c r="N14" s="133"/>
    </row>
    <row r="15" spans="1:14" s="36" customFormat="1">
      <c r="B15" s="453"/>
      <c r="C15" s="338"/>
      <c r="D15" s="338"/>
      <c r="E15" s="338"/>
      <c r="F15" s="338"/>
      <c r="G15" s="338"/>
      <c r="H15" s="338"/>
      <c r="I15" s="338"/>
      <c r="J15" s="338"/>
      <c r="K15" s="338"/>
      <c r="N15" s="234"/>
    </row>
    <row r="16" spans="1:14" s="2" customFormat="1">
      <c r="B16" s="415" t="s">
        <v>324</v>
      </c>
      <c r="C16" s="219" t="str">
        <f>'RFPR cover'!$C$14</f>
        <v>£m 12/13</v>
      </c>
      <c r="D16" s="609">
        <v>1488.431810081476</v>
      </c>
      <c r="E16" s="747">
        <f>D29</f>
        <v>1525.0603756769358</v>
      </c>
      <c r="F16" s="747">
        <f t="shared" ref="F16:K16" si="1">E29</f>
        <v>1543.358566384964</v>
      </c>
      <c r="G16" s="747">
        <f t="shared" si="1"/>
        <v>1557.6001931236326</v>
      </c>
      <c r="H16" s="747">
        <f t="shared" si="1"/>
        <v>1577.5297237525665</v>
      </c>
      <c r="I16" s="747">
        <f t="shared" si="1"/>
        <v>1599.80385966945</v>
      </c>
      <c r="J16" s="747">
        <f t="shared" si="1"/>
        <v>1618.6576860237915</v>
      </c>
      <c r="K16" s="612">
        <f t="shared" si="1"/>
        <v>1645.7487021718114</v>
      </c>
      <c r="N16" s="133"/>
    </row>
    <row r="17" spans="2:14" s="2" customFormat="1">
      <c r="B17" s="415" t="s">
        <v>325</v>
      </c>
      <c r="C17" s="219" t="str">
        <f>'RFPR cover'!$C$14</f>
        <v>£m 12/13</v>
      </c>
      <c r="D17" s="617"/>
      <c r="E17" s="618"/>
      <c r="F17" s="618"/>
      <c r="G17" s="618"/>
      <c r="H17" s="618"/>
      <c r="I17" s="618"/>
      <c r="J17" s="618"/>
      <c r="K17" s="711"/>
      <c r="N17" s="133"/>
    </row>
    <row r="18" spans="2:14" s="2" customFormat="1">
      <c r="B18" s="12" t="s">
        <v>326</v>
      </c>
      <c r="C18" s="219" t="str">
        <f>'RFPR cover'!$C$14</f>
        <v>£m 12/13</v>
      </c>
      <c r="D18" s="748">
        <f>SUM(D16:D17)</f>
        <v>1488.431810081476</v>
      </c>
      <c r="E18" s="749">
        <f t="shared" ref="E18:K18" si="2">SUM(E16:E17)</f>
        <v>1525.0603756769358</v>
      </c>
      <c r="F18" s="749">
        <f t="shared" si="2"/>
        <v>1543.358566384964</v>
      </c>
      <c r="G18" s="749">
        <f t="shared" si="2"/>
        <v>1557.6001931236326</v>
      </c>
      <c r="H18" s="749">
        <f t="shared" si="2"/>
        <v>1577.5297237525665</v>
      </c>
      <c r="I18" s="749">
        <f t="shared" si="2"/>
        <v>1599.80385966945</v>
      </c>
      <c r="J18" s="749">
        <f t="shared" si="2"/>
        <v>1618.6576860237915</v>
      </c>
      <c r="K18" s="750">
        <f t="shared" si="2"/>
        <v>1645.7487021718114</v>
      </c>
      <c r="N18" s="133"/>
    </row>
    <row r="19" spans="2:14" s="2" customFormat="1">
      <c r="B19" s="417" t="s">
        <v>327</v>
      </c>
      <c r="C19" s="219" t="str">
        <f>'RFPR cover'!$C$14</f>
        <v>£m 12/13</v>
      </c>
      <c r="D19" s="613">
        <v>171.7240090626255</v>
      </c>
      <c r="E19" s="614">
        <v>155.88325980117398</v>
      </c>
      <c r="F19" s="614">
        <v>152.36347562158537</v>
      </c>
      <c r="G19" s="614">
        <v>155.78113451983947</v>
      </c>
      <c r="H19" s="614">
        <v>155.5793162673198</v>
      </c>
      <c r="I19" s="614">
        <v>150.99332621297171</v>
      </c>
      <c r="J19" s="614">
        <v>148.2822687567521</v>
      </c>
      <c r="K19" s="710">
        <v>150.79327303612058</v>
      </c>
      <c r="N19" s="133"/>
    </row>
    <row r="20" spans="2:14" s="2" customFormat="1">
      <c r="B20" s="417" t="s">
        <v>334</v>
      </c>
      <c r="C20" s="219" t="str">
        <f>'RFPR cover'!$C$14</f>
        <v>£m 12/13</v>
      </c>
      <c r="D20" s="617">
        <v>0.13268463941569208</v>
      </c>
      <c r="E20" s="618">
        <v>0.32165973191682928</v>
      </c>
      <c r="F20" s="618">
        <v>0.37392943835331405</v>
      </c>
      <c r="G20" s="618">
        <v>0.95684479012899948</v>
      </c>
      <c r="H20" s="618">
        <v>2.35096445100395</v>
      </c>
      <c r="I20" s="618">
        <v>3.0291784357843698</v>
      </c>
      <c r="J20" s="618">
        <v>1.6065067355896492</v>
      </c>
      <c r="K20" s="711">
        <v>2.0682857538606059</v>
      </c>
      <c r="N20" s="133"/>
    </row>
    <row r="21" spans="2:14" s="2" customFormat="1">
      <c r="B21" s="416" t="s">
        <v>330</v>
      </c>
      <c r="C21" s="219" t="str">
        <f>'RFPR cover'!$C$14</f>
        <v>£m 12/13</v>
      </c>
      <c r="D21" s="748">
        <f t="shared" ref="D21:K21" si="3">SUM(D19:D20)</f>
        <v>171.85669370204118</v>
      </c>
      <c r="E21" s="749">
        <f t="shared" si="3"/>
        <v>156.20491953309082</v>
      </c>
      <c r="F21" s="749">
        <f t="shared" si="3"/>
        <v>152.73740505993868</v>
      </c>
      <c r="G21" s="749">
        <f t="shared" si="3"/>
        <v>156.73797930996847</v>
      </c>
      <c r="H21" s="749">
        <f t="shared" si="3"/>
        <v>157.93028071832376</v>
      </c>
      <c r="I21" s="749">
        <f t="shared" si="3"/>
        <v>154.02250464875607</v>
      </c>
      <c r="J21" s="749">
        <f t="shared" si="3"/>
        <v>149.88877549234175</v>
      </c>
      <c r="K21" s="750">
        <f t="shared" si="3"/>
        <v>152.86155878998119</v>
      </c>
      <c r="N21" s="133"/>
    </row>
    <row r="22" spans="2:14" s="2" customFormat="1">
      <c r="B22" s="417" t="s">
        <v>328</v>
      </c>
      <c r="C22" s="219" t="str">
        <f>'RFPR cover'!$C$14</f>
        <v>£m 12/13</v>
      </c>
      <c r="D22" s="613">
        <v>-135.22812810658132</v>
      </c>
      <c r="E22" s="614">
        <v>-137.90099111092576</v>
      </c>
      <c r="F22" s="614">
        <v>-138.47778690306009</v>
      </c>
      <c r="G22" s="614">
        <v>-136.7777277500297</v>
      </c>
      <c r="H22" s="614">
        <v>-135.59598187937348</v>
      </c>
      <c r="I22" s="614">
        <v>-135.042522836046</v>
      </c>
      <c r="J22" s="614">
        <v>-122.59343116629591</v>
      </c>
      <c r="K22" s="710">
        <v>-123.42610403282799</v>
      </c>
      <c r="N22" s="133"/>
    </row>
    <row r="23" spans="2:14" s="2" customFormat="1">
      <c r="B23" s="417" t="s">
        <v>329</v>
      </c>
      <c r="C23" s="219" t="str">
        <f>'RFPR cover'!$C$14</f>
        <v>£m 12/13</v>
      </c>
      <c r="D23" s="617">
        <v>0</v>
      </c>
      <c r="E23" s="618">
        <v>-5.7377141368988305E-3</v>
      </c>
      <c r="F23" s="618">
        <v>-1.7991418209930998E-2</v>
      </c>
      <c r="G23" s="618">
        <v>-3.0720931004935892E-2</v>
      </c>
      <c r="H23" s="618">
        <v>-6.0162922066808733E-2</v>
      </c>
      <c r="I23" s="618">
        <v>-0.12615545836857223</v>
      </c>
      <c r="J23" s="618">
        <v>-0.20432817802588943</v>
      </c>
      <c r="K23" s="711">
        <v>-0.24269251798027369</v>
      </c>
      <c r="N23" s="133"/>
    </row>
    <row r="24" spans="2:14" s="2" customFormat="1">
      <c r="B24" s="416" t="s">
        <v>331</v>
      </c>
      <c r="C24" s="219" t="str">
        <f>'RFPR cover'!$C$14</f>
        <v>£m 12/13</v>
      </c>
      <c r="D24" s="748">
        <f t="shared" ref="D24:K24" si="4">SUM(D22:D23)</f>
        <v>-135.22812810658132</v>
      </c>
      <c r="E24" s="749">
        <f t="shared" si="4"/>
        <v>-137.90672882506266</v>
      </c>
      <c r="F24" s="749">
        <f t="shared" si="4"/>
        <v>-138.49577832127002</v>
      </c>
      <c r="G24" s="749">
        <f t="shared" si="4"/>
        <v>-136.80844868103463</v>
      </c>
      <c r="H24" s="749">
        <f t="shared" si="4"/>
        <v>-135.65614480144029</v>
      </c>
      <c r="I24" s="749">
        <f t="shared" si="4"/>
        <v>-135.16867829441458</v>
      </c>
      <c r="J24" s="749">
        <f t="shared" si="4"/>
        <v>-122.7977593443218</v>
      </c>
      <c r="K24" s="750">
        <f t="shared" si="4"/>
        <v>-123.66879655080827</v>
      </c>
      <c r="N24" s="133"/>
    </row>
    <row r="25" spans="2:14" s="2" customFormat="1">
      <c r="B25" s="418" t="s">
        <v>268</v>
      </c>
      <c r="C25" s="219" t="str">
        <f>'RFPR cover'!$C$14</f>
        <v>£m 12/13</v>
      </c>
      <c r="D25" s="751"/>
      <c r="E25" s="752"/>
      <c r="F25" s="752"/>
      <c r="G25" s="752"/>
      <c r="H25" s="752"/>
      <c r="I25" s="752"/>
      <c r="J25" s="752"/>
      <c r="K25" s="753"/>
      <c r="N25" s="133"/>
    </row>
    <row r="26" spans="2:14" s="2" customFormat="1">
      <c r="B26" s="418" t="s">
        <v>268</v>
      </c>
      <c r="C26" s="219" t="str">
        <f>'RFPR cover'!$C$14</f>
        <v>£m 12/13</v>
      </c>
      <c r="D26" s="751"/>
      <c r="E26" s="752"/>
      <c r="F26" s="752"/>
      <c r="G26" s="752"/>
      <c r="H26" s="752"/>
      <c r="I26" s="752"/>
      <c r="J26" s="752"/>
      <c r="K26" s="753"/>
      <c r="N26" s="133"/>
    </row>
    <row r="27" spans="2:14" s="2" customFormat="1">
      <c r="B27" s="418" t="s">
        <v>268</v>
      </c>
      <c r="C27" s="219" t="str">
        <f>'RFPR cover'!$C$14</f>
        <v>£m 12/13</v>
      </c>
      <c r="D27" s="751"/>
      <c r="E27" s="752"/>
      <c r="F27" s="752"/>
      <c r="G27" s="752"/>
      <c r="H27" s="752"/>
      <c r="I27" s="752"/>
      <c r="J27" s="752"/>
      <c r="K27" s="753"/>
      <c r="N27" s="133"/>
    </row>
    <row r="28" spans="2:14" s="2" customFormat="1">
      <c r="B28" s="416" t="s">
        <v>332</v>
      </c>
      <c r="C28" s="219" t="str">
        <f>'RFPR cover'!$C$14</f>
        <v>£m 12/13</v>
      </c>
      <c r="D28" s="754">
        <f>SUM(D25:D27)</f>
        <v>0</v>
      </c>
      <c r="E28" s="755">
        <f t="shared" ref="E28:K28" si="5">SUM(E25:E27)</f>
        <v>0</v>
      </c>
      <c r="F28" s="755">
        <f t="shared" si="5"/>
        <v>0</v>
      </c>
      <c r="G28" s="755">
        <f t="shared" si="5"/>
        <v>0</v>
      </c>
      <c r="H28" s="755">
        <f t="shared" si="5"/>
        <v>0</v>
      </c>
      <c r="I28" s="755">
        <f t="shared" si="5"/>
        <v>0</v>
      </c>
      <c r="J28" s="755">
        <f t="shared" si="5"/>
        <v>0</v>
      </c>
      <c r="K28" s="756">
        <f t="shared" si="5"/>
        <v>0</v>
      </c>
      <c r="N28" s="133"/>
    </row>
    <row r="29" spans="2:14" s="2" customFormat="1">
      <c r="B29" s="12" t="s">
        <v>333</v>
      </c>
      <c r="C29" s="219" t="str">
        <f>'RFPR cover'!$C$14</f>
        <v>£m 12/13</v>
      </c>
      <c r="D29" s="757">
        <f>D18+D21+D24+D28</f>
        <v>1525.0603756769358</v>
      </c>
      <c r="E29" s="758">
        <f t="shared" ref="E29:K29" si="6">E18+E21+E24+E28</f>
        <v>1543.358566384964</v>
      </c>
      <c r="F29" s="758">
        <f t="shared" si="6"/>
        <v>1557.6001931236326</v>
      </c>
      <c r="G29" s="758">
        <f t="shared" si="6"/>
        <v>1577.5297237525665</v>
      </c>
      <c r="H29" s="758">
        <f t="shared" si="6"/>
        <v>1599.80385966945</v>
      </c>
      <c r="I29" s="758">
        <f t="shared" si="6"/>
        <v>1618.6576860237915</v>
      </c>
      <c r="J29" s="758">
        <f t="shared" si="6"/>
        <v>1645.7487021718114</v>
      </c>
      <c r="K29" s="759">
        <f t="shared" si="6"/>
        <v>1674.9414644109843</v>
      </c>
      <c r="N29" s="133"/>
    </row>
    <row r="30" spans="2:14" s="2" customFormat="1">
      <c r="B30" s="12"/>
      <c r="C30" s="219"/>
      <c r="D30" s="219"/>
      <c r="E30" s="219"/>
      <c r="F30" s="219"/>
      <c r="G30" s="219"/>
      <c r="H30" s="219"/>
      <c r="I30" s="219"/>
      <c r="J30" s="219"/>
      <c r="K30" s="219"/>
      <c r="L30" s="219"/>
      <c r="N30" s="133"/>
    </row>
    <row r="31" spans="2:14" s="2" customFormat="1">
      <c r="B31" s="12" t="s">
        <v>515</v>
      </c>
      <c r="C31" s="219" t="str">
        <f>'RFPR cover'!$C$14</f>
        <v>£m 12/13</v>
      </c>
      <c r="D31" s="757">
        <f t="shared" ref="D31:K31" si="7">(D20+D23+D28)</f>
        <v>0.13268463941569208</v>
      </c>
      <c r="E31" s="757">
        <f t="shared" si="7"/>
        <v>0.31592201777993045</v>
      </c>
      <c r="F31" s="757">
        <f t="shared" si="7"/>
        <v>0.35593802014338305</v>
      </c>
      <c r="G31" s="757">
        <f t="shared" si="7"/>
        <v>0.92612385912406359</v>
      </c>
      <c r="H31" s="757">
        <f t="shared" si="7"/>
        <v>2.2908015289371413</v>
      </c>
      <c r="I31" s="757">
        <f t="shared" si="7"/>
        <v>2.9030229774157976</v>
      </c>
      <c r="J31" s="757">
        <f t="shared" si="7"/>
        <v>1.4021785575637598</v>
      </c>
      <c r="K31" s="757">
        <f t="shared" si="7"/>
        <v>1.8255932358803322</v>
      </c>
      <c r="L31" s="219"/>
      <c r="N31" s="133"/>
    </row>
    <row r="32" spans="2:14" s="2" customFormat="1">
      <c r="B32" s="12" t="s">
        <v>516</v>
      </c>
      <c r="C32" s="219"/>
      <c r="D32" s="540" t="b">
        <f>IF(D5="Actuals",IF(D31&gt;=0,(D29-SUM($D$31:D31))-D11&lt;'RFPR cover'!$F$14,(D29-SUM($D$31:D31))-D11&lt;'RFPR cover'!$F$14), "NA")</f>
        <v>1</v>
      </c>
      <c r="E32" s="540" t="b">
        <f>IF(E5="Actuals",IF(E31&gt;=0,(E29-SUM($D$31:E31))-E11&lt;'RFPR cover'!$F$14,(E29-SUM($D$31:E31))-E11&lt;'RFPR cover'!$F$14), "NA")</f>
        <v>1</v>
      </c>
      <c r="F32" s="540" t="b">
        <f>IF(F5="Actuals",IF(F31&gt;=0,(F29-SUM($D$31:F31))-F11&lt;'RFPR cover'!$F$14,(F29-SUM($D$31:F31))-F11&lt;'RFPR cover'!$F$14), "NA")</f>
        <v>1</v>
      </c>
      <c r="G32" s="540" t="b">
        <f>IF(G5="Actuals",IF(G31&gt;=0,(G29-SUM($D$31:G31))-G11&lt;'RFPR cover'!$F$14,(G29-SUM($D$31:G31))-G11&lt;'RFPR cover'!$F$14), "NA")</f>
        <v>1</v>
      </c>
      <c r="H32" s="540" t="str">
        <f>IF(H5="Actuals",IF(H31&gt;=0,(H29-SUM($D$31:H31))-H11&lt;'RFPR cover'!$F$14,(H29-SUM($D$31:H31))-H11&lt;'RFPR cover'!$F$14), "NA")</f>
        <v>NA</v>
      </c>
      <c r="I32" s="540" t="str">
        <f>IF(I5="Actuals",IF(I31&gt;=0,(I29-SUM($D$31:I31))-I11&lt;'RFPR cover'!$F$14,(I29-SUM($D$31:I31))-I11&lt;'RFPR cover'!$F$14), "NA")</f>
        <v>NA</v>
      </c>
      <c r="J32" s="540" t="str">
        <f>IF(J5="Actuals",IF(J31&gt;=0,(J29-SUM($D$31:J31))-J11&lt;'RFPR cover'!$F$14,(J29-SUM($D$31:J31))-J11&lt;'RFPR cover'!$F$14), "NA")</f>
        <v>NA</v>
      </c>
      <c r="K32" s="540" t="str">
        <f>IF(K5="Actuals",IF(K31&gt;=0,(K29-SUM($D$31:K31))-K11&lt;'RFPR cover'!$F$14,(K29-SUM($D$31:K31))-K11&lt;'RFPR cover'!$F$14), "NA")</f>
        <v>NA</v>
      </c>
      <c r="L32" s="219"/>
      <c r="N32" s="133"/>
    </row>
    <row r="33" spans="2:14" s="36" customFormat="1">
      <c r="B33" s="52"/>
      <c r="C33" s="502"/>
      <c r="D33" s="503"/>
      <c r="E33" s="503"/>
      <c r="F33" s="503"/>
      <c r="G33" s="503"/>
      <c r="H33" s="503"/>
      <c r="I33" s="503"/>
      <c r="J33" s="503"/>
      <c r="K33" s="503"/>
      <c r="N33" s="234"/>
    </row>
    <row r="34" spans="2:14" s="36" customFormat="1">
      <c r="B34" s="52" t="s">
        <v>42</v>
      </c>
      <c r="C34" s="280" t="s">
        <v>127</v>
      </c>
      <c r="D34" s="113">
        <f>Data!C$35</f>
        <v>1.0677429242873198</v>
      </c>
      <c r="E34" s="113">
        <f>Data!D$35</f>
        <v>1.1033002963114336</v>
      </c>
      <c r="F34" s="113">
        <f>Data!E$35</f>
        <v>1.1402881373250229</v>
      </c>
      <c r="G34" s="113">
        <f>Data!F$35</f>
        <v>1.171554102380709</v>
      </c>
      <c r="H34" s="113">
        <f>Data!G$35</f>
        <v>1.2023073975682026</v>
      </c>
      <c r="I34" s="113">
        <f>Data!H$35</f>
        <v>1.2356714278507201</v>
      </c>
      <c r="J34" s="113">
        <f>Data!I$35</f>
        <v>1.2730504885432044</v>
      </c>
      <c r="K34" s="113">
        <f>Data!J$35</f>
        <v>1.312196791065908</v>
      </c>
      <c r="N34" s="234"/>
    </row>
    <row r="35" spans="2:14" s="32" customFormat="1">
      <c r="B35" s="38" t="s">
        <v>379</v>
      </c>
      <c r="C35" s="280" t="s">
        <v>127</v>
      </c>
      <c r="D35" s="113">
        <f>Data!C$34</f>
        <v>1.0603167467048125</v>
      </c>
      <c r="E35" s="114">
        <f>Data!D$34</f>
        <v>1.0830366813119445</v>
      </c>
      <c r="F35" s="114">
        <f>Data!E$34</f>
        <v>1.1235639113109226</v>
      </c>
      <c r="G35" s="114">
        <f>Data!F$34</f>
        <v>1.1578951670583426</v>
      </c>
      <c r="H35" s="114">
        <f>Data!G$34</f>
        <v>1.1882899151936241</v>
      </c>
      <c r="I35" s="114">
        <f>Data!H$34</f>
        <v>1.2212649603402472</v>
      </c>
      <c r="J35" s="114">
        <f>Data!I$34</f>
        <v>1.2582082253905398</v>
      </c>
      <c r="K35" s="115">
        <f>Data!J$34</f>
        <v>1.296898128321299</v>
      </c>
      <c r="L35" s="243"/>
      <c r="N35" s="221"/>
    </row>
    <row r="36" spans="2:14" s="32" customFormat="1">
      <c r="B36" s="179" t="s">
        <v>513</v>
      </c>
      <c r="C36" s="280" t="s">
        <v>127</v>
      </c>
      <c r="D36" s="904">
        <f>INDEX(Data!$F$14:$F$30,MATCH($D$6-1,Data!$C$14:$C$30,0),0)/IF('RFPR cover'!$C$6="ED1",Data!$E$17,Data!$E$14)</f>
        <v>1.0526208235414325</v>
      </c>
      <c r="E36" s="905"/>
      <c r="F36" s="905"/>
      <c r="G36" s="905"/>
      <c r="H36" s="905"/>
      <c r="I36" s="905"/>
      <c r="J36" s="905"/>
      <c r="K36" s="905"/>
      <c r="L36" s="243"/>
      <c r="N36" s="221"/>
    </row>
    <row r="37" spans="2:14" s="36" customFormat="1">
      <c r="B37" s="52"/>
      <c r="C37" s="502"/>
      <c r="D37" s="503"/>
      <c r="E37" s="503"/>
      <c r="F37" s="503"/>
      <c r="G37" s="503"/>
      <c r="H37" s="503"/>
      <c r="I37" s="503"/>
      <c r="J37" s="503"/>
      <c r="K37" s="503"/>
      <c r="N37" s="234"/>
    </row>
    <row r="38" spans="2:14" s="2" customFormat="1">
      <c r="B38" s="12" t="s">
        <v>333</v>
      </c>
      <c r="C38" s="279" t="s">
        <v>128</v>
      </c>
      <c r="D38" s="757">
        <f t="shared" ref="D38:K38" si="8">D29*D34</f>
        <v>1628.37242524001</v>
      </c>
      <c r="E38" s="757">
        <f t="shared" si="8"/>
        <v>1702.7879636073201</v>
      </c>
      <c r="F38" s="757">
        <f t="shared" si="8"/>
        <v>1776.1130229140429</v>
      </c>
      <c r="G38" s="757">
        <f t="shared" si="8"/>
        <v>1848.1614194898259</v>
      </c>
      <c r="H38" s="757">
        <f t="shared" si="8"/>
        <v>1923.4560151387425</v>
      </c>
      <c r="I38" s="757">
        <f t="shared" si="8"/>
        <v>2000.1290540905611</v>
      </c>
      <c r="J38" s="757">
        <f t="shared" si="8"/>
        <v>2095.1211893191689</v>
      </c>
      <c r="K38" s="757">
        <f t="shared" si="8"/>
        <v>2197.8528148233263</v>
      </c>
      <c r="N38" s="133"/>
    </row>
    <row r="39" spans="2:14" s="2" customFormat="1">
      <c r="B39" s="12"/>
      <c r="C39" s="219"/>
      <c r="D39" s="219"/>
      <c r="E39" s="219"/>
      <c r="F39" s="219"/>
      <c r="G39" s="219"/>
      <c r="H39" s="219"/>
      <c r="I39" s="219"/>
      <c r="J39" s="219"/>
      <c r="K39" s="219"/>
      <c r="N39" s="133"/>
    </row>
    <row r="40" spans="2:14" s="2" customFormat="1">
      <c r="B40" s="531" t="s">
        <v>336</v>
      </c>
      <c r="C40" s="219" t="s">
        <v>339</v>
      </c>
      <c r="D40" s="433">
        <f>INDEX(Data!$K$73:$T$100,MATCH('RFPR cover'!$C$5,Data!$B$73:$B$100,0),MATCH('R9 - RAV'!D$6,Data!$K$72:$T$72,0))</f>
        <v>2.5499999999999998E-2</v>
      </c>
      <c r="E40" s="434">
        <f>INDEX(Data!$K$73:$T$100,MATCH('RFPR cover'!$C$5,Data!$B$73:$B$100,0),MATCH('R9 - RAV'!E$6,Data!$K$72:$T$72,0))</f>
        <v>2.4199999999999999E-2</v>
      </c>
      <c r="F40" s="434">
        <f>INDEX(Data!$K$73:$T$100,MATCH('RFPR cover'!$C$5,Data!$B$73:$B$100,0),MATCH('R9 - RAV'!F$6,Data!$K$72:$T$72,0))</f>
        <v>2.29E-2</v>
      </c>
      <c r="G40" s="434">
        <f>INDEX(Data!$K$73:$T$100,MATCH('RFPR cover'!$C$5,Data!$B$73:$B$100,0),MATCH('R9 - RAV'!G$6,Data!$K$72:$T$72,0))</f>
        <v>2.0899999999999998E-2</v>
      </c>
      <c r="H40" s="434">
        <f>INDEX(Data!$K$73:$T$100,MATCH('RFPR cover'!$C$5,Data!$B$73:$B$100,0),MATCH('R9 - RAV'!H$6,Data!$K$72:$T$72,0))</f>
        <v>1.9400000000000001E-2</v>
      </c>
      <c r="I40" s="434">
        <f>INDEX(Data!$K$73:$T$100,MATCH('RFPR cover'!$C$5,Data!$B$73:$B$100,0),MATCH('R9 - RAV'!I$6,Data!$K$72:$T$72,0))</f>
        <v>1.8200000000000001E-2</v>
      </c>
      <c r="J40" s="434">
        <f>INDEX(Data!$K$73:$T$100,MATCH('RFPR cover'!$C$5,Data!$B$73:$B$100,0),MATCH('R9 - RAV'!J$6,Data!$K$72:$T$72,0))</f>
        <v>1.72E-2</v>
      </c>
      <c r="K40" s="435">
        <f>INDEX(Data!$K$73:$T$100,MATCH('RFPR cover'!$C$5,Data!$B$73:$B$100,0),MATCH('R9 - RAV'!K$6,Data!$K$72:$T$72,0))</f>
        <v>1.6299999999999999E-2</v>
      </c>
      <c r="N40" s="133"/>
    </row>
    <row r="41" spans="2:14" s="2" customFormat="1">
      <c r="B41" s="531" t="s">
        <v>337</v>
      </c>
      <c r="C41" s="219" t="s">
        <v>339</v>
      </c>
      <c r="D41" s="436">
        <f>'RFPR cover'!$C$10</f>
        <v>0.06</v>
      </c>
      <c r="E41" s="437">
        <f>'RFPR cover'!$C$10</f>
        <v>0.06</v>
      </c>
      <c r="F41" s="437">
        <f>'RFPR cover'!$C$10</f>
        <v>0.06</v>
      </c>
      <c r="G41" s="437">
        <f>'RFPR cover'!$C$10</f>
        <v>0.06</v>
      </c>
      <c r="H41" s="437">
        <f>'RFPR cover'!$C$10</f>
        <v>0.06</v>
      </c>
      <c r="I41" s="437">
        <f>'RFPR cover'!$C$10</f>
        <v>0.06</v>
      </c>
      <c r="J41" s="437">
        <f>'RFPR cover'!$C$10</f>
        <v>0.06</v>
      </c>
      <c r="K41" s="438">
        <f>'RFPR cover'!$C$10</f>
        <v>0.06</v>
      </c>
      <c r="N41" s="133"/>
    </row>
    <row r="42" spans="2:14" s="2" customFormat="1">
      <c r="B42" s="531" t="s">
        <v>338</v>
      </c>
      <c r="C42" s="219" t="s">
        <v>7</v>
      </c>
      <c r="D42" s="439">
        <f>'RFPR cover'!$C$12</f>
        <v>0.65</v>
      </c>
      <c r="E42" s="440">
        <f>'RFPR cover'!$C$12</f>
        <v>0.65</v>
      </c>
      <c r="F42" s="440">
        <f>'RFPR cover'!$C$12</f>
        <v>0.65</v>
      </c>
      <c r="G42" s="440">
        <f>'RFPR cover'!$C$12</f>
        <v>0.65</v>
      </c>
      <c r="H42" s="440">
        <f>'RFPR cover'!$C$12</f>
        <v>0.65</v>
      </c>
      <c r="I42" s="440">
        <f>'RFPR cover'!$C$12</f>
        <v>0.65</v>
      </c>
      <c r="J42" s="440">
        <f>'RFPR cover'!$C$12</f>
        <v>0.65</v>
      </c>
      <c r="K42" s="441">
        <f>'RFPR cover'!$C$12</f>
        <v>0.65</v>
      </c>
      <c r="N42" s="133"/>
    </row>
    <row r="43" spans="2:14">
      <c r="B43" s="209" t="s">
        <v>273</v>
      </c>
      <c r="C43" s="419" t="s">
        <v>339</v>
      </c>
      <c r="D43" s="430">
        <f t="shared" ref="D43:K43" si="9">D40*D42+D41*(1-D42)</f>
        <v>3.7574999999999997E-2</v>
      </c>
      <c r="E43" s="431">
        <f t="shared" si="9"/>
        <v>3.6729999999999999E-2</v>
      </c>
      <c r="F43" s="431">
        <f t="shared" si="9"/>
        <v>3.5885E-2</v>
      </c>
      <c r="G43" s="431">
        <f t="shared" si="9"/>
        <v>3.4584999999999998E-2</v>
      </c>
      <c r="H43" s="431">
        <f t="shared" si="9"/>
        <v>3.3610000000000001E-2</v>
      </c>
      <c r="I43" s="431">
        <f t="shared" si="9"/>
        <v>3.2829999999999998E-2</v>
      </c>
      <c r="J43" s="431">
        <f t="shared" si="9"/>
        <v>3.218E-2</v>
      </c>
      <c r="K43" s="432">
        <f t="shared" si="9"/>
        <v>3.1594999999999998E-2</v>
      </c>
      <c r="L43" s="220"/>
    </row>
    <row r="44" spans="2:14">
      <c r="C44" s="232"/>
      <c r="D44" s="227"/>
      <c r="E44" s="227"/>
      <c r="F44" s="227"/>
      <c r="G44" s="227"/>
      <c r="H44" s="227"/>
      <c r="I44" s="227"/>
      <c r="J44" s="227"/>
      <c r="K44" s="227"/>
    </row>
    <row r="45" spans="2:14">
      <c r="B45" s="391" t="s">
        <v>340</v>
      </c>
      <c r="C45" s="419" t="str">
        <f>'RFPR cover'!$C$14</f>
        <v>£m 12/13</v>
      </c>
      <c r="D45" s="96">
        <f t="shared" ref="D45:K45" si="10">D47*D42</f>
        <v>961.435562327757</v>
      </c>
      <c r="E45" s="97">
        <f t="shared" si="10"/>
        <v>979.46541832460423</v>
      </c>
      <c r="F45" s="97">
        <f t="shared" si="10"/>
        <v>990.27518406056606</v>
      </c>
      <c r="G45" s="97">
        <f t="shared" si="10"/>
        <v>1001.7783399677149</v>
      </c>
      <c r="H45" s="97">
        <f t="shared" si="10"/>
        <v>1015.7265952991319</v>
      </c>
      <c r="I45" s="97">
        <f t="shared" si="10"/>
        <v>1029.2783028978745</v>
      </c>
      <c r="J45" s="97">
        <f t="shared" si="10"/>
        <v>1044.2566292437859</v>
      </c>
      <c r="K45" s="98">
        <f t="shared" si="10"/>
        <v>1062.5521342862965</v>
      </c>
    </row>
    <row r="46" spans="2:14">
      <c r="B46" s="391" t="s">
        <v>232</v>
      </c>
      <c r="C46" s="419" t="str">
        <f>'RFPR cover'!$C$14</f>
        <v>£m 12/13</v>
      </c>
      <c r="D46" s="546">
        <f t="shared" ref="D46:K46" si="11">D47*(1-D42)</f>
        <v>517.69607202263842</v>
      </c>
      <c r="E46" s="547">
        <f t="shared" si="11"/>
        <v>527.40445602094076</v>
      </c>
      <c r="F46" s="547">
        <f t="shared" si="11"/>
        <v>533.22509910953545</v>
      </c>
      <c r="G46" s="547">
        <f t="shared" si="11"/>
        <v>539.41910613646189</v>
      </c>
      <c r="H46" s="547">
        <f t="shared" si="11"/>
        <v>546.92970516107096</v>
      </c>
      <c r="I46" s="547">
        <f t="shared" si="11"/>
        <v>554.22677848347087</v>
      </c>
      <c r="J46" s="547">
        <f t="shared" si="11"/>
        <v>562.29203113126925</v>
      </c>
      <c r="K46" s="548">
        <f t="shared" si="11"/>
        <v>572.14345692339032</v>
      </c>
    </row>
    <row r="47" spans="2:14">
      <c r="B47" s="209" t="s">
        <v>231</v>
      </c>
      <c r="C47" s="219" t="str">
        <f>'RFPR cover'!$C$14</f>
        <v>£m 12/13</v>
      </c>
      <c r="D47" s="103">
        <f t="shared" ref="D47:K47" si="12">AVERAGE(D16,D29*(1/(1+D43)))</f>
        <v>1479.1316343503954</v>
      </c>
      <c r="E47" s="104">
        <f t="shared" si="12"/>
        <v>1506.869874345545</v>
      </c>
      <c r="F47" s="104">
        <f t="shared" si="12"/>
        <v>1523.5002831701015</v>
      </c>
      <c r="G47" s="104">
        <f t="shared" si="12"/>
        <v>1541.1974461041768</v>
      </c>
      <c r="H47" s="104">
        <f t="shared" si="12"/>
        <v>1562.6563004602028</v>
      </c>
      <c r="I47" s="104">
        <f t="shared" si="12"/>
        <v>1583.5050813813455</v>
      </c>
      <c r="J47" s="104">
        <f t="shared" si="12"/>
        <v>1606.5486603750551</v>
      </c>
      <c r="K47" s="105">
        <f t="shared" si="12"/>
        <v>1634.6955912096869</v>
      </c>
      <c r="N47" s="223"/>
    </row>
    <row r="48" spans="2:14">
      <c r="B48" s="209"/>
      <c r="C48" s="219"/>
      <c r="D48" s="219"/>
      <c r="E48" s="219"/>
      <c r="F48" s="219"/>
      <c r="G48" s="219"/>
      <c r="H48" s="219"/>
      <c r="I48" s="219"/>
      <c r="J48" s="219"/>
      <c r="K48" s="219"/>
      <c r="N48" s="223"/>
    </row>
    <row r="49" spans="2:14">
      <c r="B49" s="391" t="s">
        <v>341</v>
      </c>
      <c r="C49" s="419" t="str">
        <f>'RFPR cover'!$C$14</f>
        <v>£m 12/13</v>
      </c>
      <c r="D49" s="760">
        <f>D40*D45</f>
        <v>24.516606839357802</v>
      </c>
      <c r="E49" s="761">
        <f t="shared" ref="D49:K50" si="13">E40*E45</f>
        <v>23.703063123455422</v>
      </c>
      <c r="F49" s="761">
        <f t="shared" si="13"/>
        <v>22.677301714986964</v>
      </c>
      <c r="G49" s="761">
        <f t="shared" si="13"/>
        <v>20.937167305325239</v>
      </c>
      <c r="H49" s="761">
        <f t="shared" si="13"/>
        <v>19.705095948803159</v>
      </c>
      <c r="I49" s="761">
        <f t="shared" si="13"/>
        <v>18.732865112741315</v>
      </c>
      <c r="J49" s="761">
        <f t="shared" si="13"/>
        <v>17.961214022993119</v>
      </c>
      <c r="K49" s="762">
        <f t="shared" si="13"/>
        <v>17.319599788866629</v>
      </c>
    </row>
    <row r="50" spans="2:14">
      <c r="B50" s="391" t="s">
        <v>229</v>
      </c>
      <c r="C50" s="419" t="str">
        <f>'RFPR cover'!$C$14</f>
        <v>£m 12/13</v>
      </c>
      <c r="D50" s="93">
        <f t="shared" si="13"/>
        <v>31.061764321358304</v>
      </c>
      <c r="E50" s="94">
        <f t="shared" si="13"/>
        <v>31.644267361256443</v>
      </c>
      <c r="F50" s="94">
        <f t="shared" si="13"/>
        <v>31.993505946572125</v>
      </c>
      <c r="G50" s="94">
        <f t="shared" si="13"/>
        <v>32.365146368187709</v>
      </c>
      <c r="H50" s="94">
        <f t="shared" si="13"/>
        <v>32.815782309664257</v>
      </c>
      <c r="I50" s="94">
        <f t="shared" si="13"/>
        <v>33.253606709008253</v>
      </c>
      <c r="J50" s="94">
        <f t="shared" si="13"/>
        <v>33.737521867876154</v>
      </c>
      <c r="K50" s="95">
        <f t="shared" si="13"/>
        <v>34.328607415403418</v>
      </c>
      <c r="N50" s="223"/>
    </row>
    <row r="51" spans="2:14">
      <c r="B51" s="209" t="s">
        <v>343</v>
      </c>
      <c r="C51" s="419" t="str">
        <f>'RFPR cover'!$C$14</f>
        <v>£m 12/13</v>
      </c>
      <c r="D51" s="103">
        <f>SUM(D49:D50)</f>
        <v>55.578371160716102</v>
      </c>
      <c r="E51" s="104">
        <f t="shared" ref="E51:K51" si="14">SUM(E49:E50)</f>
        <v>55.347330484711861</v>
      </c>
      <c r="F51" s="104">
        <f t="shared" si="14"/>
        <v>54.670807661559088</v>
      </c>
      <c r="G51" s="104">
        <f t="shared" si="14"/>
        <v>53.302313673512948</v>
      </c>
      <c r="H51" s="104">
        <f t="shared" si="14"/>
        <v>52.52087825846742</v>
      </c>
      <c r="I51" s="104">
        <f t="shared" si="14"/>
        <v>51.986471821749568</v>
      </c>
      <c r="J51" s="104">
        <f t="shared" si="14"/>
        <v>51.698735890869273</v>
      </c>
      <c r="K51" s="105">
        <f t="shared" si="14"/>
        <v>51.648207204270051</v>
      </c>
      <c r="N51" s="223"/>
    </row>
    <row r="53" spans="2:14" s="32" customFormat="1">
      <c r="B53" s="391" t="s">
        <v>340</v>
      </c>
      <c r="C53" s="279" t="s">
        <v>128</v>
      </c>
      <c r="D53" s="96">
        <f t="shared" ref="D53:K54" si="15">D$35*D45</f>
        <v>1019.4262276136792</v>
      </c>
      <c r="E53" s="97">
        <f t="shared" si="15"/>
        <v>1060.7969761220947</v>
      </c>
      <c r="F53" s="97">
        <f t="shared" si="15"/>
        <v>1112.6374590772334</v>
      </c>
      <c r="G53" s="97">
        <f t="shared" si="15"/>
        <v>1159.9542983123465</v>
      </c>
      <c r="H53" s="97">
        <f t="shared" si="15"/>
        <v>1206.977669787914</v>
      </c>
      <c r="I53" s="97">
        <f t="shared" si="15"/>
        <v>1257.0215257676496</v>
      </c>
      <c r="J53" s="97">
        <f t="shared" si="15"/>
        <v>1313.8922803331307</v>
      </c>
      <c r="K53" s="98">
        <f t="shared" si="15"/>
        <v>1378.0218741996994</v>
      </c>
      <c r="L53" s="243"/>
      <c r="N53" s="221"/>
    </row>
    <row r="54" spans="2:14" s="32" customFormat="1">
      <c r="B54" s="391" t="s">
        <v>232</v>
      </c>
      <c r="C54" s="279" t="s">
        <v>128</v>
      </c>
      <c r="D54" s="546">
        <f t="shared" si="15"/>
        <v>548.92181486890422</v>
      </c>
      <c r="E54" s="547">
        <f t="shared" si="15"/>
        <v>571.19837175805105</v>
      </c>
      <c r="F54" s="547">
        <f t="shared" si="15"/>
        <v>599.11247796466398</v>
      </c>
      <c r="G54" s="547">
        <f t="shared" si="15"/>
        <v>624.59077601434035</v>
      </c>
      <c r="H54" s="547">
        <f t="shared" si="15"/>
        <v>649.91105296272292</v>
      </c>
      <c r="I54" s="547">
        <f t="shared" si="15"/>
        <v>676.85774464411907</v>
      </c>
      <c r="J54" s="547">
        <f t="shared" si="15"/>
        <v>707.48045864091648</v>
      </c>
      <c r="K54" s="548">
        <f t="shared" si="15"/>
        <v>742.01177841522269</v>
      </c>
      <c r="L54" s="243"/>
      <c r="N54" s="221"/>
    </row>
    <row r="55" spans="2:14">
      <c r="B55" s="209" t="s">
        <v>342</v>
      </c>
      <c r="C55" s="279" t="s">
        <v>128</v>
      </c>
      <c r="D55" s="763">
        <f>SUM(D53:D54)</f>
        <v>1568.3480424825834</v>
      </c>
      <c r="E55" s="764">
        <f t="shared" ref="E55:K55" si="16">SUM(E53:E54)</f>
        <v>1631.9953478801458</v>
      </c>
      <c r="F55" s="764">
        <f t="shared" si="16"/>
        <v>1711.7499370418973</v>
      </c>
      <c r="G55" s="764">
        <f t="shared" si="16"/>
        <v>1784.545074326687</v>
      </c>
      <c r="H55" s="764">
        <f t="shared" si="16"/>
        <v>1856.888722750637</v>
      </c>
      <c r="I55" s="764">
        <f t="shared" si="16"/>
        <v>1933.8792704117686</v>
      </c>
      <c r="J55" s="764">
        <f t="shared" si="16"/>
        <v>2021.372738974047</v>
      </c>
      <c r="K55" s="765">
        <f t="shared" si="16"/>
        <v>2120.0336526149222</v>
      </c>
    </row>
    <row r="56" spans="2:14" s="32" customFormat="1">
      <c r="B56" s="209"/>
      <c r="C56" s="219"/>
      <c r="D56" s="219"/>
      <c r="E56" s="219"/>
      <c r="F56" s="219"/>
      <c r="G56" s="219"/>
      <c r="H56" s="219"/>
      <c r="I56" s="219"/>
      <c r="J56" s="219"/>
      <c r="K56" s="219"/>
      <c r="L56" s="243"/>
      <c r="N56" s="221"/>
    </row>
    <row r="57" spans="2:14" s="32" customFormat="1">
      <c r="B57" s="391" t="s">
        <v>341</v>
      </c>
      <c r="C57" s="279" t="s">
        <v>128</v>
      </c>
      <c r="D57" s="96">
        <f t="shared" ref="D57:K58" si="17">D$35*D49</f>
        <v>25.995368804148821</v>
      </c>
      <c r="E57" s="97">
        <f t="shared" si="17"/>
        <v>25.671286822154695</v>
      </c>
      <c r="F57" s="97">
        <f t="shared" si="17"/>
        <v>25.479397812868644</v>
      </c>
      <c r="G57" s="97">
        <f t="shared" si="17"/>
        <v>24.243044834728035</v>
      </c>
      <c r="H57" s="97">
        <f t="shared" si="17"/>
        <v>23.415366793885532</v>
      </c>
      <c r="I57" s="97">
        <f t="shared" si="17"/>
        <v>22.877791768971225</v>
      </c>
      <c r="J57" s="97">
        <f t="shared" si="17"/>
        <v>22.598947221729848</v>
      </c>
      <c r="K57" s="98">
        <f t="shared" si="17"/>
        <v>22.461756549455096</v>
      </c>
      <c r="L57" s="243"/>
      <c r="N57" s="221"/>
    </row>
    <row r="58" spans="2:14">
      <c r="B58" s="391" t="s">
        <v>238</v>
      </c>
      <c r="C58" s="279" t="s">
        <v>128</v>
      </c>
      <c r="D58" s="766">
        <f t="shared" si="17"/>
        <v>32.935308892134252</v>
      </c>
      <c r="E58" s="767">
        <f t="shared" si="17"/>
        <v>34.27190230548306</v>
      </c>
      <c r="F58" s="767">
        <f t="shared" si="17"/>
        <v>35.946748677879839</v>
      </c>
      <c r="G58" s="767">
        <f t="shared" si="17"/>
        <v>37.475446560860419</v>
      </c>
      <c r="H58" s="767">
        <f t="shared" si="17"/>
        <v>38.994663177763371</v>
      </c>
      <c r="I58" s="767">
        <f t="shared" si="17"/>
        <v>40.611464678647145</v>
      </c>
      <c r="J58" s="767">
        <f t="shared" si="17"/>
        <v>42.448827518454983</v>
      </c>
      <c r="K58" s="768">
        <f t="shared" si="17"/>
        <v>44.520706704913358</v>
      </c>
    </row>
    <row r="59" spans="2:14">
      <c r="B59" s="209" t="s">
        <v>343</v>
      </c>
      <c r="C59" s="279" t="s">
        <v>128</v>
      </c>
      <c r="D59" s="103">
        <f t="shared" ref="D59:K59" si="18">SUM(D57:D58)</f>
        <v>58.93067769628307</v>
      </c>
      <c r="E59" s="104">
        <f t="shared" si="18"/>
        <v>59.943189127637751</v>
      </c>
      <c r="F59" s="104">
        <f t="shared" si="18"/>
        <v>61.426146490748479</v>
      </c>
      <c r="G59" s="104">
        <f t="shared" si="18"/>
        <v>61.718491395588458</v>
      </c>
      <c r="H59" s="104">
        <f t="shared" si="18"/>
        <v>62.410029971648903</v>
      </c>
      <c r="I59" s="104">
        <f t="shared" si="18"/>
        <v>63.489256447618374</v>
      </c>
      <c r="J59" s="104">
        <f t="shared" si="18"/>
        <v>65.047774740184835</v>
      </c>
      <c r="K59" s="105">
        <f t="shared" si="18"/>
        <v>66.982463254368454</v>
      </c>
    </row>
    <row r="60" spans="2:14">
      <c r="B60" s="14"/>
      <c r="C60" s="244"/>
      <c r="D60" s="244"/>
      <c r="E60" s="244"/>
      <c r="F60" s="244"/>
      <c r="G60" s="244"/>
      <c r="H60" s="244"/>
      <c r="I60" s="244"/>
      <c r="J60" s="244"/>
      <c r="K60" s="244"/>
    </row>
    <row r="61" spans="2:14">
      <c r="B61" s="14"/>
      <c r="C61" s="244"/>
      <c r="D61" s="244"/>
      <c r="E61" s="244"/>
      <c r="F61" s="244"/>
      <c r="G61" s="244"/>
      <c r="H61" s="244"/>
      <c r="I61" s="244"/>
      <c r="J61" s="244"/>
      <c r="K61" s="244"/>
    </row>
    <row r="62" spans="2:14">
      <c r="B62" s="14"/>
      <c r="C62" s="244"/>
      <c r="D62" s="244"/>
      <c r="E62" s="244"/>
      <c r="F62" s="244"/>
      <c r="G62" s="244"/>
      <c r="H62" s="244"/>
      <c r="I62" s="244"/>
      <c r="J62" s="244"/>
      <c r="K62" s="244"/>
    </row>
    <row r="63" spans="2:14">
      <c r="B63" s="14"/>
      <c r="C63" s="244"/>
      <c r="D63" s="244"/>
      <c r="E63" s="244"/>
      <c r="F63" s="244"/>
      <c r="G63" s="244"/>
      <c r="H63" s="244"/>
      <c r="I63" s="244"/>
      <c r="J63" s="244"/>
      <c r="K63" s="244"/>
    </row>
  </sheetData>
  <sheetProtection password="DA3D" sheet="1" objects="1" scenarios="1" formatCells="0" formatColumns="0" formatRows="0"/>
  <conditionalFormatting sqref="D6:K6">
    <cfRule type="expression" dxfId="22" priority="13">
      <formula>AND(D$5="Actuals",E$5="Forecast")</formula>
    </cfRule>
  </conditionalFormatting>
  <conditionalFormatting sqref="D5:K5">
    <cfRule type="expression" dxfId="21"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N101"/>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95.5" customWidth="1"/>
    <col min="3" max="3" width="14.125" customWidth="1"/>
    <col min="4" max="11" width="11.125" customWidth="1"/>
    <col min="12" max="12" width="5" customWidth="1"/>
  </cols>
  <sheetData>
    <row r="1" spans="1:13" s="32" customFormat="1" ht="20.25">
      <c r="A1" s="267" t="s">
        <v>261</v>
      </c>
      <c r="B1" s="268"/>
      <c r="C1" s="268"/>
      <c r="D1" s="268"/>
      <c r="E1" s="268"/>
      <c r="F1" s="268"/>
      <c r="G1" s="268"/>
      <c r="H1" s="268"/>
      <c r="I1" s="269"/>
      <c r="J1" s="269"/>
      <c r="K1" s="270"/>
      <c r="L1" s="271"/>
    </row>
    <row r="2" spans="1:13" s="32" customFormat="1" ht="20.25">
      <c r="A2" s="125" t="str">
        <f>'RFPR cover'!C5</f>
        <v>NPgY</v>
      </c>
      <c r="B2" s="30"/>
      <c r="C2" s="30"/>
      <c r="D2" s="30"/>
      <c r="E2" s="30"/>
      <c r="F2" s="30"/>
      <c r="G2" s="30"/>
      <c r="H2" s="30"/>
      <c r="I2" s="27"/>
      <c r="J2" s="27"/>
      <c r="K2" s="27"/>
      <c r="L2" s="126"/>
    </row>
    <row r="3" spans="1:13" s="32" customFormat="1" ht="20.25">
      <c r="A3" s="272">
        <f>'RFPR cover'!C7</f>
        <v>2019</v>
      </c>
      <c r="B3" s="273"/>
      <c r="C3" s="273"/>
      <c r="D3" s="273"/>
      <c r="E3" s="273"/>
      <c r="F3" s="273"/>
      <c r="G3" s="273"/>
      <c r="H3" s="273"/>
      <c r="I3" s="266"/>
      <c r="J3" s="266"/>
      <c r="K3" s="266"/>
      <c r="L3" s="274"/>
    </row>
    <row r="4" spans="1:13" s="32" customFormat="1" ht="12.75" customHeight="1">
      <c r="A4" s="275"/>
      <c r="B4" s="276"/>
      <c r="C4" s="275"/>
      <c r="D4" s="275"/>
      <c r="E4" s="275"/>
      <c r="F4" s="275"/>
      <c r="G4" s="275"/>
      <c r="H4" s="275"/>
      <c r="I4" s="277"/>
      <c r="J4" s="277"/>
      <c r="K4" s="277"/>
      <c r="L4" s="278"/>
      <c r="M4" s="276"/>
    </row>
    <row r="5" spans="1:13" s="2" customFormat="1">
      <c r="B5" s="3"/>
      <c r="C5" s="3"/>
      <c r="D5" s="409" t="str">
        <f>IF(D6&lt;='RFPR cover'!$C$7,"Actuals","Forecast")</f>
        <v>Actuals</v>
      </c>
      <c r="E5" s="410" t="str">
        <f>IF(E6&lt;='RFPR cover'!$C$7,"Actuals","Forecast")</f>
        <v>Actuals</v>
      </c>
      <c r="F5" s="410" t="str">
        <f>IF(F6&lt;='RFPR cover'!$C$7,"Actuals","Forecast")</f>
        <v>Actuals</v>
      </c>
      <c r="G5" s="410" t="str">
        <f>IF(G6&lt;='RFPR cover'!$C$7,"Actuals","Forecast")</f>
        <v>Actuals</v>
      </c>
      <c r="H5" s="410" t="str">
        <f>IF(H6&lt;='RFPR cover'!$C$7,"Actuals","Forecast")</f>
        <v>Forecast</v>
      </c>
      <c r="I5" s="410" t="str">
        <f>IF(I6&lt;='RFPR cover'!$C$7,"Actuals","Forecast")</f>
        <v>Forecast</v>
      </c>
      <c r="J5" s="410" t="str">
        <f>IF(J6&lt;='RFPR cover'!$C$7,"Actuals","Forecast")</f>
        <v>Forecast</v>
      </c>
      <c r="K5" s="411" t="str">
        <f>IF(K6&lt;='RFPR cover'!$C$7,"Actuals","Forecast")</f>
        <v>Forecast</v>
      </c>
    </row>
    <row r="6" spans="1:13" s="2" customFormat="1">
      <c r="D6" s="118">
        <f>'RFPR cover'!$C$13</f>
        <v>2016</v>
      </c>
      <c r="E6" s="119">
        <f>D6+1</f>
        <v>2017</v>
      </c>
      <c r="F6" s="119">
        <f t="shared" ref="F6:K6" si="0">E6+1</f>
        <v>2018</v>
      </c>
      <c r="G6" s="119">
        <f t="shared" si="0"/>
        <v>2019</v>
      </c>
      <c r="H6" s="119">
        <f t="shared" si="0"/>
        <v>2020</v>
      </c>
      <c r="I6" s="119">
        <f t="shared" si="0"/>
        <v>2021</v>
      </c>
      <c r="J6" s="119">
        <f t="shared" si="0"/>
        <v>2022</v>
      </c>
      <c r="K6" s="203">
        <f t="shared" si="0"/>
        <v>2023</v>
      </c>
    </row>
    <row r="7" spans="1:13" s="36" customFormat="1">
      <c r="D7" s="454"/>
      <c r="E7" s="454"/>
      <c r="F7" s="454"/>
      <c r="G7" s="454"/>
      <c r="H7" s="454"/>
      <c r="I7" s="454"/>
      <c r="J7" s="454"/>
      <c r="K7" s="454"/>
    </row>
    <row r="8" spans="1:13" s="2" customFormat="1">
      <c r="B8" s="388" t="s">
        <v>369</v>
      </c>
      <c r="C8" s="307"/>
      <c r="D8" s="307"/>
      <c r="E8" s="307"/>
      <c r="F8" s="307"/>
      <c r="G8" s="307"/>
      <c r="H8" s="307"/>
      <c r="I8" s="307"/>
      <c r="J8" s="307"/>
      <c r="K8" s="307"/>
      <c r="L8" s="307"/>
    </row>
    <row r="9" spans="1:13" s="2" customFormat="1">
      <c r="B9" s="388" t="s">
        <v>474</v>
      </c>
      <c r="C9" s="307"/>
      <c r="D9" s="307"/>
      <c r="E9" s="307"/>
      <c r="F9" s="307"/>
      <c r="G9" s="307"/>
      <c r="H9" s="307"/>
      <c r="I9" s="307"/>
      <c r="J9" s="307"/>
      <c r="K9" s="307"/>
      <c r="L9" s="307"/>
    </row>
    <row r="10" spans="1:13" s="2" customFormat="1">
      <c r="B10" s="388" t="s">
        <v>370</v>
      </c>
      <c r="C10" s="307"/>
      <c r="D10" s="307"/>
      <c r="E10" s="307"/>
      <c r="F10" s="307"/>
      <c r="G10" s="307"/>
      <c r="H10" s="307"/>
      <c r="I10" s="307"/>
      <c r="J10" s="307"/>
      <c r="K10" s="307"/>
      <c r="L10" s="307"/>
    </row>
    <row r="11" spans="1:13" s="36" customFormat="1">
      <c r="B11" s="453"/>
    </row>
    <row r="12" spans="1:13">
      <c r="B12" s="208" t="s">
        <v>537</v>
      </c>
      <c r="C12" s="279" t="s">
        <v>128</v>
      </c>
      <c r="D12" s="665">
        <v>31.819017375000005</v>
      </c>
      <c r="E12" s="666">
        <v>29.986695830000006</v>
      </c>
      <c r="F12" s="666">
        <v>26.553405285</v>
      </c>
      <c r="G12" s="666"/>
      <c r="H12" s="666"/>
      <c r="I12" s="666"/>
      <c r="J12" s="666"/>
      <c r="K12" s="667"/>
    </row>
    <row r="13" spans="1:13">
      <c r="B13" s="14"/>
      <c r="C13" s="14"/>
      <c r="D13" s="769"/>
      <c r="E13" s="769"/>
      <c r="F13" s="769"/>
      <c r="G13" s="769"/>
      <c r="H13" s="769"/>
      <c r="I13" s="769"/>
      <c r="J13" s="769"/>
      <c r="K13" s="769"/>
    </row>
    <row r="14" spans="1:13">
      <c r="B14" s="14" t="s">
        <v>473</v>
      </c>
      <c r="C14" s="279"/>
      <c r="D14" s="769"/>
      <c r="E14" s="769"/>
      <c r="F14" s="769"/>
      <c r="G14" s="769"/>
      <c r="H14" s="769"/>
      <c r="I14" s="769"/>
      <c r="J14" s="769"/>
      <c r="K14" s="769"/>
    </row>
    <row r="15" spans="1:13">
      <c r="B15" s="389" t="s">
        <v>495</v>
      </c>
      <c r="C15" s="279" t="s">
        <v>128</v>
      </c>
      <c r="D15" s="621">
        <v>0.14532627807209497</v>
      </c>
      <c r="E15" s="622">
        <v>0.15326479410465785</v>
      </c>
      <c r="F15" s="622">
        <v>-5.1736557402666486E-2</v>
      </c>
      <c r="G15" s="622"/>
      <c r="H15" s="622"/>
      <c r="I15" s="622"/>
      <c r="J15" s="622"/>
      <c r="K15" s="632"/>
    </row>
    <row r="16" spans="1:13">
      <c r="B16" s="455" t="s">
        <v>22</v>
      </c>
      <c r="C16" s="279" t="s">
        <v>128</v>
      </c>
      <c r="D16" s="621"/>
      <c r="E16" s="622"/>
      <c r="F16" s="622"/>
      <c r="G16" s="622"/>
      <c r="H16" s="622"/>
      <c r="I16" s="622"/>
      <c r="J16" s="622"/>
      <c r="K16" s="632"/>
    </row>
    <row r="17" spans="2:12">
      <c r="B17" s="455" t="s">
        <v>22</v>
      </c>
      <c r="C17" s="279" t="s">
        <v>128</v>
      </c>
      <c r="D17" s="621"/>
      <c r="E17" s="622"/>
      <c r="F17" s="622"/>
      <c r="G17" s="622"/>
      <c r="H17" s="622"/>
      <c r="I17" s="622"/>
      <c r="J17" s="622"/>
      <c r="K17" s="632"/>
    </row>
    <row r="18" spans="2:12">
      <c r="B18" s="455" t="s">
        <v>22</v>
      </c>
      <c r="C18" s="279" t="s">
        <v>128</v>
      </c>
      <c r="D18" s="621"/>
      <c r="E18" s="622"/>
      <c r="F18" s="622"/>
      <c r="G18" s="622"/>
      <c r="H18" s="622"/>
      <c r="I18" s="622"/>
      <c r="J18" s="622"/>
      <c r="K18" s="632"/>
    </row>
    <row r="19" spans="2:12">
      <c r="B19" s="281" t="s">
        <v>371</v>
      </c>
      <c r="C19" s="279" t="s">
        <v>128</v>
      </c>
      <c r="D19" s="770">
        <f>SUM(D15:D18)</f>
        <v>0.14532627807209497</v>
      </c>
      <c r="E19" s="771">
        <f t="shared" ref="E19:K19" si="1">SUM(E15:E18)</f>
        <v>0.15326479410465785</v>
      </c>
      <c r="F19" s="771">
        <f t="shared" si="1"/>
        <v>-5.1736557402666486E-2</v>
      </c>
      <c r="G19" s="771">
        <f t="shared" si="1"/>
        <v>0</v>
      </c>
      <c r="H19" s="771">
        <f t="shared" si="1"/>
        <v>0</v>
      </c>
      <c r="I19" s="771">
        <f t="shared" si="1"/>
        <v>0</v>
      </c>
      <c r="J19" s="771">
        <f t="shared" si="1"/>
        <v>0</v>
      </c>
      <c r="K19" s="772">
        <f t="shared" si="1"/>
        <v>0</v>
      </c>
    </row>
    <row r="20" spans="2:12" s="32" customFormat="1">
      <c r="B20" s="389"/>
      <c r="C20" s="389"/>
      <c r="D20" s="773"/>
      <c r="E20" s="773"/>
      <c r="F20" s="773"/>
      <c r="G20" s="773"/>
      <c r="H20" s="773"/>
      <c r="I20" s="773"/>
      <c r="J20" s="773"/>
      <c r="K20" s="773"/>
      <c r="L20" s="389"/>
    </row>
    <row r="21" spans="2:12">
      <c r="B21" s="14" t="s">
        <v>332</v>
      </c>
      <c r="C21" s="279"/>
      <c r="D21" s="774"/>
      <c r="E21" s="774"/>
      <c r="F21" s="774"/>
      <c r="G21" s="774"/>
      <c r="H21" s="774"/>
      <c r="I21" s="774"/>
      <c r="J21" s="774"/>
      <c r="K21" s="774"/>
      <c r="L21" s="279"/>
    </row>
    <row r="22" spans="2:12">
      <c r="B22" s="389" t="s">
        <v>496</v>
      </c>
      <c r="C22" s="279" t="s">
        <v>128</v>
      </c>
      <c r="D22" s="891">
        <f>('R5 - Output Incentives'!D102)*INDEX(Data!$G$14:$G$30,MATCH('R10 - Tax'!D$6,Data!$C$14:$C$30,0),1)</f>
        <v>1.6014347229172388</v>
      </c>
      <c r="E22" s="892">
        <f>('R5 - Output Incentives'!E102)*INDEX(Data!$G$14:$G$30,MATCH('R10 - Tax'!E$6,Data!$C$14:$C$30,0),1)</f>
        <v>2.5824790098593442</v>
      </c>
      <c r="F22" s="892">
        <f>('R5 - Output Incentives'!F102)*INDEX(Data!$G$14:$G$30,MATCH('R10 - Tax'!F$6,Data!$C$14:$C$30,0),1)</f>
        <v>3.4770138134920061</v>
      </c>
      <c r="G22" s="892">
        <f>('R5 - Output Incentives'!G102)*INDEX(Data!$G$14:$G$30,MATCH('R10 - Tax'!G$6,Data!$C$14:$C$30,0),1)</f>
        <v>3.8182710544203018</v>
      </c>
      <c r="H22" s="894">
        <f>('R5 - Output Incentives'!H102)*INDEX(Data!$G$14:$G$30,MATCH('R10 - Tax'!H$6,Data!$C$14:$C$30,0),1)</f>
        <v>3.8398670257334451</v>
      </c>
      <c r="I22" s="894">
        <f>('R5 - Output Incentives'!I102)*INDEX(Data!$G$14:$G$30,MATCH('R10 - Tax'!I$6,Data!$C$14:$C$30,0),1)</f>
        <v>3.5950813255496312</v>
      </c>
      <c r="J22" s="894">
        <f>('R5 - Output Incentives'!J102)*INDEX(Data!$G$14:$G$30,MATCH('R10 - Tax'!J$6,Data!$C$14:$C$30,0),1)</f>
        <v>4.0594024655568193</v>
      </c>
      <c r="K22" s="895">
        <f>('R5 - Output Incentives'!K102)*INDEX(Data!$G$14:$G$30,MATCH('R10 - Tax'!K$6,Data!$C$14:$C$30,0),1)</f>
        <v>4.2056628641707761</v>
      </c>
    </row>
    <row r="23" spans="2:12">
      <c r="B23" s="389" t="s">
        <v>497</v>
      </c>
      <c r="C23" s="279" t="s">
        <v>128</v>
      </c>
      <c r="D23" s="625">
        <f>('R4 - Totex'!D77-'R4 - Totex'!D79)*D51</f>
        <v>0</v>
      </c>
      <c r="E23" s="627">
        <f>('R4 - Totex'!E77-'R4 - Totex'!E79)*E51</f>
        <v>0</v>
      </c>
      <c r="F23" s="627">
        <f>('R4 - Totex'!F77-'R4 - Totex'!F79)*F51</f>
        <v>0</v>
      </c>
      <c r="G23" s="627">
        <f>('R4 - Totex'!G77-'R4 - Totex'!G79)*G51</f>
        <v>0</v>
      </c>
      <c r="H23" s="896">
        <f>('R4 - Totex'!H77-'R4 - Totex'!H79)*H51</f>
        <v>0</v>
      </c>
      <c r="I23" s="896">
        <f>('R4 - Totex'!I77-'R4 - Totex'!I79)*I51</f>
        <v>0</v>
      </c>
      <c r="J23" s="896">
        <f>('R4 - Totex'!J77-'R4 - Totex'!J79)*J51</f>
        <v>0</v>
      </c>
      <c r="K23" s="897">
        <f>('R4 - Totex'!K77-'R4 - Totex'!K79)*K51</f>
        <v>0</v>
      </c>
    </row>
    <row r="24" spans="2:12">
      <c r="B24" s="389" t="s">
        <v>498</v>
      </c>
      <c r="C24" s="279" t="s">
        <v>128</v>
      </c>
      <c r="D24" s="623">
        <v>2.7175248000000001</v>
      </c>
      <c r="E24" s="624">
        <v>2.5330196405595777</v>
      </c>
      <c r="F24" s="624">
        <v>0.12873212725609975</v>
      </c>
      <c r="G24" s="624"/>
      <c r="H24" s="624"/>
      <c r="I24" s="624"/>
      <c r="J24" s="624"/>
      <c r="K24" s="633"/>
    </row>
    <row r="25" spans="2:12">
      <c r="B25" s="389" t="s">
        <v>499</v>
      </c>
      <c r="C25" s="279" t="s">
        <v>128</v>
      </c>
      <c r="D25" s="623">
        <v>-0.16439424227478183</v>
      </c>
      <c r="E25" s="624">
        <v>0.43642909404837915</v>
      </c>
      <c r="F25" s="624">
        <v>0.18111074635695518</v>
      </c>
      <c r="G25" s="624"/>
      <c r="H25" s="624"/>
      <c r="I25" s="624"/>
      <c r="J25" s="624"/>
      <c r="K25" s="633"/>
    </row>
    <row r="26" spans="2:12">
      <c r="B26" s="389" t="s">
        <v>500</v>
      </c>
      <c r="C26" s="279" t="s">
        <v>128</v>
      </c>
      <c r="D26" s="623">
        <v>0</v>
      </c>
      <c r="E26" s="624">
        <v>0</v>
      </c>
      <c r="F26" s="624">
        <v>0</v>
      </c>
      <c r="G26" s="624"/>
      <c r="H26" s="624"/>
      <c r="I26" s="624"/>
      <c r="J26" s="624"/>
      <c r="K26" s="633"/>
    </row>
    <row r="27" spans="2:12">
      <c r="B27" s="389" t="s">
        <v>501</v>
      </c>
      <c r="C27" s="279" t="s">
        <v>128</v>
      </c>
      <c r="D27" s="623"/>
      <c r="E27" s="624"/>
      <c r="F27" s="624"/>
      <c r="G27" s="624"/>
      <c r="H27" s="624"/>
      <c r="I27" s="624"/>
      <c r="J27" s="624"/>
      <c r="K27" s="633"/>
    </row>
    <row r="28" spans="2:12">
      <c r="B28" s="944" t="s">
        <v>555</v>
      </c>
      <c r="C28" s="279" t="s">
        <v>128</v>
      </c>
      <c r="D28" s="623"/>
      <c r="E28" s="624"/>
      <c r="F28" s="624"/>
      <c r="G28" s="624"/>
      <c r="H28" s="624"/>
      <c r="I28" s="624"/>
      <c r="J28" s="624"/>
      <c r="K28" s="633"/>
    </row>
    <row r="29" spans="2:12" ht="25.5">
      <c r="B29" s="945" t="s">
        <v>556</v>
      </c>
      <c r="C29" s="279" t="s">
        <v>128</v>
      </c>
      <c r="D29" s="623">
        <v>15.472032298624999</v>
      </c>
      <c r="E29" s="624">
        <v>12.393227968000003</v>
      </c>
      <c r="F29" s="624">
        <v>12.521110218000004</v>
      </c>
      <c r="G29" s="624"/>
      <c r="H29" s="624"/>
      <c r="I29" s="624"/>
      <c r="J29" s="624"/>
      <c r="K29" s="633"/>
    </row>
    <row r="30" spans="2:12" ht="25.5">
      <c r="B30" s="945" t="s">
        <v>557</v>
      </c>
      <c r="C30" s="279" t="s">
        <v>128</v>
      </c>
      <c r="D30" s="623">
        <v>-12.393227968000003</v>
      </c>
      <c r="E30" s="623">
        <v>-12.521110218000004</v>
      </c>
      <c r="F30" s="624">
        <v>-11.571499684800003</v>
      </c>
      <c r="G30" s="624"/>
      <c r="H30" s="624"/>
      <c r="I30" s="624"/>
      <c r="J30" s="624"/>
      <c r="K30" s="633"/>
    </row>
    <row r="31" spans="2:12">
      <c r="B31" s="944" t="s">
        <v>332</v>
      </c>
      <c r="C31" s="279" t="s">
        <v>128</v>
      </c>
      <c r="D31" s="623"/>
      <c r="E31" s="624"/>
      <c r="F31" s="624"/>
      <c r="G31" s="624"/>
      <c r="H31" s="624"/>
      <c r="I31" s="624"/>
      <c r="J31" s="624"/>
      <c r="K31" s="633"/>
    </row>
    <row r="32" spans="2:12">
      <c r="B32" s="455" t="s">
        <v>570</v>
      </c>
      <c r="C32" s="279" t="s">
        <v>128</v>
      </c>
      <c r="D32" s="623">
        <v>-2.1983327754019637</v>
      </c>
      <c r="E32" s="624">
        <v>-2.3596954309100036</v>
      </c>
      <c r="F32" s="624">
        <v>-1.4281609286119421</v>
      </c>
      <c r="G32" s="624"/>
      <c r="H32" s="624"/>
      <c r="I32" s="624"/>
      <c r="J32" s="624"/>
      <c r="K32" s="633"/>
    </row>
    <row r="33" spans="2:11">
      <c r="B33" s="455" t="s">
        <v>558</v>
      </c>
      <c r="C33" s="279"/>
      <c r="D33" s="634">
        <v>0.25808700287714087</v>
      </c>
      <c r="E33" s="635">
        <v>3.5031749981199456E-2</v>
      </c>
      <c r="F33" s="635">
        <v>0.27901600134166887</v>
      </c>
      <c r="G33" s="635"/>
      <c r="H33" s="635"/>
      <c r="I33" s="635"/>
      <c r="J33" s="635"/>
      <c r="K33" s="636"/>
    </row>
    <row r="34" spans="2:11">
      <c r="B34" s="455" t="s">
        <v>559</v>
      </c>
      <c r="C34" s="279"/>
      <c r="D34" s="634">
        <v>-0.10873515650993056</v>
      </c>
      <c r="E34" s="635">
        <v>-3.3873952259468688E-2</v>
      </c>
      <c r="F34" s="635">
        <v>-4.0188261673190936E-2</v>
      </c>
      <c r="G34" s="635"/>
      <c r="H34" s="635"/>
      <c r="I34" s="635"/>
      <c r="J34" s="635"/>
      <c r="K34" s="636"/>
    </row>
    <row r="35" spans="2:11">
      <c r="B35" s="455" t="s">
        <v>560</v>
      </c>
      <c r="C35" s="279"/>
      <c r="D35" s="634">
        <v>-0.14740631600000004</v>
      </c>
      <c r="E35" s="635">
        <v>-0.17408146400000002</v>
      </c>
      <c r="F35" s="635">
        <v>-5.2345355300000007E-2</v>
      </c>
      <c r="G35" s="635"/>
      <c r="H35" s="635"/>
      <c r="I35" s="635"/>
      <c r="J35" s="635"/>
      <c r="K35" s="636"/>
    </row>
    <row r="36" spans="2:11">
      <c r="B36" s="455" t="s">
        <v>561</v>
      </c>
      <c r="C36" s="279"/>
      <c r="D36" s="634">
        <v>-1.6404976495490598E-2</v>
      </c>
      <c r="E36" s="635">
        <v>-1.565060917782779E-2</v>
      </c>
      <c r="F36" s="635">
        <v>-4.4289451820987272E-2</v>
      </c>
      <c r="G36" s="635"/>
      <c r="H36" s="635"/>
      <c r="I36" s="635"/>
      <c r="J36" s="635"/>
      <c r="K36" s="636"/>
    </row>
    <row r="37" spans="2:11">
      <c r="B37" s="455" t="s">
        <v>562</v>
      </c>
      <c r="C37" s="279"/>
      <c r="D37" s="634">
        <v>-4.1713590469566464E-4</v>
      </c>
      <c r="E37" s="635">
        <v>1.6771314000000002E-2</v>
      </c>
      <c r="F37" s="635">
        <v>3.2035957000000059E-3</v>
      </c>
      <c r="G37" s="635"/>
      <c r="H37" s="635"/>
      <c r="I37" s="635"/>
      <c r="J37" s="635"/>
      <c r="K37" s="636"/>
    </row>
    <row r="38" spans="2:11">
      <c r="B38" s="455" t="s">
        <v>563</v>
      </c>
      <c r="C38" s="279"/>
      <c r="D38" s="634">
        <v>-0.57943958392385819</v>
      </c>
      <c r="E38" s="635">
        <v>-0.51559498186171893</v>
      </c>
      <c r="F38" s="635">
        <v>-0.40912664245025504</v>
      </c>
      <c r="G38" s="635"/>
      <c r="H38" s="635"/>
      <c r="I38" s="635"/>
      <c r="J38" s="635"/>
      <c r="K38" s="636"/>
    </row>
    <row r="39" spans="2:11">
      <c r="B39" s="944" t="s">
        <v>564</v>
      </c>
      <c r="C39" s="279"/>
      <c r="D39" s="634"/>
      <c r="E39" s="635"/>
      <c r="F39" s="635"/>
      <c r="G39" s="635"/>
      <c r="H39" s="635"/>
      <c r="I39" s="635"/>
      <c r="J39" s="635"/>
      <c r="K39" s="636"/>
    </row>
    <row r="40" spans="2:11">
      <c r="B40" s="455" t="s">
        <v>565</v>
      </c>
      <c r="C40" s="279"/>
      <c r="D40" s="634">
        <v>-0.13045582397468253</v>
      </c>
      <c r="E40" s="635">
        <v>0.60036877589062676</v>
      </c>
      <c r="F40" s="635">
        <v>-0.32329694272193249</v>
      </c>
      <c r="G40" s="635"/>
      <c r="H40" s="635"/>
      <c r="I40" s="635"/>
      <c r="J40" s="635"/>
      <c r="K40" s="636"/>
    </row>
    <row r="41" spans="2:11">
      <c r="B41" s="455" t="s">
        <v>566</v>
      </c>
      <c r="C41" s="279"/>
      <c r="D41" s="634">
        <v>-6.3878826337342043E-2</v>
      </c>
      <c r="E41" s="635">
        <v>1.0110216210361214</v>
      </c>
      <c r="F41" s="635">
        <v>0.5280434316300846</v>
      </c>
      <c r="G41" s="635"/>
      <c r="H41" s="635"/>
      <c r="I41" s="635"/>
      <c r="J41" s="635"/>
      <c r="K41" s="636"/>
    </row>
    <row r="42" spans="2:11">
      <c r="B42" s="455" t="s">
        <v>567</v>
      </c>
      <c r="C42" s="279"/>
      <c r="D42" s="634">
        <v>1.4033401532645411</v>
      </c>
      <c r="E42" s="635">
        <v>0.25618891999591209</v>
      </c>
      <c r="F42" s="635">
        <v>-0.13871194753329982</v>
      </c>
      <c r="G42" s="635"/>
      <c r="H42" s="635"/>
      <c r="I42" s="635"/>
      <c r="J42" s="635"/>
      <c r="K42" s="636"/>
    </row>
    <row r="43" spans="2:11">
      <c r="B43" s="455" t="s">
        <v>568</v>
      </c>
      <c r="C43" s="279"/>
      <c r="D43" s="634">
        <v>0</v>
      </c>
      <c r="E43" s="635">
        <v>0</v>
      </c>
      <c r="F43" s="635">
        <v>-1.5161484065984141</v>
      </c>
      <c r="G43" s="635"/>
      <c r="H43" s="635"/>
      <c r="I43" s="635"/>
      <c r="J43" s="635"/>
      <c r="K43" s="636"/>
    </row>
    <row r="44" spans="2:11">
      <c r="B44" s="455" t="s">
        <v>569</v>
      </c>
      <c r="C44" s="279"/>
      <c r="D44" s="634">
        <v>-9.196147392841568E-2</v>
      </c>
      <c r="E44" s="635">
        <v>-0.40372520738110751</v>
      </c>
      <c r="F44" s="635">
        <v>1.22766276617934</v>
      </c>
      <c r="G44" s="635"/>
      <c r="H44" s="635"/>
      <c r="I44" s="635"/>
      <c r="J44" s="635"/>
      <c r="K44" s="636"/>
    </row>
    <row r="45" spans="2:11">
      <c r="B45" s="455" t="s">
        <v>20</v>
      </c>
      <c r="C45" s="279" t="s">
        <v>128</v>
      </c>
      <c r="D45" s="634"/>
      <c r="E45" s="635"/>
      <c r="F45" s="635"/>
      <c r="G45" s="635"/>
      <c r="H45" s="635"/>
      <c r="I45" s="635"/>
      <c r="J45" s="635"/>
      <c r="K45" s="636"/>
    </row>
    <row r="46" spans="2:11">
      <c r="B46" s="14" t="s">
        <v>177</v>
      </c>
      <c r="C46" s="279" t="s">
        <v>128</v>
      </c>
      <c r="D46" s="775">
        <f t="shared" ref="D46:K46" si="2">SUM(D22:D45)</f>
        <v>5.5577646989327523</v>
      </c>
      <c r="E46" s="776">
        <f t="shared" si="2"/>
        <v>3.8408062297810339</v>
      </c>
      <c r="F46" s="776">
        <f t="shared" si="2"/>
        <v>2.8221250784461347</v>
      </c>
      <c r="G46" s="776">
        <f t="shared" si="2"/>
        <v>3.8182710544203018</v>
      </c>
      <c r="H46" s="776">
        <f t="shared" si="2"/>
        <v>3.8398670257334451</v>
      </c>
      <c r="I46" s="776">
        <f t="shared" si="2"/>
        <v>3.5950813255496312</v>
      </c>
      <c r="J46" s="776">
        <f t="shared" si="2"/>
        <v>4.0594024655568193</v>
      </c>
      <c r="K46" s="777">
        <f t="shared" si="2"/>
        <v>4.2056628641707761</v>
      </c>
    </row>
    <row r="48" spans="2:11" ht="12.75" customHeight="1">
      <c r="B48" s="856" t="s">
        <v>508</v>
      </c>
      <c r="C48" s="279" t="s">
        <v>128</v>
      </c>
      <c r="D48" s="665"/>
      <c r="E48" s="666"/>
      <c r="F48" s="666"/>
      <c r="G48" s="666">
        <v>28.769429320434682</v>
      </c>
      <c r="H48" s="666">
        <v>31.131136748433679</v>
      </c>
      <c r="I48" s="666">
        <v>28.671108256323912</v>
      </c>
      <c r="J48" s="666">
        <v>30.885542132467766</v>
      </c>
      <c r="K48" s="667">
        <v>31.546168209507005</v>
      </c>
    </row>
    <row r="49" spans="2:13" ht="12.75" customHeight="1">
      <c r="B49" s="856" t="s">
        <v>477</v>
      </c>
      <c r="C49" s="279" t="s">
        <v>128</v>
      </c>
      <c r="D49" s="775">
        <f t="shared" ref="D49:K49" si="3">D12+D48-D19-D46</f>
        <v>26.11592639799516</v>
      </c>
      <c r="E49" s="776">
        <f t="shared" si="3"/>
        <v>25.992624806114314</v>
      </c>
      <c r="F49" s="776">
        <f t="shared" si="3"/>
        <v>23.783016763956532</v>
      </c>
      <c r="G49" s="776">
        <f t="shared" si="3"/>
        <v>24.951158266014382</v>
      </c>
      <c r="H49" s="776">
        <f t="shared" si="3"/>
        <v>27.291269722700235</v>
      </c>
      <c r="I49" s="776">
        <f t="shared" si="3"/>
        <v>25.07602693077428</v>
      </c>
      <c r="J49" s="776">
        <f t="shared" si="3"/>
        <v>26.826139666910947</v>
      </c>
      <c r="K49" s="777">
        <f t="shared" si="3"/>
        <v>27.340505345336229</v>
      </c>
    </row>
    <row r="50" spans="2:13" ht="12.75" customHeight="1">
      <c r="B50" s="506"/>
      <c r="C50" s="279"/>
      <c r="D50" s="279"/>
      <c r="E50" s="279"/>
      <c r="F50" s="279"/>
      <c r="G50" s="279"/>
      <c r="H50" s="279"/>
      <c r="I50" s="279"/>
      <c r="J50" s="279"/>
      <c r="K50" s="279"/>
    </row>
    <row r="51" spans="2:13">
      <c r="B51" s="38" t="s">
        <v>485</v>
      </c>
      <c r="C51" s="280" t="s">
        <v>127</v>
      </c>
      <c r="D51" s="113">
        <f>Data!C$34</f>
        <v>1.0603167467048125</v>
      </c>
      <c r="E51" s="113">
        <f>Data!D$34</f>
        <v>1.0830366813119445</v>
      </c>
      <c r="F51" s="113">
        <f>Data!E$34</f>
        <v>1.1235639113109226</v>
      </c>
      <c r="G51" s="113">
        <f>Data!F$34</f>
        <v>1.1578951670583426</v>
      </c>
      <c r="H51" s="113">
        <f>Data!G$34</f>
        <v>1.1882899151936241</v>
      </c>
      <c r="I51" s="113">
        <f>Data!H$34</f>
        <v>1.2212649603402472</v>
      </c>
      <c r="J51" s="113">
        <f>Data!I$34</f>
        <v>1.2582082253905398</v>
      </c>
      <c r="K51" s="113">
        <f>Data!J$34</f>
        <v>1.296898128321299</v>
      </c>
      <c r="L51" s="279"/>
    </row>
    <row r="52" spans="2:13">
      <c r="B52" s="208"/>
      <c r="C52" s="279"/>
      <c r="D52" s="279"/>
      <c r="E52" s="279"/>
      <c r="F52" s="279"/>
      <c r="G52" s="279"/>
      <c r="H52" s="279"/>
      <c r="I52" s="279"/>
      <c r="J52" s="279"/>
      <c r="K52" s="279"/>
    </row>
    <row r="53" spans="2:13">
      <c r="B53" s="569" t="s">
        <v>478</v>
      </c>
      <c r="C53" s="419" t="str">
        <f>'RFPR cover'!$C$14</f>
        <v>£m 12/13</v>
      </c>
      <c r="D53" s="821">
        <f t="shared" ref="D53:K53" si="4">D49/D51</f>
        <v>24.630306443010202</v>
      </c>
      <c r="E53" s="822">
        <f t="shared" si="4"/>
        <v>23.999764047352446</v>
      </c>
      <c r="F53" s="822">
        <f t="shared" si="4"/>
        <v>21.167480126882683</v>
      </c>
      <c r="G53" s="822">
        <f t="shared" si="4"/>
        <v>21.548719586940958</v>
      </c>
      <c r="H53" s="822">
        <f t="shared" si="4"/>
        <v>22.966844516435451</v>
      </c>
      <c r="I53" s="822">
        <f t="shared" si="4"/>
        <v>20.532830913111631</v>
      </c>
      <c r="J53" s="822">
        <f t="shared" si="4"/>
        <v>21.320906290041368</v>
      </c>
      <c r="K53" s="823">
        <f t="shared" si="4"/>
        <v>21.081459482654736</v>
      </c>
    </row>
    <row r="54" spans="2:13">
      <c r="B54" s="856"/>
      <c r="C54" s="856"/>
      <c r="D54" s="856"/>
      <c r="E54" s="856"/>
      <c r="F54" s="856"/>
      <c r="G54" s="856"/>
      <c r="H54" s="856"/>
      <c r="I54" s="856"/>
      <c r="J54" s="856"/>
      <c r="K54" s="856"/>
    </row>
    <row r="55" spans="2:13">
      <c r="B55" s="864" t="s">
        <v>458</v>
      </c>
      <c r="C55" s="219"/>
      <c r="D55" s="219"/>
      <c r="E55" s="219"/>
      <c r="F55" s="219"/>
      <c r="G55" s="219"/>
      <c r="H55" s="219"/>
      <c r="I55" s="219"/>
      <c r="J55" s="219"/>
      <c r="K55" s="219"/>
    </row>
    <row r="56" spans="2:13">
      <c r="B56" s="388" t="s">
        <v>446</v>
      </c>
      <c r="C56" s="456"/>
      <c r="D56" s="456"/>
      <c r="E56" s="456"/>
      <c r="F56" s="456"/>
      <c r="G56" s="456"/>
      <c r="H56" s="456"/>
      <c r="I56" s="456"/>
      <c r="J56" s="456"/>
      <c r="K56" s="456"/>
      <c r="L56" s="456"/>
      <c r="M56" s="456"/>
    </row>
    <row r="58" spans="2:13" ht="12.75" customHeight="1">
      <c r="B58" s="222" t="s">
        <v>115</v>
      </c>
      <c r="C58" s="162" t="s">
        <v>7</v>
      </c>
      <c r="D58" s="929">
        <f>'RFPR cover'!$C$12</f>
        <v>0.65</v>
      </c>
      <c r="E58" s="930">
        <f>'RFPR cover'!$C$12</f>
        <v>0.65</v>
      </c>
      <c r="F58" s="930">
        <f>'RFPR cover'!$C$12</f>
        <v>0.65</v>
      </c>
      <c r="G58" s="930">
        <f>'RFPR cover'!$C$12</f>
        <v>0.65</v>
      </c>
      <c r="H58" s="930">
        <f>'RFPR cover'!$C$12</f>
        <v>0.65</v>
      </c>
      <c r="I58" s="930">
        <f>'RFPR cover'!$C$12</f>
        <v>0.65</v>
      </c>
      <c r="J58" s="930">
        <f>'RFPR cover'!$C$12</f>
        <v>0.65</v>
      </c>
      <c r="K58" s="931">
        <f>'RFPR cover'!$C$12</f>
        <v>0.65</v>
      </c>
    </row>
    <row r="59" spans="2:13" ht="12.75" customHeight="1">
      <c r="B59" s="222" t="s">
        <v>408</v>
      </c>
      <c r="C59" s="162" t="s">
        <v>7</v>
      </c>
      <c r="D59" s="929">
        <f>'R8 - Net Debt'!D57</f>
        <v>0.50796480907353903</v>
      </c>
      <c r="E59" s="930">
        <f>'R8 - Net Debt'!E57</f>
        <v>0.49895526062470102</v>
      </c>
      <c r="F59" s="930">
        <f>'R8 - Net Debt'!F57</f>
        <v>0.47609288290097451</v>
      </c>
      <c r="G59" s="930">
        <f>'R8 - Net Debt'!G57</f>
        <v>0.46572632035019268</v>
      </c>
      <c r="H59" s="930">
        <f>'R8 - Net Debt'!H57</f>
        <v>0.46413243928924452</v>
      </c>
      <c r="I59" s="930">
        <f>'R8 - Net Debt'!I57</f>
        <v>0.46938704463001618</v>
      </c>
      <c r="J59" s="930">
        <f>'R8 - Net Debt'!J57</f>
        <v>0.47494533530155286</v>
      </c>
      <c r="K59" s="931">
        <f>'R8 - Net Debt'!K57</f>
        <v>0.47118617491000719</v>
      </c>
    </row>
    <row r="60" spans="2:13" ht="12.75" customHeight="1">
      <c r="B60" s="222"/>
      <c r="C60" s="162"/>
      <c r="D60" s="162"/>
      <c r="E60" s="162"/>
      <c r="F60" s="162"/>
      <c r="G60" s="162"/>
      <c r="H60" s="162"/>
      <c r="I60" s="162"/>
      <c r="J60" s="162"/>
      <c r="K60" s="162"/>
      <c r="L60" s="162"/>
    </row>
    <row r="61" spans="2:13" ht="12.75" customHeight="1">
      <c r="B61" s="856" t="s">
        <v>478</v>
      </c>
      <c r="C61" s="279" t="s">
        <v>128</v>
      </c>
      <c r="D61" s="821">
        <f>D49</f>
        <v>26.11592639799516</v>
      </c>
      <c r="E61" s="821">
        <f t="shared" ref="E61:K61" si="5">E49</f>
        <v>25.992624806114314</v>
      </c>
      <c r="F61" s="821">
        <f t="shared" si="5"/>
        <v>23.783016763956532</v>
      </c>
      <c r="G61" s="821">
        <f t="shared" si="5"/>
        <v>24.951158266014382</v>
      </c>
      <c r="H61" s="821">
        <f t="shared" si="5"/>
        <v>27.291269722700235</v>
      </c>
      <c r="I61" s="821">
        <f t="shared" si="5"/>
        <v>25.07602693077428</v>
      </c>
      <c r="J61" s="821">
        <f t="shared" si="5"/>
        <v>26.826139666910947</v>
      </c>
      <c r="K61" s="821">
        <f t="shared" si="5"/>
        <v>27.340505345336229</v>
      </c>
    </row>
    <row r="62" spans="2:13">
      <c r="B62" s="222" t="s">
        <v>459</v>
      </c>
      <c r="C62" s="279" t="s">
        <v>128</v>
      </c>
      <c r="D62" s="932">
        <f>D97-D99</f>
        <v>-2.6537999095372338</v>
      </c>
      <c r="E62" s="932">
        <f t="shared" ref="E62:K62" si="6">E97-E99</f>
        <v>-2.9827823248476935</v>
      </c>
      <c r="F62" s="932">
        <f t="shared" si="6"/>
        <v>-3.4963946587867705</v>
      </c>
      <c r="G62" s="932">
        <f t="shared" si="6"/>
        <v>-3.7571313408935518</v>
      </c>
      <c r="H62" s="932">
        <f t="shared" si="6"/>
        <v>-3.7610238294431406</v>
      </c>
      <c r="I62" s="932">
        <f t="shared" si="6"/>
        <v>-2.6996130864840091</v>
      </c>
      <c r="J62" s="932">
        <f t="shared" si="6"/>
        <v>-2.6065903842424625</v>
      </c>
      <c r="K62" s="932">
        <f t="shared" si="6"/>
        <v>-2.5238114695001848</v>
      </c>
      <c r="L62" s="279"/>
    </row>
    <row r="63" spans="2:13" s="32" customFormat="1">
      <c r="B63" s="865" t="s">
        <v>416</v>
      </c>
      <c r="C63" s="279" t="s">
        <v>128</v>
      </c>
      <c r="D63" s="775">
        <f>SUM(D61:D62)</f>
        <v>23.462126488457926</v>
      </c>
      <c r="E63" s="776">
        <f t="shared" ref="E63:K63" si="7">SUM(E61:E62)</f>
        <v>23.00984248126662</v>
      </c>
      <c r="F63" s="776">
        <f t="shared" si="7"/>
        <v>20.286622105169762</v>
      </c>
      <c r="G63" s="776">
        <f t="shared" si="7"/>
        <v>21.194026925120831</v>
      </c>
      <c r="H63" s="776">
        <f t="shared" si="7"/>
        <v>23.530245893257096</v>
      </c>
      <c r="I63" s="776">
        <f t="shared" si="7"/>
        <v>22.376413844290269</v>
      </c>
      <c r="J63" s="776">
        <f t="shared" si="7"/>
        <v>24.219549282668485</v>
      </c>
      <c r="K63" s="777">
        <f t="shared" si="7"/>
        <v>24.816693875836044</v>
      </c>
      <c r="L63" s="841"/>
    </row>
    <row r="65" spans="2:14">
      <c r="B65" s="865" t="s">
        <v>416</v>
      </c>
      <c r="C65" s="419" t="str">
        <f>'RFPR cover'!$C$14</f>
        <v>£m 12/13</v>
      </c>
      <c r="D65" s="775">
        <f>D63/D51</f>
        <v>22.127469514531473</v>
      </c>
      <c r="E65" s="776">
        <f t="shared" ref="E65:K65" si="8">E63/E51</f>
        <v>21.245672356538726</v>
      </c>
      <c r="F65" s="776">
        <f t="shared" si="8"/>
        <v>18.055601377851541</v>
      </c>
      <c r="G65" s="776">
        <f t="shared" si="8"/>
        <v>18.303925543591919</v>
      </c>
      <c r="H65" s="776">
        <f t="shared" si="8"/>
        <v>19.801771934943162</v>
      </c>
      <c r="I65" s="776">
        <f t="shared" si="8"/>
        <v>18.322325270067644</v>
      </c>
      <c r="J65" s="776">
        <f t="shared" si="8"/>
        <v>19.249237760427842</v>
      </c>
      <c r="K65" s="777">
        <f t="shared" si="8"/>
        <v>19.135422693499216</v>
      </c>
    </row>
    <row r="66" spans="2:14">
      <c r="B66" s="865"/>
      <c r="C66" s="419"/>
      <c r="D66" s="419"/>
      <c r="E66" s="419"/>
      <c r="F66" s="419"/>
      <c r="G66" s="419"/>
      <c r="H66" s="419"/>
      <c r="I66" s="419"/>
      <c r="J66" s="419"/>
      <c r="K66" s="419"/>
    </row>
    <row r="68" spans="2:14">
      <c r="B68" s="824" t="s">
        <v>382</v>
      </c>
      <c r="C68" s="825"/>
      <c r="D68" s="825"/>
      <c r="E68" s="825"/>
      <c r="F68" s="825"/>
      <c r="G68" s="825"/>
      <c r="H68" s="825"/>
      <c r="I68" s="825"/>
      <c r="J68" s="825"/>
      <c r="K68" s="825"/>
      <c r="L68" s="825"/>
      <c r="M68" s="514"/>
    </row>
    <row r="69" spans="2:14" s="32" customFormat="1">
      <c r="B69" s="515"/>
      <c r="C69" s="514"/>
      <c r="D69" s="514"/>
      <c r="E69" s="514"/>
      <c r="F69" s="514"/>
      <c r="G69" s="514"/>
      <c r="H69" s="514"/>
      <c r="I69" s="514"/>
      <c r="J69" s="514"/>
      <c r="K69" s="514"/>
      <c r="L69" s="514"/>
      <c r="M69" s="514"/>
    </row>
    <row r="70" spans="2:14">
      <c r="B70" s="387" t="s">
        <v>479</v>
      </c>
      <c r="C70" s="307"/>
      <c r="D70" s="307"/>
      <c r="E70" s="307"/>
      <c r="F70" s="307"/>
      <c r="G70" s="307"/>
      <c r="H70" s="307"/>
      <c r="I70" s="307"/>
      <c r="J70" s="307"/>
      <c r="K70" s="307"/>
      <c r="L70" s="307"/>
      <c r="M70" s="209"/>
      <c r="N70" s="209"/>
    </row>
    <row r="71" spans="2:14" s="32" customFormat="1">
      <c r="B71" s="392"/>
      <c r="C71" s="36"/>
      <c r="D71" s="36"/>
      <c r="E71" s="36"/>
      <c r="F71" s="36"/>
      <c r="G71" s="36"/>
      <c r="H71" s="36"/>
      <c r="I71" s="36"/>
      <c r="J71" s="36"/>
      <c r="K71" s="36"/>
      <c r="L71" s="36"/>
      <c r="M71" s="38"/>
      <c r="N71" s="38"/>
    </row>
    <row r="72" spans="2:14">
      <c r="B72" s="209" t="s">
        <v>381</v>
      </c>
      <c r="C72" s="219" t="str">
        <f>'RFPR cover'!$C$14</f>
        <v>£m 12/13</v>
      </c>
      <c r="D72" s="609">
        <v>24.052324269841471</v>
      </c>
      <c r="E72" s="610">
        <v>23.189590849220046</v>
      </c>
      <c r="F72" s="610">
        <v>21.346614938920712</v>
      </c>
      <c r="G72" s="610">
        <v>21.098921400300686</v>
      </c>
      <c r="H72" s="610">
        <v>20.704406078719657</v>
      </c>
      <c r="I72" s="610">
        <v>20.660634070906809</v>
      </c>
      <c r="J72" s="610">
        <v>20.942844583230315</v>
      </c>
      <c r="K72" s="712">
        <v>20.815089966761146</v>
      </c>
    </row>
    <row r="73" spans="2:14">
      <c r="B73" s="209" t="s">
        <v>384</v>
      </c>
      <c r="C73" s="219" t="str">
        <f>'RFPR cover'!$C$14</f>
        <v>£m 12/13</v>
      </c>
      <c r="D73" s="617"/>
      <c r="E73" s="618"/>
      <c r="F73" s="618"/>
      <c r="G73" s="618"/>
      <c r="H73" s="618"/>
      <c r="I73" s="618"/>
      <c r="J73" s="618"/>
      <c r="K73" s="711"/>
    </row>
    <row r="74" spans="2:14">
      <c r="B74" s="209" t="s">
        <v>385</v>
      </c>
      <c r="C74" s="219" t="str">
        <f>'RFPR cover'!$C$14</f>
        <v>£m 12/13</v>
      </c>
      <c r="D74" s="673">
        <f t="shared" ref="D74:K74" si="9">SUM(D72:D73)</f>
        <v>24.052324269841471</v>
      </c>
      <c r="E74" s="674">
        <f t="shared" si="9"/>
        <v>23.189590849220046</v>
      </c>
      <c r="F74" s="674">
        <f t="shared" si="9"/>
        <v>21.346614938920712</v>
      </c>
      <c r="G74" s="674">
        <f t="shared" si="9"/>
        <v>21.098921400300686</v>
      </c>
      <c r="H74" s="674">
        <f t="shared" si="9"/>
        <v>20.704406078719657</v>
      </c>
      <c r="I74" s="674">
        <f t="shared" si="9"/>
        <v>20.660634070906809</v>
      </c>
      <c r="J74" s="674">
        <f t="shared" si="9"/>
        <v>20.942844583230315</v>
      </c>
      <c r="K74" s="675">
        <f t="shared" si="9"/>
        <v>20.815089966761146</v>
      </c>
    </row>
    <row r="75" spans="2:14">
      <c r="B75" s="209"/>
      <c r="C75" s="219"/>
      <c r="D75" s="219"/>
      <c r="E75" s="219"/>
      <c r="F75" s="219"/>
      <c r="G75" s="219"/>
      <c r="H75" s="219"/>
      <c r="I75" s="219"/>
      <c r="J75" s="219"/>
      <c r="K75" s="219"/>
      <c r="L75" s="219"/>
    </row>
    <row r="76" spans="2:14">
      <c r="B76" s="537" t="s">
        <v>480</v>
      </c>
      <c r="C76" s="307"/>
      <c r="D76" s="307"/>
      <c r="E76" s="307"/>
      <c r="F76" s="307"/>
      <c r="G76" s="307"/>
      <c r="H76" s="307"/>
      <c r="I76" s="307"/>
      <c r="J76" s="307"/>
      <c r="K76" s="307"/>
      <c r="L76" s="307"/>
    </row>
    <row r="77" spans="2:14" s="32" customFormat="1">
      <c r="B77" s="538"/>
      <c r="C77" s="36"/>
      <c r="D77" s="36"/>
      <c r="E77" s="36"/>
      <c r="F77" s="36"/>
      <c r="G77" s="36"/>
      <c r="H77" s="36"/>
      <c r="I77" s="36"/>
      <c r="J77" s="36"/>
      <c r="K77" s="36"/>
      <c r="L77" s="36"/>
    </row>
    <row r="78" spans="2:14">
      <c r="B78" s="209" t="s">
        <v>372</v>
      </c>
      <c r="C78" s="219" t="str">
        <f>'RFPR cover'!$C$14</f>
        <v>£m 12/13</v>
      </c>
      <c r="D78" s="609">
        <v>24.06619490630062</v>
      </c>
      <c r="E78" s="610">
        <v>23.226547547494992</v>
      </c>
      <c r="F78" s="610">
        <v>21.393579160536053</v>
      </c>
      <c r="G78" s="610">
        <v>21.685285725667406</v>
      </c>
      <c r="H78" s="610">
        <v>21.735905891475792</v>
      </c>
      <c r="I78" s="610">
        <v>18.934266525344345</v>
      </c>
      <c r="J78" s="610">
        <v>19.595320668915125</v>
      </c>
      <c r="K78" s="712">
        <v>18.812786155182014</v>
      </c>
    </row>
    <row r="79" spans="2:14">
      <c r="B79" s="209" t="s">
        <v>387</v>
      </c>
      <c r="C79" s="219" t="str">
        <f>'RFPR cover'!$C$14</f>
        <v>£m 12/13</v>
      </c>
      <c r="D79" s="617"/>
      <c r="E79" s="618"/>
      <c r="F79" s="618"/>
      <c r="G79" s="618"/>
      <c r="H79" s="618"/>
      <c r="I79" s="618"/>
      <c r="J79" s="618"/>
      <c r="K79" s="711"/>
    </row>
    <row r="80" spans="2:14">
      <c r="B80" s="14" t="s">
        <v>388</v>
      </c>
      <c r="C80" s="219" t="str">
        <f>'RFPR cover'!$C$14</f>
        <v>£m 12/13</v>
      </c>
      <c r="D80" s="637">
        <f t="shared" ref="D80:K80" si="10">SUM(D78:D79)</f>
        <v>24.06619490630062</v>
      </c>
      <c r="E80" s="638">
        <f t="shared" si="10"/>
        <v>23.226547547494992</v>
      </c>
      <c r="F80" s="638">
        <f t="shared" si="10"/>
        <v>21.393579160536053</v>
      </c>
      <c r="G80" s="638">
        <f t="shared" si="10"/>
        <v>21.685285725667406</v>
      </c>
      <c r="H80" s="638">
        <f t="shared" si="10"/>
        <v>21.735905891475792</v>
      </c>
      <c r="I80" s="638">
        <f t="shared" si="10"/>
        <v>18.934266525344345</v>
      </c>
      <c r="J80" s="638">
        <f t="shared" si="10"/>
        <v>19.595320668915125</v>
      </c>
      <c r="K80" s="639">
        <f t="shared" si="10"/>
        <v>18.812786155182014</v>
      </c>
    </row>
    <row r="81" spans="2:13" s="32" customFormat="1">
      <c r="B81" s="538"/>
      <c r="C81" s="36"/>
      <c r="D81" s="778"/>
      <c r="E81" s="778"/>
      <c r="F81" s="778"/>
      <c r="G81" s="778"/>
      <c r="H81" s="778"/>
      <c r="I81" s="778"/>
      <c r="J81" s="778"/>
      <c r="K81" s="778"/>
      <c r="L81" s="36"/>
    </row>
    <row r="82" spans="2:13" s="32" customFormat="1">
      <c r="B82" s="539" t="s">
        <v>386</v>
      </c>
      <c r="C82" s="36"/>
      <c r="D82" s="730">
        <f t="shared" ref="D82:K82" si="11">D80-D74</f>
        <v>1.387063645914921E-2</v>
      </c>
      <c r="E82" s="731">
        <f t="shared" si="11"/>
        <v>3.695669827494541E-2</v>
      </c>
      <c r="F82" s="731">
        <f t="shared" si="11"/>
        <v>4.6964221615340307E-2</v>
      </c>
      <c r="G82" s="731">
        <f t="shared" si="11"/>
        <v>0.5863643253667199</v>
      </c>
      <c r="H82" s="731">
        <f t="shared" si="11"/>
        <v>1.0314998127561346</v>
      </c>
      <c r="I82" s="731">
        <f t="shared" si="11"/>
        <v>-1.7263675455624643</v>
      </c>
      <c r="J82" s="731">
        <f t="shared" si="11"/>
        <v>-1.3475239143151896</v>
      </c>
      <c r="K82" s="732">
        <f t="shared" si="11"/>
        <v>-2.0023038115791323</v>
      </c>
      <c r="L82" s="36"/>
    </row>
    <row r="83" spans="2:13">
      <c r="B83" s="209" t="s">
        <v>383</v>
      </c>
      <c r="C83" s="219" t="str">
        <f>'RFPR cover'!$C$14</f>
        <v>£m 12/13</v>
      </c>
      <c r="D83" s="613"/>
      <c r="E83" s="614"/>
      <c r="F83" s="614"/>
      <c r="G83" s="614"/>
      <c r="H83" s="614">
        <v>0.99947435342289381</v>
      </c>
      <c r="I83" s="614">
        <v>-2.9322946814006308</v>
      </c>
      <c r="J83" s="614">
        <v>-3.1417540732892171</v>
      </c>
      <c r="K83" s="710">
        <v>-3.0213667489989078</v>
      </c>
    </row>
    <row r="84" spans="2:13">
      <c r="B84" s="209" t="s">
        <v>434</v>
      </c>
      <c r="C84" s="219" t="str">
        <f>'RFPR cover'!$C$14</f>
        <v>£m 12/13</v>
      </c>
      <c r="D84" s="613"/>
      <c r="E84" s="614"/>
      <c r="F84" s="614"/>
      <c r="G84" s="614"/>
      <c r="H84" s="614">
        <v>-0.77349015891337913</v>
      </c>
      <c r="I84" s="614">
        <v>1.0652645569075894</v>
      </c>
      <c r="J84" s="614">
        <v>1.0652971584044764</v>
      </c>
      <c r="K84" s="710">
        <v>1.0652447451705278</v>
      </c>
    </row>
    <row r="85" spans="2:13">
      <c r="B85" s="209" t="s">
        <v>332</v>
      </c>
      <c r="C85" s="219" t="str">
        <f>'RFPR cover'!$C$14</f>
        <v>£m 12/13</v>
      </c>
      <c r="D85" s="779">
        <v>1.387063645914921E-2</v>
      </c>
      <c r="E85" s="780">
        <v>3.695669827494541E-2</v>
      </c>
      <c r="F85" s="780">
        <v>4.6964221615340307E-2</v>
      </c>
      <c r="G85" s="780">
        <v>0.5863643253667199</v>
      </c>
      <c r="H85" s="780">
        <v>0.80551561824661988</v>
      </c>
      <c r="I85" s="780">
        <v>0.1406625789305771</v>
      </c>
      <c r="J85" s="780">
        <v>0.72893300056955113</v>
      </c>
      <c r="K85" s="781">
        <v>-4.6181807750752313E-2</v>
      </c>
    </row>
    <row r="86" spans="2:13">
      <c r="B86" s="209" t="s">
        <v>122</v>
      </c>
      <c r="C86" s="219" t="str">
        <f>'RFPR cover'!$C$14</f>
        <v>£m 12/13</v>
      </c>
      <c r="D86" s="540" t="str">
        <f>IF(ABS(D82-SUM(D83:D85))&lt;'RFPR cover'!$F$14,"OK","ERROR")</f>
        <v>OK</v>
      </c>
      <c r="E86" s="541" t="str">
        <f>IF(ABS(E82-SUM(E83:E85))&lt;'RFPR cover'!$F$14,"OK","ERROR")</f>
        <v>OK</v>
      </c>
      <c r="F86" s="541" t="str">
        <f>IF(ABS(F82-SUM(F83:F85))&lt;'RFPR cover'!$F$14,"OK","ERROR")</f>
        <v>OK</v>
      </c>
      <c r="G86" s="541" t="str">
        <f>IF(ABS(G82-SUM(G83:G85))&lt;'RFPR cover'!$F$14,"OK","ERROR")</f>
        <v>OK</v>
      </c>
      <c r="H86" s="541" t="str">
        <f>IF(ABS(H82-SUM(H83:H85))&lt;'RFPR cover'!$F$14,"OK","ERROR")</f>
        <v>OK</v>
      </c>
      <c r="I86" s="541" t="str">
        <f>IF(ABS(I82-SUM(I83:I85))&lt;'RFPR cover'!$F$14,"OK","ERROR")</f>
        <v>OK</v>
      </c>
      <c r="J86" s="541" t="str">
        <f>IF(ABS(J82-SUM(J83:J85))&lt;'RFPR cover'!$F$14,"OK","ERROR")</f>
        <v>OK</v>
      </c>
      <c r="K86" s="542" t="str">
        <f>IF(ABS(K82-SUM(K83:K85))&lt;'RFPR cover'!$F$14,"OK","ERROR")</f>
        <v>OK</v>
      </c>
    </row>
    <row r="87" spans="2:13">
      <c r="B87" s="209"/>
      <c r="C87" s="209"/>
      <c r="D87" s="209"/>
      <c r="E87" s="209"/>
      <c r="F87" s="209"/>
      <c r="G87" s="209"/>
      <c r="H87" s="209"/>
      <c r="I87" s="209"/>
      <c r="J87" s="209"/>
      <c r="K87" s="209"/>
      <c r="L87" s="209"/>
      <c r="M87" s="209"/>
    </row>
    <row r="89" spans="2:13">
      <c r="B89" s="869" t="s">
        <v>436</v>
      </c>
      <c r="C89" s="869"/>
      <c r="D89" s="869"/>
      <c r="E89" s="869"/>
      <c r="F89" s="869"/>
      <c r="G89" s="869"/>
      <c r="H89" s="869"/>
      <c r="I89" s="869"/>
      <c r="J89" s="869"/>
      <c r="K89" s="869"/>
      <c r="L89" s="869"/>
    </row>
    <row r="91" spans="2:13">
      <c r="B91" s="14" t="s">
        <v>437</v>
      </c>
      <c r="C91" s="220" t="str">
        <f>'RFPR cover'!$C$14</f>
        <v>£m 12/13</v>
      </c>
      <c r="D91" s="637">
        <f t="shared" ref="D91:K91" si="12">D$80-D53</f>
        <v>-0.56411153670958214</v>
      </c>
      <c r="E91" s="638">
        <f t="shared" si="12"/>
        <v>-0.77321649985745466</v>
      </c>
      <c r="F91" s="638">
        <f t="shared" si="12"/>
        <v>0.22609903365336947</v>
      </c>
      <c r="G91" s="638">
        <f t="shared" si="12"/>
        <v>0.13656613872644741</v>
      </c>
      <c r="H91" s="638">
        <f t="shared" si="12"/>
        <v>-1.2309386249596592</v>
      </c>
      <c r="I91" s="638">
        <f t="shared" si="12"/>
        <v>-1.5985643877672864</v>
      </c>
      <c r="J91" s="638">
        <f t="shared" si="12"/>
        <v>-1.7255856211262426</v>
      </c>
      <c r="K91" s="639">
        <f t="shared" si="12"/>
        <v>-2.2686733274727224</v>
      </c>
    </row>
    <row r="92" spans="2:13">
      <c r="B92" s="14"/>
      <c r="C92" s="14"/>
      <c r="D92" s="14"/>
      <c r="E92" s="14"/>
      <c r="F92" s="14"/>
      <c r="G92" s="14"/>
      <c r="H92" s="14"/>
      <c r="I92" s="14"/>
      <c r="J92" s="14"/>
      <c r="K92" s="14"/>
    </row>
    <row r="93" spans="2:13">
      <c r="B93" s="14" t="s">
        <v>448</v>
      </c>
      <c r="C93" s="220" t="str">
        <f>'RFPR cover'!$C$14</f>
        <v>£m 12/13</v>
      </c>
      <c r="D93" s="637">
        <f t="shared" ref="D93:K93" si="13">D$80-D65</f>
        <v>1.9387253917691467</v>
      </c>
      <c r="E93" s="638">
        <f t="shared" si="13"/>
        <v>1.9808751909562652</v>
      </c>
      <c r="F93" s="638">
        <f t="shared" si="13"/>
        <v>3.3379777826845114</v>
      </c>
      <c r="G93" s="638">
        <f t="shared" si="13"/>
        <v>3.3813601820754862</v>
      </c>
      <c r="H93" s="638">
        <f t="shared" si="13"/>
        <v>1.9341339565326301</v>
      </c>
      <c r="I93" s="638">
        <f t="shared" si="13"/>
        <v>0.61194125527670096</v>
      </c>
      <c r="J93" s="638">
        <f t="shared" si="13"/>
        <v>0.34608290848728274</v>
      </c>
      <c r="K93" s="639">
        <f t="shared" si="13"/>
        <v>-0.32263653831720163</v>
      </c>
    </row>
    <row r="95" spans="2:13">
      <c r="B95" s="14" t="s">
        <v>447</v>
      </c>
      <c r="C95" s="220" t="str">
        <f>'RFPR cover'!$C$14</f>
        <v>£m 12/13</v>
      </c>
      <c r="D95" s="637">
        <f>D91-D93</f>
        <v>-2.5028369284787289</v>
      </c>
      <c r="E95" s="638">
        <f t="shared" ref="E95:K95" si="14">E91-E93</f>
        <v>-2.7540916908137199</v>
      </c>
      <c r="F95" s="638">
        <f t="shared" si="14"/>
        <v>-3.1118787490311419</v>
      </c>
      <c r="G95" s="638">
        <f t="shared" si="14"/>
        <v>-3.2447940433490388</v>
      </c>
      <c r="H95" s="638">
        <f t="shared" si="14"/>
        <v>-3.1650725814922893</v>
      </c>
      <c r="I95" s="638">
        <f t="shared" si="14"/>
        <v>-2.2105056430439873</v>
      </c>
      <c r="J95" s="638">
        <f t="shared" si="14"/>
        <v>-2.0716685296135253</v>
      </c>
      <c r="K95" s="639">
        <f t="shared" si="14"/>
        <v>-1.9460367891555208</v>
      </c>
    </row>
    <row r="97" spans="2:11">
      <c r="B97" t="s">
        <v>531</v>
      </c>
      <c r="C97" s="279" t="s">
        <v>128</v>
      </c>
      <c r="D97" s="613">
        <v>2.0385722025533357</v>
      </c>
      <c r="E97" s="613">
        <v>6.2889403546044775E-2</v>
      </c>
      <c r="F97" s="613">
        <v>-3.361042591301203</v>
      </c>
      <c r="G97" s="613">
        <v>-1.9854997585491578</v>
      </c>
      <c r="H97" s="613">
        <v>-1.1938063248528352</v>
      </c>
      <c r="I97" s="613">
        <v>-2.9112517407817475</v>
      </c>
      <c r="J97" s="613">
        <v>-3.6427303114163561</v>
      </c>
      <c r="K97" s="613">
        <v>-4.4891309293567758</v>
      </c>
    </row>
    <row r="98" spans="2:11">
      <c r="B98" t="s">
        <v>531</v>
      </c>
      <c r="C98" s="419" t="str">
        <f>'RFPR cover'!$C$14</f>
        <v>£m 12/13</v>
      </c>
      <c r="D98" s="821">
        <f>D97/D$51</f>
        <v>1.9226068143209902</v>
      </c>
      <c r="E98" s="821">
        <f t="shared" ref="E98:K98" si="15">E97/E$51</f>
        <v>5.8067657939215159E-2</v>
      </c>
      <c r="F98" s="821">
        <f t="shared" si="15"/>
        <v>-2.9914120215731148</v>
      </c>
      <c r="G98" s="821">
        <f t="shared" si="15"/>
        <v>-1.7147491543585611</v>
      </c>
      <c r="H98" s="821">
        <f t="shared" si="15"/>
        <v>-1.0046423095817592</v>
      </c>
      <c r="I98" s="821">
        <f t="shared" si="15"/>
        <v>-2.3838002688381938</v>
      </c>
      <c r="J98" s="821">
        <f t="shared" si="15"/>
        <v>-2.8951728640032344</v>
      </c>
      <c r="K98" s="821">
        <f t="shared" si="15"/>
        <v>-3.4614368170671148</v>
      </c>
    </row>
    <row r="99" spans="2:11">
      <c r="B99" t="s">
        <v>532</v>
      </c>
      <c r="C99" s="279" t="s">
        <v>128</v>
      </c>
      <c r="D99" s="613">
        <v>4.6923721120905695</v>
      </c>
      <c r="E99" s="613">
        <v>3.0456717283937382</v>
      </c>
      <c r="F99" s="613">
        <v>0.13535206748556747</v>
      </c>
      <c r="G99" s="613">
        <v>1.7716315823443938</v>
      </c>
      <c r="H99" s="613">
        <v>2.5672175045903054</v>
      </c>
      <c r="I99" s="613">
        <v>-0.21163865429773845</v>
      </c>
      <c r="J99" s="613">
        <v>-1.0361399271738934</v>
      </c>
      <c r="K99" s="613">
        <v>-1.9653194598565913</v>
      </c>
    </row>
    <row r="100" spans="2:11">
      <c r="B100" t="s">
        <v>532</v>
      </c>
      <c r="C100" s="419" t="str">
        <f>'RFPR cover'!$C$14</f>
        <v>£m 12/13</v>
      </c>
      <c r="D100" s="821">
        <f t="shared" ref="D100:K100" si="16">D99/D$51</f>
        <v>4.4254437427997217</v>
      </c>
      <c r="E100" s="821">
        <f t="shared" si="16"/>
        <v>2.8121593487529353</v>
      </c>
      <c r="F100" s="821">
        <f t="shared" si="16"/>
        <v>0.12046672745802676</v>
      </c>
      <c r="G100" s="821">
        <f t="shared" si="16"/>
        <v>1.5300448889904787</v>
      </c>
      <c r="H100" s="821">
        <f t="shared" si="16"/>
        <v>2.1604302719105326</v>
      </c>
      <c r="I100" s="821">
        <f t="shared" si="16"/>
        <v>-0.17329462579420557</v>
      </c>
      <c r="J100" s="821">
        <f t="shared" si="16"/>
        <v>-0.82350433438970894</v>
      </c>
      <c r="K100" s="821">
        <f t="shared" si="16"/>
        <v>-1.5154000279115947</v>
      </c>
    </row>
    <row r="101" spans="2:11">
      <c r="B101" t="s">
        <v>535</v>
      </c>
      <c r="C101" s="419" t="str">
        <f>'RFPR cover'!$C$14</f>
        <v>£m 12/13</v>
      </c>
      <c r="D101" s="821">
        <f>D98-D100</f>
        <v>-2.5028369284787315</v>
      </c>
      <c r="E101" s="821">
        <f t="shared" ref="E101:K101" si="17">E98-E100</f>
        <v>-2.7540916908137203</v>
      </c>
      <c r="F101" s="821">
        <f t="shared" si="17"/>
        <v>-3.1118787490311415</v>
      </c>
      <c r="G101" s="821">
        <f t="shared" si="17"/>
        <v>-3.2447940433490396</v>
      </c>
      <c r="H101" s="821">
        <f t="shared" si="17"/>
        <v>-3.165072581492292</v>
      </c>
      <c r="I101" s="821">
        <f t="shared" si="17"/>
        <v>-2.2105056430439882</v>
      </c>
      <c r="J101" s="821">
        <f t="shared" si="17"/>
        <v>-2.0716685296135253</v>
      </c>
      <c r="K101" s="821">
        <f t="shared" si="17"/>
        <v>-1.9460367891555201</v>
      </c>
    </row>
  </sheetData>
  <sheetProtection password="DA3D" sheet="1" objects="1" scenarios="1" formatCells="0" formatColumns="0" formatRows="0"/>
  <conditionalFormatting sqref="D6:K7">
    <cfRule type="expression" dxfId="20" priority="69">
      <formula>AND(D$6="Actuals",E$6="Forecast")</formula>
    </cfRule>
  </conditionalFormatting>
  <conditionalFormatting sqref="D5:K5">
    <cfRule type="expression" dxfId="19" priority="44">
      <formula>AND(D$5="Actuals",E$5="Forecast")</formula>
    </cfRule>
  </conditionalFormatting>
  <conditionalFormatting sqref="D48:K48">
    <cfRule type="expression" dxfId="18" priority="12">
      <formula>AND(D$5="Actuals",E$5="Actuals")</formula>
    </cfRule>
  </conditionalFormatting>
  <conditionalFormatting sqref="D12:K12 D15:K19 D24:K45">
    <cfRule type="expression" dxfId="17" priority="11">
      <formula>NOT(AND(D$5="Actuals",E$5="Actuals"))</formula>
    </cfRule>
  </conditionalFormatting>
  <pageMargins left="0.70866141732283472" right="0.70866141732283472" top="0.74803149606299213" bottom="0.74803149606299213" header="0.31496062992125984" footer="0.31496062992125984"/>
  <pageSetup paperSize="8" scale="5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5"/>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83.125" bestFit="1" customWidth="1"/>
    <col min="3" max="3" width="14.125" customWidth="1"/>
    <col min="4" max="11" width="11.125" customWidth="1"/>
    <col min="12" max="12" width="5" customWidth="1"/>
    <col min="17" max="17" width="13.125" customWidth="1"/>
  </cols>
  <sheetData>
    <row r="1" spans="1:18" s="32" customFormat="1" ht="20.25">
      <c r="A1" s="121" t="s">
        <v>260</v>
      </c>
      <c r="B1" s="122"/>
      <c r="C1" s="122"/>
      <c r="D1" s="122"/>
      <c r="E1" s="122"/>
      <c r="F1" s="122"/>
      <c r="G1" s="122"/>
      <c r="H1" s="122"/>
      <c r="I1" s="130"/>
      <c r="J1" s="130"/>
      <c r="K1" s="131"/>
      <c r="L1" s="132"/>
    </row>
    <row r="2" spans="1:18" s="32" customFormat="1" ht="20.25">
      <c r="A2" s="125" t="str">
        <f>'RFPR cover'!C5</f>
        <v>NPgY</v>
      </c>
      <c r="B2" s="30"/>
      <c r="C2" s="30"/>
      <c r="D2" s="30"/>
      <c r="E2" s="30"/>
      <c r="F2" s="30"/>
      <c r="G2" s="30"/>
      <c r="H2" s="30"/>
      <c r="I2" s="27"/>
      <c r="J2" s="27"/>
      <c r="K2" s="27"/>
      <c r="L2" s="126"/>
    </row>
    <row r="3" spans="1:18" s="32" customFormat="1" ht="23.25">
      <c r="A3" s="127">
        <f>'RFPR cover'!C7</f>
        <v>2019</v>
      </c>
      <c r="B3" s="941" t="str">
        <f>'R1 - RoRE'!B3</f>
        <v/>
      </c>
      <c r="C3" s="128"/>
      <c r="D3" s="128"/>
      <c r="E3" s="128"/>
      <c r="F3" s="128"/>
      <c r="G3" s="128"/>
      <c r="H3" s="128"/>
      <c r="I3" s="29"/>
      <c r="J3" s="29"/>
      <c r="K3" s="29"/>
      <c r="L3" s="129"/>
    </row>
    <row r="4" spans="1:18" s="2" customFormat="1" ht="12.75" customHeight="1"/>
    <row r="5" spans="1:18" s="2" customFormat="1">
      <c r="B5" s="3"/>
      <c r="C5" s="3"/>
      <c r="D5" s="409" t="str">
        <f>IF(D6&lt;='RFPR cover'!$C$7,"Actuals","N/A")</f>
        <v>Actuals</v>
      </c>
      <c r="E5" s="410" t="str">
        <f>IF(E6&lt;='RFPR cover'!$C$7,"Actuals","N/A")</f>
        <v>Actuals</v>
      </c>
      <c r="F5" s="410" t="str">
        <f>IF(F6&lt;='RFPR cover'!$C$7,"Actuals","N/A")</f>
        <v>Actuals</v>
      </c>
      <c r="G5" s="410" t="str">
        <f>IF(G6&lt;='RFPR cover'!$C$7,"Actuals","N/A")</f>
        <v>Actuals</v>
      </c>
      <c r="H5" s="410" t="str">
        <f>IF(H6&lt;='RFPR cover'!$C$7,"Actuals","N/A")</f>
        <v>N/A</v>
      </c>
      <c r="I5" s="410" t="str">
        <f>IF(I6&lt;='RFPR cover'!$C$7,"Actuals","N/A")</f>
        <v>N/A</v>
      </c>
      <c r="J5" s="410" t="str">
        <f>IF(J6&lt;='RFPR cover'!$C$7,"Actuals","N/A")</f>
        <v>N/A</v>
      </c>
      <c r="K5" s="411" t="str">
        <f>IF(K6&lt;='RFPR cover'!$C$7,"Actuals","N/A")</f>
        <v>N/A</v>
      </c>
    </row>
    <row r="6" spans="1:18" s="2" customFormat="1">
      <c r="D6" s="118">
        <f>'RFPR cover'!$C$13</f>
        <v>2016</v>
      </c>
      <c r="E6" s="119">
        <f>D6+1</f>
        <v>2017</v>
      </c>
      <c r="F6" s="119">
        <f t="shared" ref="F6:K6" si="0">E6+1</f>
        <v>2018</v>
      </c>
      <c r="G6" s="119">
        <f t="shared" si="0"/>
        <v>2019</v>
      </c>
      <c r="H6" s="119">
        <f t="shared" si="0"/>
        <v>2020</v>
      </c>
      <c r="I6" s="119">
        <f t="shared" si="0"/>
        <v>2021</v>
      </c>
      <c r="J6" s="119">
        <f t="shared" si="0"/>
        <v>2022</v>
      </c>
      <c r="K6" s="203">
        <f t="shared" si="0"/>
        <v>2023</v>
      </c>
    </row>
    <row r="7" spans="1:18" s="2" customFormat="1"/>
    <row r="8" spans="1:18">
      <c r="B8" s="14" t="s">
        <v>230</v>
      </c>
      <c r="C8" s="159" t="s">
        <v>128</v>
      </c>
      <c r="D8" s="665">
        <v>27.6</v>
      </c>
      <c r="E8" s="666">
        <v>28.7</v>
      </c>
      <c r="F8" s="666">
        <v>29.8</v>
      </c>
      <c r="G8" s="666">
        <v>31.2</v>
      </c>
      <c r="H8" s="666"/>
      <c r="I8" s="666"/>
      <c r="J8" s="666"/>
      <c r="K8" s="667"/>
    </row>
    <row r="9" spans="1:18">
      <c r="B9" s="15" t="s">
        <v>105</v>
      </c>
      <c r="C9" s="14"/>
      <c r="D9" s="782"/>
      <c r="E9" s="782"/>
      <c r="F9" s="782"/>
      <c r="G9" s="782"/>
      <c r="H9" s="782"/>
      <c r="I9" s="782"/>
      <c r="J9" s="782"/>
      <c r="K9" s="782"/>
    </row>
    <row r="10" spans="1:18">
      <c r="B10" s="455" t="s">
        <v>22</v>
      </c>
      <c r="C10" s="159" t="s">
        <v>128</v>
      </c>
      <c r="D10" s="621"/>
      <c r="E10" s="622"/>
      <c r="F10" s="622"/>
      <c r="G10" s="622"/>
      <c r="H10" s="622"/>
      <c r="I10" s="622"/>
      <c r="J10" s="622"/>
      <c r="K10" s="632"/>
    </row>
    <row r="11" spans="1:18">
      <c r="B11" s="455" t="s">
        <v>22</v>
      </c>
      <c r="C11" s="159" t="s">
        <v>128</v>
      </c>
      <c r="D11" s="623"/>
      <c r="E11" s="624"/>
      <c r="F11" s="624"/>
      <c r="G11" s="624"/>
      <c r="H11" s="624"/>
      <c r="I11" s="624"/>
      <c r="J11" s="624"/>
      <c r="K11" s="633"/>
    </row>
    <row r="12" spans="1:18">
      <c r="B12" s="455" t="s">
        <v>20</v>
      </c>
      <c r="C12" s="159" t="s">
        <v>128</v>
      </c>
      <c r="D12" s="634"/>
      <c r="E12" s="635"/>
      <c r="F12" s="635"/>
      <c r="G12" s="635"/>
      <c r="H12" s="635"/>
      <c r="I12" s="635"/>
      <c r="J12" s="635"/>
      <c r="K12" s="636"/>
      <c r="Q12" s="225"/>
    </row>
    <row r="13" spans="1:18">
      <c r="B13" s="14" t="s">
        <v>106</v>
      </c>
      <c r="C13" s="159" t="s">
        <v>128</v>
      </c>
      <c r="D13" s="770">
        <f>D8-SUM(D10:D12)</f>
        <v>27.6</v>
      </c>
      <c r="E13" s="771">
        <f t="shared" ref="E13:K13" si="1">E8-SUM(E10:E12)</f>
        <v>28.7</v>
      </c>
      <c r="F13" s="771">
        <f t="shared" si="1"/>
        <v>29.8</v>
      </c>
      <c r="G13" s="771">
        <f t="shared" si="1"/>
        <v>31.2</v>
      </c>
      <c r="H13" s="771">
        <f t="shared" si="1"/>
        <v>0</v>
      </c>
      <c r="I13" s="771">
        <f t="shared" si="1"/>
        <v>0</v>
      </c>
      <c r="J13" s="771">
        <f t="shared" si="1"/>
        <v>0</v>
      </c>
      <c r="K13" s="772">
        <f t="shared" si="1"/>
        <v>0</v>
      </c>
      <c r="R13" s="224"/>
    </row>
    <row r="14" spans="1:18">
      <c r="C14" s="14"/>
      <c r="Q14" s="225"/>
    </row>
    <row r="15" spans="1:18">
      <c r="B15" s="14" t="s">
        <v>507</v>
      </c>
      <c r="C15" s="159" t="s">
        <v>128</v>
      </c>
      <c r="D15" s="621"/>
      <c r="E15" s="622"/>
      <c r="F15" s="622"/>
      <c r="G15" s="622"/>
      <c r="H15" s="622"/>
      <c r="I15" s="622"/>
      <c r="J15" s="622"/>
      <c r="K15" s="632"/>
    </row>
  </sheetData>
  <sheetProtection password="DA3D" sheet="1" objects="1" scenarios="1" formatCells="0" formatColumns="0" formatRows="0"/>
  <conditionalFormatting sqref="D6:K6">
    <cfRule type="expression" dxfId="16" priority="10">
      <formula>AND(D$5="Actuals",E$5="N/A")</formula>
    </cfRule>
  </conditionalFormatting>
  <conditionalFormatting sqref="D5:K5">
    <cfRule type="expression" dxfId="15" priority="3">
      <formula>AND(D$5="Actuals",E$5="N/A")</formula>
    </cfRule>
  </conditionalFormatting>
  <conditionalFormatting sqref="D8:K8 D5:K6 D10:K13">
    <cfRule type="expression" dxfId="14" priority="2">
      <formula>D$5="N/A"</formula>
    </cfRule>
  </conditionalFormatting>
  <conditionalFormatting sqref="D15:K15">
    <cfRule type="expression" dxfId="13"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70" zoomScaleNormal="70" workbookViewId="0">
      <pane ySplit="6" topLeftCell="A7" activePane="bottomLeft" state="frozen"/>
      <selection pane="bottomLeft"/>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2" customFormat="1" ht="20.25">
      <c r="A1" s="267" t="s">
        <v>259</v>
      </c>
      <c r="B1" s="268"/>
      <c r="C1" s="268"/>
      <c r="D1" s="268"/>
      <c r="E1" s="268"/>
      <c r="F1" s="268"/>
      <c r="G1" s="268"/>
      <c r="H1" s="268"/>
      <c r="I1" s="269"/>
      <c r="J1" s="269"/>
      <c r="K1" s="270"/>
      <c r="L1" s="271"/>
    </row>
    <row r="2" spans="1:12" s="32" customFormat="1" ht="20.25">
      <c r="A2" s="125" t="str">
        <f>'RFPR cover'!C5</f>
        <v>NPgY</v>
      </c>
      <c r="B2" s="30"/>
      <c r="C2" s="30"/>
      <c r="D2" s="30"/>
      <c r="E2" s="30"/>
      <c r="F2" s="30"/>
      <c r="G2" s="30"/>
      <c r="H2" s="30"/>
      <c r="I2" s="27"/>
      <c r="J2" s="27"/>
      <c r="K2" s="27"/>
      <c r="L2" s="126"/>
    </row>
    <row r="3" spans="1:12" s="32" customFormat="1" ht="20.25">
      <c r="A3" s="272">
        <f>'RFPR cover'!C7</f>
        <v>2019</v>
      </c>
      <c r="B3" s="273"/>
      <c r="C3" s="273"/>
      <c r="D3" s="273"/>
      <c r="E3" s="273"/>
      <c r="F3" s="273"/>
      <c r="G3" s="273"/>
      <c r="H3" s="273"/>
      <c r="I3" s="266"/>
      <c r="J3" s="266"/>
      <c r="K3" s="266"/>
      <c r="L3" s="274"/>
    </row>
    <row r="4" spans="1:12" s="2" customFormat="1" ht="12.75" customHeight="1">
      <c r="A4" s="36"/>
      <c r="B4" s="282"/>
      <c r="C4" s="32"/>
      <c r="D4" s="283"/>
      <c r="E4" s="283"/>
      <c r="F4" s="36"/>
      <c r="G4" s="36"/>
      <c r="H4" s="36"/>
      <c r="I4" s="36"/>
      <c r="J4" s="36"/>
      <c r="K4" s="36"/>
    </row>
    <row r="5" spans="1:12" s="2" customFormat="1" ht="12.75" customHeight="1">
      <c r="A5" s="36"/>
      <c r="B5" s="282"/>
      <c r="C5" s="32"/>
      <c r="D5" s="409" t="str">
        <f>IF(D6&lt;='RFPR cover'!$C$7,"Actuals","Forecast")</f>
        <v>Actuals</v>
      </c>
      <c r="E5" s="410" t="str">
        <f>IF(E6&lt;='RFPR cover'!$C$7,"Actuals","Forecast")</f>
        <v>Actuals</v>
      </c>
      <c r="F5" s="410" t="str">
        <f>IF(F6&lt;='RFPR cover'!$C$7,"Actuals","Forecast")</f>
        <v>Actuals</v>
      </c>
      <c r="G5" s="410" t="str">
        <f>IF(G6&lt;='RFPR cover'!$C$7,"Actuals","Forecast")</f>
        <v>Actuals</v>
      </c>
      <c r="H5" s="410" t="str">
        <f>IF(H6&lt;='RFPR cover'!$C$7,"Actuals","Forecast")</f>
        <v>Forecast</v>
      </c>
      <c r="I5" s="410" t="str">
        <f>IF(I6&lt;='RFPR cover'!$C$7,"Actuals","Forecast")</f>
        <v>Forecast</v>
      </c>
      <c r="J5" s="410" t="str">
        <f>IF(J6&lt;='RFPR cover'!$C$7,"Actuals","Forecast")</f>
        <v>Forecast</v>
      </c>
      <c r="K5" s="411" t="str">
        <f>IF(K6&lt;='RFPR cover'!$C$7,"Actuals","Forecast")</f>
        <v>Forecast</v>
      </c>
    </row>
    <row r="6" spans="1:12" s="2" customFormat="1">
      <c r="A6" s="36"/>
      <c r="B6" s="36"/>
      <c r="C6" s="32"/>
      <c r="D6" s="118">
        <f>'RFPR cover'!$C$13</f>
        <v>2016</v>
      </c>
      <c r="E6" s="119">
        <f>D6+1</f>
        <v>2017</v>
      </c>
      <c r="F6" s="119">
        <f t="shared" ref="F6:K6" si="0">E6+1</f>
        <v>2018</v>
      </c>
      <c r="G6" s="119">
        <f t="shared" si="0"/>
        <v>2019</v>
      </c>
      <c r="H6" s="119">
        <f t="shared" si="0"/>
        <v>2020</v>
      </c>
      <c r="I6" s="119">
        <f t="shared" si="0"/>
        <v>2021</v>
      </c>
      <c r="J6" s="119">
        <f t="shared" si="0"/>
        <v>2022</v>
      </c>
      <c r="K6" s="203">
        <f t="shared" si="0"/>
        <v>2023</v>
      </c>
    </row>
    <row r="7" spans="1:12" s="2" customFormat="1">
      <c r="A7" s="36"/>
      <c r="B7" s="36"/>
      <c r="C7" s="32"/>
      <c r="D7" s="32"/>
      <c r="E7" s="32"/>
      <c r="F7" s="32"/>
      <c r="G7" s="32"/>
      <c r="H7" s="32"/>
      <c r="I7" s="32"/>
      <c r="J7" s="32"/>
      <c r="K7" s="32"/>
      <c r="L7" s="32"/>
    </row>
    <row r="8" spans="1:12">
      <c r="B8" s="14" t="s">
        <v>396</v>
      </c>
      <c r="C8" s="159" t="s">
        <v>128</v>
      </c>
      <c r="D8" s="783">
        <v>8.5922039999999988</v>
      </c>
      <c r="E8" s="784">
        <v>5.5773494399999999</v>
      </c>
      <c r="F8" s="784">
        <v>8.4557356000000006</v>
      </c>
      <c r="G8" s="784">
        <v>9.2317239999999998</v>
      </c>
      <c r="H8" s="784"/>
      <c r="I8" s="784"/>
      <c r="J8" s="784"/>
      <c r="K8" s="785"/>
    </row>
    <row r="9" spans="1:12">
      <c r="B9" s="16" t="s">
        <v>24</v>
      </c>
      <c r="D9" s="782"/>
      <c r="E9" s="782"/>
      <c r="F9" s="782"/>
      <c r="G9" s="782"/>
      <c r="H9" s="782"/>
      <c r="I9" s="782"/>
      <c r="J9" s="782"/>
      <c r="K9" s="782"/>
    </row>
    <row r="10" spans="1:12">
      <c r="B10" t="s">
        <v>23</v>
      </c>
      <c r="C10" s="159" t="s">
        <v>128</v>
      </c>
      <c r="D10" s="704">
        <v>7.6174119333094925</v>
      </c>
      <c r="E10" s="705">
        <v>4.9502246471076443</v>
      </c>
      <c r="F10" s="705">
        <v>6.4811527123046231</v>
      </c>
      <c r="G10" s="705">
        <v>6.6829076380540382</v>
      </c>
      <c r="H10" s="705"/>
      <c r="I10" s="705"/>
      <c r="J10" s="705"/>
      <c r="K10" s="706"/>
    </row>
    <row r="11" spans="1:12">
      <c r="B11" t="s">
        <v>25</v>
      </c>
      <c r="C11" s="159" t="s">
        <v>128</v>
      </c>
      <c r="D11" s="786">
        <v>0.4450623402247782</v>
      </c>
      <c r="E11" s="787">
        <v>0.29013602905348534</v>
      </c>
      <c r="F11" s="787">
        <v>1.5850192902254789</v>
      </c>
      <c r="G11" s="787">
        <v>1.6393638252410587</v>
      </c>
      <c r="H11" s="787"/>
      <c r="I11" s="787"/>
      <c r="J11" s="787"/>
      <c r="K11" s="788"/>
    </row>
    <row r="12" spans="1:12">
      <c r="D12" s="782"/>
      <c r="E12" s="782"/>
      <c r="F12" s="782"/>
      <c r="G12" s="782"/>
      <c r="H12" s="782"/>
      <c r="I12" s="782"/>
      <c r="J12" s="782"/>
      <c r="K12" s="782"/>
    </row>
    <row r="13" spans="1:12">
      <c r="D13" s="782"/>
      <c r="E13" s="782"/>
      <c r="F13" s="782"/>
      <c r="G13" s="782"/>
      <c r="H13" s="782"/>
      <c r="I13" s="782"/>
      <c r="J13" s="782"/>
      <c r="K13" s="782"/>
    </row>
    <row r="14" spans="1:12">
      <c r="B14" t="s">
        <v>23</v>
      </c>
      <c r="C14" s="219" t="str">
        <f>'RFPR cover'!$C$14</f>
        <v>£m 12/13</v>
      </c>
      <c r="D14" s="17">
        <f>D10/Data!C$34</f>
        <v>7.1840909397898498</v>
      </c>
      <c r="E14" s="17">
        <f>E10/Data!D$34</f>
        <v>4.5706897398074764</v>
      </c>
      <c r="F14" s="17">
        <f>F10/Data!E$34</f>
        <v>5.7683881148716436</v>
      </c>
      <c r="G14" s="17">
        <f>G10/Data!F$34</f>
        <v>5.7715999066064914</v>
      </c>
      <c r="H14" s="17">
        <f>H10/Data!G$34</f>
        <v>0</v>
      </c>
      <c r="I14" s="17">
        <f>I10/Data!H$34</f>
        <v>0</v>
      </c>
      <c r="J14" s="17">
        <f>J10/Data!I$34</f>
        <v>0</v>
      </c>
      <c r="K14" s="17">
        <f>K10/Data!J$34</f>
        <v>0</v>
      </c>
    </row>
    <row r="15" spans="1:12">
      <c r="D15" s="782"/>
      <c r="E15" s="782"/>
      <c r="F15" s="782"/>
      <c r="G15" s="782"/>
      <c r="H15" s="782"/>
      <c r="I15" s="782"/>
      <c r="J15" s="782"/>
      <c r="K15" s="782"/>
    </row>
    <row r="16" spans="1:12">
      <c r="D16" s="782"/>
      <c r="E16" s="782"/>
      <c r="F16" s="782"/>
      <c r="G16" s="782"/>
      <c r="H16" s="782"/>
      <c r="I16" s="782"/>
      <c r="J16" s="782"/>
      <c r="K16" s="782"/>
    </row>
    <row r="17" spans="2:11" s="2" customFormat="1">
      <c r="B17" s="14" t="s">
        <v>312</v>
      </c>
      <c r="C17" s="219" t="str">
        <f>'RFPR cover'!$C$14</f>
        <v>£m 12/13</v>
      </c>
      <c r="D17" s="789">
        <v>6.878365211101003</v>
      </c>
      <c r="E17" s="789">
        <v>6.878365211101003</v>
      </c>
      <c r="F17" s="789">
        <v>6.878365211101003</v>
      </c>
      <c r="G17" s="789">
        <v>5.3414466442766493</v>
      </c>
      <c r="H17" s="789">
        <v>5.3414466442766511</v>
      </c>
      <c r="I17" s="789">
        <v>5.3414466442766493</v>
      </c>
      <c r="J17" s="789">
        <v>5.3414466442766493</v>
      </c>
      <c r="K17" s="789">
        <v>5.3414466442766493</v>
      </c>
    </row>
    <row r="18" spans="2:11" s="2" customFormat="1">
      <c r="B18" s="209" t="s">
        <v>313</v>
      </c>
      <c r="C18" s="219" t="str">
        <f>'RFPR cover'!$C$14</f>
        <v>£m 12/13</v>
      </c>
      <c r="D18" s="789">
        <v>2.3455993263814753E-2</v>
      </c>
      <c r="E18" s="789">
        <v>2.3455993263814753E-2</v>
      </c>
      <c r="F18" s="789">
        <v>2.3455993263814753E-2</v>
      </c>
      <c r="G18" s="789">
        <v>-0.44451490954897988</v>
      </c>
      <c r="H18" s="789">
        <v>-0.44451490954897854</v>
      </c>
      <c r="I18" s="789">
        <v>-0.44451490954898043</v>
      </c>
      <c r="J18" s="789">
        <v>-0.44451490954898043</v>
      </c>
      <c r="K18" s="789">
        <v>-0.44451490954898043</v>
      </c>
    </row>
    <row r="19" spans="2:11" s="2" customFormat="1">
      <c r="B19" s="14" t="s">
        <v>314</v>
      </c>
      <c r="C19" s="219" t="str">
        <f>'RFPR cover'!$C$14</f>
        <v>£m 12/13</v>
      </c>
      <c r="D19" s="17">
        <f>D17-D18</f>
        <v>6.8549092178371884</v>
      </c>
      <c r="E19" s="17">
        <f t="shared" ref="E19:K19" si="1">E17-E18</f>
        <v>6.8549092178371884</v>
      </c>
      <c r="F19" s="17">
        <f t="shared" si="1"/>
        <v>6.8549092178371884</v>
      </c>
      <c r="G19" s="17">
        <f t="shared" si="1"/>
        <v>5.7859615538256293</v>
      </c>
      <c r="H19" s="17">
        <f t="shared" si="1"/>
        <v>5.7859615538256293</v>
      </c>
      <c r="I19" s="17">
        <f t="shared" si="1"/>
        <v>5.7859615538256293</v>
      </c>
      <c r="J19" s="17">
        <f t="shared" si="1"/>
        <v>5.7859615538256293</v>
      </c>
      <c r="K19" s="17">
        <f t="shared" si="1"/>
        <v>5.7859615538256293</v>
      </c>
    </row>
    <row r="20" spans="2:11" s="2" customFormat="1">
      <c r="B20" s="14"/>
      <c r="C20" s="14"/>
      <c r="D20" s="14"/>
      <c r="E20" s="14"/>
      <c r="F20" s="14"/>
      <c r="G20" s="14"/>
      <c r="H20" s="14"/>
      <c r="I20" s="14"/>
      <c r="J20" s="14"/>
      <c r="K20" s="14"/>
    </row>
    <row r="21" spans="2:11" s="2" customFormat="1">
      <c r="B21" s="14"/>
      <c r="C21" s="14"/>
      <c r="D21" s="997" t="s">
        <v>118</v>
      </c>
      <c r="E21" s="14"/>
      <c r="F21" s="14"/>
      <c r="G21" s="14"/>
      <c r="H21" s="14"/>
      <c r="I21" s="14"/>
      <c r="J21" s="14"/>
      <c r="K21" s="14"/>
    </row>
    <row r="22" spans="2:11" s="2" customFormat="1" ht="12.75" customHeight="1">
      <c r="B22" s="14"/>
      <c r="C22" s="14"/>
      <c r="D22" s="998"/>
      <c r="E22" s="14"/>
      <c r="F22" s="14"/>
      <c r="G22" s="14"/>
      <c r="H22" s="14"/>
      <c r="I22" s="14"/>
      <c r="J22" s="14"/>
      <c r="K22" s="14"/>
    </row>
    <row r="23" spans="2:11">
      <c r="C23" s="14"/>
      <c r="D23" s="999"/>
      <c r="E23" s="14"/>
    </row>
    <row r="24" spans="2:11">
      <c r="B24" s="14" t="s">
        <v>117</v>
      </c>
      <c r="C24" s="14"/>
      <c r="D24" s="549">
        <v>42460</v>
      </c>
    </row>
    <row r="25" spans="2:11">
      <c r="B25" s="14"/>
      <c r="C25" s="14"/>
      <c r="D25" s="41"/>
      <c r="E25" s="42"/>
      <c r="F25" s="42"/>
    </row>
    <row r="26" spans="2:11">
      <c r="B26" s="209" t="s">
        <v>311</v>
      </c>
      <c r="C26" s="14"/>
      <c r="D26" s="549">
        <v>42460</v>
      </c>
      <c r="E26" s="42"/>
      <c r="F26" s="42"/>
    </row>
    <row r="27" spans="2:11">
      <c r="B27" s="209"/>
      <c r="C27" s="14"/>
      <c r="D27" s="41"/>
      <c r="E27" s="42"/>
      <c r="F27" s="42"/>
    </row>
    <row r="28" spans="2:11">
      <c r="B28" s="14"/>
      <c r="D28" s="380" t="s">
        <v>281</v>
      </c>
      <c r="E28" s="42"/>
      <c r="F28" s="42"/>
    </row>
    <row r="29" spans="2:11">
      <c r="B29" t="s">
        <v>26</v>
      </c>
      <c r="D29" s="789">
        <v>167.58051</v>
      </c>
    </row>
    <row r="30" spans="2:11">
      <c r="B30" t="s">
        <v>27</v>
      </c>
      <c r="D30" s="789">
        <v>1624.8194900000001</v>
      </c>
    </row>
    <row r="31" spans="2:11">
      <c r="D31" s="782"/>
    </row>
    <row r="32" spans="2:11">
      <c r="B32" t="s">
        <v>28</v>
      </c>
      <c r="D32" s="789">
        <v>144.89999999999998</v>
      </c>
    </row>
    <row r="33" spans="2:4">
      <c r="B33" t="s">
        <v>29</v>
      </c>
      <c r="D33" s="789">
        <v>1452.6</v>
      </c>
    </row>
    <row r="34" spans="2:4">
      <c r="D34" s="782"/>
    </row>
    <row r="35" spans="2:4">
      <c r="B35" s="44" t="s">
        <v>31</v>
      </c>
      <c r="D35" s="17">
        <f>D29-D32</f>
        <v>22.680510000000027</v>
      </c>
    </row>
    <row r="36" spans="2:4">
      <c r="B36" s="44" t="s">
        <v>30</v>
      </c>
      <c r="D36" s="17">
        <f>D30-D33</f>
        <v>172.21949000000018</v>
      </c>
    </row>
    <row r="37" spans="2:4">
      <c r="D37" s="782"/>
    </row>
    <row r="38" spans="2:4">
      <c r="B38" t="s">
        <v>32</v>
      </c>
      <c r="D38" s="789">
        <v>45.992185687031544</v>
      </c>
    </row>
    <row r="39" spans="2:4">
      <c r="B39" t="s">
        <v>33</v>
      </c>
      <c r="D39" s="789">
        <v>11.972296217623544</v>
      </c>
    </row>
  </sheetData>
  <sheetProtection password="DA3D" sheet="1" objects="1" scenarios="1" formatCells="0" formatColumns="0" formatRows="0"/>
  <mergeCells count="1">
    <mergeCell ref="D21:D23"/>
  </mergeCells>
  <conditionalFormatting sqref="D6:J6">
    <cfRule type="expression" dxfId="12" priority="16">
      <formula>AND(D$4="Actuals",E$4="Forecast")</formula>
    </cfRule>
  </conditionalFormatting>
  <conditionalFormatting sqref="D11:K11">
    <cfRule type="expression" dxfId="11" priority="10">
      <formula>D$5="Forecast"</formula>
    </cfRule>
    <cfRule type="expression" dxfId="10" priority="11">
      <formula>D$5="Actuals"</formula>
    </cfRule>
  </conditionalFormatting>
  <conditionalFormatting sqref="D8:K8">
    <cfRule type="expression" dxfId="9" priority="14">
      <formula>D$5="Forecast"</formula>
    </cfRule>
    <cfRule type="expression" dxfId="8" priority="15">
      <formula>D$5="Actuals"</formula>
    </cfRule>
  </conditionalFormatting>
  <conditionalFormatting sqref="D10:K10">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1"/>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2" customFormat="1" ht="20.25">
      <c r="A1" s="381" t="s">
        <v>258</v>
      </c>
      <c r="B1" s="268"/>
      <c r="C1" s="268"/>
      <c r="D1" s="268"/>
      <c r="E1" s="268"/>
      <c r="F1" s="268"/>
      <c r="G1" s="268"/>
      <c r="H1" s="268"/>
      <c r="I1" s="269"/>
      <c r="J1" s="269"/>
      <c r="K1" s="270"/>
      <c r="L1" s="382"/>
      <c r="M1" s="34"/>
      <c r="N1" s="34"/>
      <c r="O1" s="33" t="s">
        <v>84</v>
      </c>
      <c r="P1" s="34"/>
      <c r="Q1" s="34"/>
      <c r="R1" s="34"/>
      <c r="S1" s="34"/>
    </row>
    <row r="2" spans="1:19" s="32" customFormat="1" ht="20.25">
      <c r="A2" s="125" t="str">
        <f>'RFPR cover'!C5</f>
        <v>NPgY</v>
      </c>
      <c r="B2" s="30"/>
      <c r="C2" s="30"/>
      <c r="D2" s="30"/>
      <c r="E2" s="30"/>
      <c r="F2" s="30"/>
      <c r="G2" s="30"/>
      <c r="H2" s="30"/>
      <c r="I2" s="27"/>
      <c r="J2" s="27"/>
      <c r="K2" s="27"/>
      <c r="L2" s="126"/>
      <c r="M2" s="34"/>
      <c r="N2" s="34"/>
      <c r="O2" s="33" t="s">
        <v>84</v>
      </c>
      <c r="P2" s="34"/>
      <c r="Q2" s="34"/>
      <c r="R2" s="34"/>
      <c r="S2" s="34"/>
    </row>
    <row r="3" spans="1:19" s="32" customFormat="1" ht="20.25">
      <c r="A3" s="272">
        <f>'RFPR cover'!C7</f>
        <v>2019</v>
      </c>
      <c r="B3" s="273"/>
      <c r="C3" s="273"/>
      <c r="D3" s="273"/>
      <c r="E3" s="273"/>
      <c r="F3" s="273"/>
      <c r="G3" s="273"/>
      <c r="H3" s="273"/>
      <c r="I3" s="266"/>
      <c r="J3" s="266"/>
      <c r="K3" s="266"/>
      <c r="L3" s="274"/>
      <c r="M3" s="34"/>
      <c r="N3" s="34"/>
      <c r="O3" s="33" t="s">
        <v>84</v>
      </c>
      <c r="P3" s="34"/>
      <c r="Q3" s="34"/>
      <c r="R3" s="34"/>
      <c r="S3" s="34"/>
    </row>
    <row r="4" spans="1:19" s="2" customFormat="1" ht="12.75" customHeight="1">
      <c r="M4" s="34"/>
      <c r="N4" s="34"/>
      <c r="O4" s="33" t="s">
        <v>84</v>
      </c>
      <c r="P4" s="34"/>
      <c r="Q4" s="34"/>
      <c r="R4" s="34"/>
      <c r="S4" s="34"/>
    </row>
    <row r="5" spans="1:19" s="2" customFormat="1" ht="12.75" customHeight="1">
      <c r="B5" s="3"/>
      <c r="C5" s="3"/>
      <c r="D5" s="409" t="str">
        <f>IF(D6&lt;='RFPR cover'!$C$7,"Actuals","Forecast")</f>
        <v>Actuals</v>
      </c>
      <c r="E5" s="410" t="str">
        <f>IF(E6&lt;='RFPR cover'!$C$7,"Actuals","Forecast")</f>
        <v>Actuals</v>
      </c>
      <c r="F5" s="410" t="str">
        <f>IF(F6&lt;='RFPR cover'!$C$7,"Actuals","Forecast")</f>
        <v>Actuals</v>
      </c>
      <c r="G5" s="410" t="str">
        <f>IF(G6&lt;='RFPR cover'!$C$7,"Actuals","Forecast")</f>
        <v>Actuals</v>
      </c>
      <c r="H5" s="410" t="str">
        <f>IF(H6&lt;='RFPR cover'!$C$7,"Actuals","Forecast")</f>
        <v>Forecast</v>
      </c>
      <c r="I5" s="410" t="str">
        <f>IF(I6&lt;='RFPR cover'!$C$7,"Actuals","Forecast")</f>
        <v>Forecast</v>
      </c>
      <c r="J5" s="410" t="str">
        <f>IF(J6&lt;='RFPR cover'!$C$7,"Actuals","Forecast")</f>
        <v>Forecast</v>
      </c>
      <c r="K5" s="411" t="str">
        <f>IF(K6&lt;='RFPR cover'!$C$7,"Actuals","Forecast")</f>
        <v>Forecast</v>
      </c>
      <c r="M5" s="34"/>
      <c r="N5" s="34"/>
      <c r="O5" s="33" t="s">
        <v>84</v>
      </c>
      <c r="P5" s="34"/>
      <c r="Q5" s="34"/>
      <c r="R5" s="34"/>
      <c r="S5" s="34"/>
    </row>
    <row r="6" spans="1:19" s="2" customFormat="1">
      <c r="C6" s="14"/>
      <c r="D6" s="118">
        <f>'RFPR cover'!$C$13</f>
        <v>2016</v>
      </c>
      <c r="E6" s="119">
        <f>D6+1</f>
        <v>2017</v>
      </c>
      <c r="F6" s="119">
        <f t="shared" ref="F6:K6" si="0">E6+1</f>
        <v>2018</v>
      </c>
      <c r="G6" s="119">
        <f t="shared" si="0"/>
        <v>2019</v>
      </c>
      <c r="H6" s="119">
        <f t="shared" si="0"/>
        <v>2020</v>
      </c>
      <c r="I6" s="119">
        <f t="shared" si="0"/>
        <v>2021</v>
      </c>
      <c r="J6" s="119">
        <f t="shared" si="0"/>
        <v>2022</v>
      </c>
      <c r="K6" s="203">
        <f t="shared" si="0"/>
        <v>2023</v>
      </c>
    </row>
    <row r="7" spans="1:19">
      <c r="D7" s="793"/>
      <c r="E7" s="793"/>
      <c r="F7" s="793"/>
      <c r="G7" s="793"/>
      <c r="H7" s="793"/>
      <c r="I7" s="793"/>
      <c r="J7" s="793"/>
      <c r="K7" s="793"/>
    </row>
    <row r="8" spans="1:19">
      <c r="B8" s="52" t="s">
        <v>470</v>
      </c>
      <c r="C8" s="219" t="str">
        <f>'RFPR cover'!$C$14</f>
        <v>£m 12/13</v>
      </c>
      <c r="D8" s="790">
        <f>(D16+D21)/Data!C34</f>
        <v>0.1479022193013225</v>
      </c>
      <c r="E8" s="790">
        <f>(E16+E21)/Data!D34</f>
        <v>0.11985928292174858</v>
      </c>
      <c r="F8" s="790">
        <f>(F16+F21)/Data!E34</f>
        <v>0.12489543192631718</v>
      </c>
      <c r="G8" s="790">
        <f>(G16+G21)/Data!F34</f>
        <v>0.174197246640582</v>
      </c>
      <c r="H8" s="790">
        <f>(H16+H21)/Data!G34</f>
        <v>0.16974153144027479</v>
      </c>
      <c r="I8" s="790">
        <f>(I16+I21)/Data!H34</f>
        <v>0.16923637106760012</v>
      </c>
      <c r="J8" s="790">
        <f>(J16+J21)/Data!I34</f>
        <v>0.16426728567590401</v>
      </c>
      <c r="K8" s="790">
        <f>(K16+K21)/Data!J34</f>
        <v>0.15936675787135968</v>
      </c>
    </row>
    <row r="9" spans="1:19">
      <c r="D9" s="793"/>
      <c r="E9" s="793"/>
      <c r="F9" s="793"/>
      <c r="G9" s="793"/>
      <c r="H9" s="793"/>
      <c r="I9" s="793"/>
      <c r="J9" s="793"/>
      <c r="K9" s="793"/>
    </row>
    <row r="10" spans="1:19">
      <c r="B10" s="14" t="s">
        <v>454</v>
      </c>
      <c r="D10" s="793"/>
      <c r="E10" s="793"/>
      <c r="F10" s="793"/>
      <c r="G10" s="793"/>
      <c r="H10" s="793"/>
      <c r="I10" s="793"/>
      <c r="J10" s="793"/>
      <c r="K10" s="793"/>
    </row>
    <row r="11" spans="1:19">
      <c r="B11" s="45" t="s">
        <v>36</v>
      </c>
      <c r="C11" s="159" t="s">
        <v>128</v>
      </c>
      <c r="D11" s="665"/>
      <c r="E11" s="666"/>
      <c r="F11" s="666"/>
      <c r="G11" s="666"/>
      <c r="H11" s="666"/>
      <c r="I11" s="666"/>
      <c r="J11" s="666"/>
      <c r="K11" s="667"/>
    </row>
    <row r="12" spans="1:19">
      <c r="B12" s="45" t="s">
        <v>36</v>
      </c>
      <c r="C12" s="159" t="s">
        <v>128</v>
      </c>
      <c r="D12" s="665"/>
      <c r="E12" s="666"/>
      <c r="F12" s="666"/>
      <c r="G12" s="666"/>
      <c r="H12" s="666"/>
      <c r="I12" s="666"/>
      <c r="J12" s="666"/>
      <c r="K12" s="667"/>
    </row>
    <row r="13" spans="1:19">
      <c r="B13" s="45" t="s">
        <v>20</v>
      </c>
      <c r="C13" s="159" t="s">
        <v>128</v>
      </c>
      <c r="D13" s="665"/>
      <c r="E13" s="666"/>
      <c r="F13" s="666"/>
      <c r="G13" s="666"/>
      <c r="H13" s="666"/>
      <c r="I13" s="666"/>
      <c r="J13" s="666"/>
      <c r="K13" s="667"/>
    </row>
    <row r="14" spans="1:19">
      <c r="B14" s="14" t="s">
        <v>467</v>
      </c>
      <c r="C14" s="159" t="s">
        <v>128</v>
      </c>
      <c r="D14" s="790">
        <f>SUM(D11:D13)</f>
        <v>0</v>
      </c>
      <c r="E14" s="791">
        <f t="shared" ref="E14:K14" si="1">SUM(E11:E13)</f>
        <v>0</v>
      </c>
      <c r="F14" s="791">
        <f t="shared" si="1"/>
        <v>0</v>
      </c>
      <c r="G14" s="791">
        <f t="shared" si="1"/>
        <v>0</v>
      </c>
      <c r="H14" s="791">
        <f t="shared" si="1"/>
        <v>0</v>
      </c>
      <c r="I14" s="791">
        <f t="shared" si="1"/>
        <v>0</v>
      </c>
      <c r="J14" s="791">
        <f t="shared" si="1"/>
        <v>0</v>
      </c>
      <c r="K14" s="792">
        <f t="shared" si="1"/>
        <v>0</v>
      </c>
    </row>
    <row r="15" spans="1:19">
      <c r="B15" s="36" t="s">
        <v>461</v>
      </c>
      <c r="C15" s="159" t="s">
        <v>128</v>
      </c>
      <c r="D15" s="665"/>
      <c r="E15" s="666"/>
      <c r="F15" s="666"/>
      <c r="G15" s="666"/>
      <c r="H15" s="666"/>
      <c r="I15" s="666"/>
      <c r="J15" s="666"/>
      <c r="K15" s="667"/>
    </row>
    <row r="16" spans="1:19">
      <c r="B16" s="52" t="s">
        <v>468</v>
      </c>
      <c r="C16" s="159" t="s">
        <v>128</v>
      </c>
      <c r="D16" s="790">
        <f>D14-D15</f>
        <v>0</v>
      </c>
      <c r="E16" s="790">
        <f t="shared" ref="E16:K16" si="2">E14-E15</f>
        <v>0</v>
      </c>
      <c r="F16" s="790">
        <f t="shared" si="2"/>
        <v>0</v>
      </c>
      <c r="G16" s="790">
        <f t="shared" si="2"/>
        <v>0</v>
      </c>
      <c r="H16" s="790">
        <f t="shared" si="2"/>
        <v>0</v>
      </c>
      <c r="I16" s="790">
        <f t="shared" si="2"/>
        <v>0</v>
      </c>
      <c r="J16" s="790">
        <f t="shared" si="2"/>
        <v>0</v>
      </c>
      <c r="K16" s="790">
        <f t="shared" si="2"/>
        <v>0</v>
      </c>
    </row>
    <row r="18" spans="2:11">
      <c r="B18" s="14" t="s">
        <v>465</v>
      </c>
      <c r="D18" s="793"/>
      <c r="E18" s="793"/>
      <c r="F18" s="793"/>
      <c r="G18" s="793"/>
      <c r="H18" s="793"/>
      <c r="I18" s="793"/>
      <c r="J18" s="793"/>
      <c r="K18" s="793"/>
    </row>
    <row r="19" spans="2:11">
      <c r="B19" s="879" t="s">
        <v>466</v>
      </c>
      <c r="C19" s="159" t="s">
        <v>128</v>
      </c>
      <c r="D19" s="665">
        <v>0.19602900000000001</v>
      </c>
      <c r="E19" s="666">
        <v>0.16226500000000002</v>
      </c>
      <c r="F19" s="666">
        <v>0.17541000000000001</v>
      </c>
      <c r="G19" s="666">
        <v>0.24901500000000004</v>
      </c>
      <c r="H19" s="666">
        <v>0.24901500000000004</v>
      </c>
      <c r="I19" s="666">
        <v>0.24901500000000004</v>
      </c>
      <c r="J19" s="666">
        <v>0.24901500000000004</v>
      </c>
      <c r="K19" s="666">
        <v>0.24901500000000004</v>
      </c>
    </row>
    <row r="20" spans="2:11">
      <c r="B20" s="36" t="s">
        <v>461</v>
      </c>
      <c r="C20" s="159" t="s">
        <v>128</v>
      </c>
      <c r="D20" s="665">
        <v>3.9205800000000006E-2</v>
      </c>
      <c r="E20" s="666">
        <v>3.2453000000000003E-2</v>
      </c>
      <c r="F20" s="666">
        <v>3.5082000000000002E-2</v>
      </c>
      <c r="G20" s="666">
        <v>4.731285000000001E-2</v>
      </c>
      <c r="H20" s="666">
        <v>4.731285000000001E-2</v>
      </c>
      <c r="I20" s="666">
        <v>4.233255000000001E-2</v>
      </c>
      <c r="J20" s="666">
        <v>4.233255000000001E-2</v>
      </c>
      <c r="K20" s="667">
        <v>4.233255000000001E-2</v>
      </c>
    </row>
    <row r="21" spans="2:11">
      <c r="B21" s="52" t="s">
        <v>469</v>
      </c>
      <c r="C21" s="159" t="s">
        <v>128</v>
      </c>
      <c r="D21" s="790">
        <f>D19-D20</f>
        <v>0.1568232</v>
      </c>
      <c r="E21" s="790">
        <f t="shared" ref="E21:K21" si="3">E19-E20</f>
        <v>0.12981200000000001</v>
      </c>
      <c r="F21" s="790">
        <f t="shared" si="3"/>
        <v>0.14032800000000001</v>
      </c>
      <c r="G21" s="790">
        <f t="shared" si="3"/>
        <v>0.20170215000000002</v>
      </c>
      <c r="H21" s="790">
        <f t="shared" si="3"/>
        <v>0.20170215000000002</v>
      </c>
      <c r="I21" s="790">
        <f t="shared" si="3"/>
        <v>0.20668245000000002</v>
      </c>
      <c r="J21" s="790">
        <f t="shared" si="3"/>
        <v>0.20668245000000002</v>
      </c>
      <c r="K21" s="790">
        <f t="shared" si="3"/>
        <v>0.20668245000000002</v>
      </c>
    </row>
  </sheetData>
  <sheetProtection password="DA3D" sheet="1" objects="1" scenarios="1" formatCells="0" formatColumns="0" formatRows="0"/>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5E1FF880-722F-4D7A-B111-60ABF501E3E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'R11 - Dividends'!Print_Area</vt:lpstr>
      <vt:lpstr>'R2 - Revenue'!Print_Area</vt:lpstr>
      <vt:lpstr>'R3 - Rec to totex'!Print_Area</vt:lpstr>
      <vt:lpstr>'R4 - Totex'!Print_Area</vt:lpstr>
      <vt:lpstr>'R5 - Output Incentives'!Print_Area</vt:lpstr>
      <vt:lpstr>'R6 - Innovation'!Print_Area</vt:lpstr>
      <vt:lpstr>'RFPR cover'!Print_Area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2019-07-30T16:45:35Z</dcterms:created>
  <dcterms:modified xsi:type="dcterms:W3CDTF">2019-07-31T11:53:07Z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{1A067545-A4E2-4FA1-8094-0D7902669705}</vt:lpwstr>
  </property>
  <property fmtid="{D5CDD505-2E9C-101B-9397-08002B2CF9AE}" pid="3" name="DLPManualFileClassificationLastModifiedBy">
    <vt:lpwstr>AD03\kathryn.atack</vt:lpwstr>
  </property>
  <property fmtid="{D5CDD505-2E9C-101B-9397-08002B2CF9AE}" pid="4" name="DLPManualFileClassificationLastModificationDate">
    <vt:lpwstr>1564505162</vt:lpwstr>
  </property>
  <property fmtid="{D5CDD505-2E9C-101B-9397-08002B2CF9AE}" pid="5" name="DLPManualFileClassificationVersion">
    <vt:lpwstr>11.0.400.15</vt:lpwstr>
  </property>
</Properties>
</file>