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workbookProtection lockStructure="1"/>
  <bookViews>
    <workbookView xWindow="-15" yWindow="5940" windowWidth="20730" windowHeight="6000" tabRatio="870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MEAV!$B$2:$B$147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8" l="1"/>
  <c r="H13" i="33" l="1"/>
  <c r="G122" i="41" l="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G116" i="21" s="1"/>
  <c r="A2" i="21"/>
  <c r="A1" i="21"/>
  <c r="G131" i="15"/>
  <c r="G129" i="15"/>
  <c r="G128" i="15"/>
  <c r="G127" i="15"/>
  <c r="G126" i="15"/>
  <c r="G125" i="15"/>
  <c r="G122" i="15"/>
  <c r="G114" i="15"/>
  <c r="E114" i="15"/>
  <c r="G110" i="15"/>
  <c r="F110" i="15"/>
  <c r="G109" i="15"/>
  <c r="F109" i="15"/>
  <c r="G108" i="15"/>
  <c r="F108" i="15"/>
  <c r="G107" i="15"/>
  <c r="F107" i="15"/>
  <c r="G106" i="15"/>
  <c r="F106" i="15"/>
  <c r="E105" i="15"/>
  <c r="G86" i="15"/>
  <c r="G84" i="15"/>
  <c r="G83" i="15"/>
  <c r="G82" i="15"/>
  <c r="G81" i="15"/>
  <c r="G58" i="15"/>
  <c r="G56" i="15"/>
  <c r="G103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55" i="38" l="1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H11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H114" i="15"/>
  <c r="Y22" i="21"/>
  <c r="Y34" i="21" s="1"/>
  <c r="Y49" i="21" s="1"/>
  <c r="AA20" i="21"/>
  <c r="AA32" i="21" s="1"/>
  <c r="AA47" i="21" s="1"/>
  <c r="AA60" i="21"/>
  <c r="AV21" i="15"/>
  <c r="BQ20" i="15"/>
  <c r="H109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H108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H107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H106" i="15"/>
  <c r="AO118" i="21" l="1"/>
  <c r="BF24" i="15"/>
  <c r="AV24" i="15"/>
  <c r="CL24" i="15"/>
  <c r="Q24" i="15"/>
  <c r="BD24" i="15"/>
  <c r="Y24" i="15"/>
  <c r="H112" i="15"/>
  <c r="H116" i="15" s="1"/>
  <c r="H118" i="15" s="1"/>
  <c r="H49" i="20" s="1"/>
  <c r="N56" i="20" s="1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N55" i="20" l="1"/>
  <c r="N58" i="20" s="1"/>
  <c r="H59" i="20" s="1"/>
  <c r="H60" i="20" s="1"/>
  <c r="K40" i="20"/>
  <c r="H29" i="22"/>
  <c r="H27" i="22"/>
  <c r="M115" i="22"/>
  <c r="M118" i="22" s="1"/>
  <c r="M120" i="22" s="1"/>
  <c r="N115" i="22"/>
  <c r="N114" i="22"/>
  <c r="H53" i="15"/>
  <c r="H126" i="15" s="1"/>
  <c r="H52" i="15"/>
  <c r="H83" i="15"/>
  <c r="H56" i="15"/>
  <c r="H103" i="15" s="1"/>
  <c r="H122" i="15" s="1"/>
  <c r="H129" i="15" s="1"/>
  <c r="H82" i="15"/>
  <c r="H54" i="15"/>
  <c r="H127" i="15" s="1"/>
  <c r="H55" i="15"/>
  <c r="H128" i="15" s="1"/>
  <c r="H25" i="15"/>
  <c r="H81" i="15"/>
  <c r="H84" i="15"/>
  <c r="H119" i="21"/>
  <c r="J40" i="20"/>
  <c r="H41" i="20" l="1"/>
  <c r="H42" i="20" s="1"/>
  <c r="M44" i="20" s="1"/>
  <c r="M35" i="22" s="1"/>
  <c r="H86" i="15"/>
  <c r="H87" i="15" s="1"/>
  <c r="H58" i="15"/>
  <c r="H125" i="15"/>
  <c r="H131" i="15" s="1"/>
  <c r="H132" i="15" s="1"/>
  <c r="H59" i="15"/>
  <c r="N118" i="22"/>
  <c r="N120" i="22" s="1"/>
  <c r="M62" i="20"/>
  <c r="M45" i="22" s="1"/>
  <c r="N62" i="20"/>
  <c r="N45" i="22" s="1"/>
  <c r="L62" i="20"/>
  <c r="L45" i="22" s="1"/>
  <c r="J62" i="20"/>
  <c r="K62" i="20"/>
  <c r="K45" i="22" s="1"/>
  <c r="K44" i="20" l="1"/>
  <c r="K35" i="22" s="1"/>
  <c r="J44" i="20"/>
  <c r="N44" i="20"/>
  <c r="N35" i="22" s="1"/>
  <c r="L44" i="20"/>
  <c r="L35" i="22" s="1"/>
  <c r="H138" i="15"/>
  <c r="H84" i="21" s="1"/>
  <c r="H137" i="15"/>
  <c r="H83" i="21" s="1"/>
  <c r="H135" i="15"/>
  <c r="H139" i="15"/>
  <c r="H85" i="21" s="1"/>
  <c r="H136" i="15"/>
  <c r="H82" i="21" s="1"/>
  <c r="H91" i="15"/>
  <c r="H164" i="22" s="1"/>
  <c r="H90" i="15"/>
  <c r="H93" i="15"/>
  <c r="H166" i="22" s="1"/>
  <c r="H92" i="15"/>
  <c r="H165" i="22" s="1"/>
  <c r="J45" i="22"/>
  <c r="H63" i="20"/>
  <c r="H136" i="22"/>
  <c r="H61" i="15"/>
  <c r="H60" i="15"/>
  <c r="J35" i="22"/>
  <c r="H45" i="20" l="1"/>
  <c r="H67" i="20" s="1"/>
  <c r="H37" i="33" s="1"/>
  <c r="H163" i="22"/>
  <c r="H95" i="15"/>
  <c r="H81" i="21"/>
  <c r="H141" i="15"/>
  <c r="H66" i="15"/>
  <c r="H76" i="21" s="1"/>
  <c r="H67" i="15"/>
  <c r="H77" i="21" s="1"/>
  <c r="H68" i="15"/>
  <c r="H78" i="21" s="1"/>
  <c r="H65" i="15"/>
  <c r="H64" i="15"/>
  <c r="A4" i="20" l="1"/>
  <c r="H74" i="21"/>
  <c r="H70" i="15"/>
  <c r="H73" i="15"/>
  <c r="H75" i="21"/>
  <c r="H74" i="15"/>
  <c r="H76" i="15" l="1"/>
  <c r="H145" i="15" s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H34" i="33"/>
  <c r="A4" i="15"/>
  <c r="U109" i="21" l="1"/>
  <c r="U116" i="21" s="1"/>
  <c r="U98" i="21"/>
  <c r="U137" i="21" s="1"/>
  <c r="U92" i="21"/>
  <c r="U131" i="21" s="1"/>
  <c r="U23" i="38" s="1"/>
  <c r="U101" i="21"/>
  <c r="U140" i="21" s="1"/>
  <c r="U32" i="38" s="1"/>
  <c r="U93" i="21"/>
  <c r="U132" i="21" s="1"/>
  <c r="U24" i="38" s="1"/>
  <c r="U91" i="21"/>
  <c r="U130" i="21" s="1"/>
  <c r="U22" i="38" s="1"/>
  <c r="U97" i="21"/>
  <c r="U100" i="21"/>
  <c r="U139" i="21" s="1"/>
  <c r="U90" i="21"/>
  <c r="U99" i="21"/>
  <c r="U138" i="21" s="1"/>
  <c r="U30" i="38" s="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8" i="21"/>
  <c r="J137" i="21" s="1"/>
  <c r="J93" i="21"/>
  <c r="J132" i="21" s="1"/>
  <c r="J24" i="38" s="1"/>
  <c r="J94" i="21"/>
  <c r="J133" i="21" s="1"/>
  <c r="J101" i="21"/>
  <c r="J140" i="21" s="1"/>
  <c r="J32" i="38" s="1"/>
  <c r="J99" i="21"/>
  <c r="J138" i="21" s="1"/>
  <c r="J30" i="38" s="1"/>
  <c r="J100" i="21"/>
  <c r="J139" i="21" s="1"/>
  <c r="J97" i="2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9" i="21"/>
  <c r="AP138" i="21" s="1"/>
  <c r="AP30" i="38" s="1"/>
  <c r="AP97" i="21"/>
  <c r="AP98" i="21"/>
  <c r="AP137" i="21" s="1"/>
  <c r="AP100" i="21"/>
  <c r="AP139" i="21" s="1"/>
  <c r="AP91" i="21"/>
  <c r="AP130" i="21" s="1"/>
  <c r="AP22" i="38" s="1"/>
  <c r="AP90" i="21"/>
  <c r="AP101" i="21"/>
  <c r="AP140" i="21" s="1"/>
  <c r="AP32" i="38" s="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U136" i="21"/>
  <c r="U23" i="39" s="1"/>
  <c r="U29" i="39" s="1"/>
  <c r="AP129" i="21"/>
  <c r="AP21" i="38" s="1"/>
  <c r="AP136" i="21"/>
  <c r="AP23" i="39" s="1"/>
  <c r="AP29" i="39" s="1"/>
  <c r="J136" i="21"/>
  <c r="J28" i="38" s="1"/>
  <c r="AJ69" i="21"/>
  <c r="AJ109" i="21" s="1"/>
  <c r="AJ116" i="21" s="1"/>
  <c r="P69" i="21"/>
  <c r="P109" i="21" s="1"/>
  <c r="P116" i="21" s="1"/>
  <c r="AP29" i="38"/>
  <c r="AP24" i="39"/>
  <c r="AP30" i="39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J24" i="39"/>
  <c r="J30" i="39" s="1"/>
  <c r="J29" i="38"/>
  <c r="AH69" i="21"/>
  <c r="AH109" i="21" s="1"/>
  <c r="AH116" i="21" s="1"/>
  <c r="N69" i="21"/>
  <c r="N109" i="21" s="1"/>
  <c r="N116" i="21" s="1"/>
  <c r="U22" i="39"/>
  <c r="U28" i="39" s="1"/>
  <c r="U31" i="38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U24" i="39"/>
  <c r="U30" i="39" s="1"/>
  <c r="U29" i="38"/>
  <c r="AF69" i="21"/>
  <c r="AF109" i="21" s="1"/>
  <c r="AF116" i="21" s="1"/>
  <c r="AP31" i="38"/>
  <c r="AP22" i="39"/>
  <c r="AP28" i="39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22" i="39"/>
  <c r="J28" i="39" s="1"/>
  <c r="J31" i="38"/>
  <c r="J129" i="21"/>
  <c r="R69" i="21"/>
  <c r="AG69" i="21"/>
  <c r="AG109" i="21" s="1"/>
  <c r="AG116" i="21" s="1"/>
  <c r="U28" i="38" l="1"/>
  <c r="AP28" i="38"/>
  <c r="J23" i="39"/>
  <c r="J29" i="39" s="1"/>
  <c r="AA91" i="21"/>
  <c r="AA130" i="21" s="1"/>
  <c r="AA22" i="38" s="1"/>
  <c r="AA90" i="21"/>
  <c r="AA93" i="21"/>
  <c r="AA132" i="21" s="1"/>
  <c r="AA24" i="38" s="1"/>
  <c r="AA100" i="21"/>
  <c r="AA139" i="21" s="1"/>
  <c r="AA94" i="21"/>
  <c r="AA133" i="21" s="1"/>
  <c r="AA98" i="21"/>
  <c r="AA137" i="21" s="1"/>
  <c r="AA97" i="21"/>
  <c r="AA99" i="21"/>
  <c r="AA138" i="21" s="1"/>
  <c r="AA30" i="38" s="1"/>
  <c r="AA101" i="21"/>
  <c r="AA140" i="21" s="1"/>
  <c r="AA32" i="38" s="1"/>
  <c r="AA92" i="21"/>
  <c r="AA131" i="21" s="1"/>
  <c r="AA23" i="38" s="1"/>
  <c r="J21" i="38"/>
  <c r="Y91" i="21"/>
  <c r="Y130" i="21" s="1"/>
  <c r="Y22" i="38" s="1"/>
  <c r="Y97" i="21"/>
  <c r="Y136" i="21" s="1"/>
  <c r="Y90" i="21"/>
  <c r="Y129" i="21" s="1"/>
  <c r="Y21" i="38" s="1"/>
  <c r="Y93" i="21"/>
  <c r="Y132" i="21" s="1"/>
  <c r="Y24" i="38" s="1"/>
  <c r="Y98" i="21"/>
  <c r="Y137" i="21" s="1"/>
  <c r="Y92" i="21"/>
  <c r="Y131" i="21" s="1"/>
  <c r="Y23" i="38" s="1"/>
  <c r="Y101" i="21"/>
  <c r="Y140" i="21" s="1"/>
  <c r="Y32" i="38" s="1"/>
  <c r="Y99" i="21"/>
  <c r="Y138" i="21" s="1"/>
  <c r="Y30" i="38" s="1"/>
  <c r="Y100" i="21"/>
  <c r="Y139" i="21" s="1"/>
  <c r="Y94" i="21"/>
  <c r="Y133" i="21" s="1"/>
  <c r="V91" i="21"/>
  <c r="V130" i="21" s="1"/>
  <c r="V22" i="38" s="1"/>
  <c r="V99" i="21"/>
  <c r="V138" i="21" s="1"/>
  <c r="V30" i="38" s="1"/>
  <c r="V101" i="21"/>
  <c r="V140" i="21" s="1"/>
  <c r="V32" i="38" s="1"/>
  <c r="V93" i="21"/>
  <c r="V132" i="21" s="1"/>
  <c r="V24" i="38" s="1"/>
  <c r="V92" i="21"/>
  <c r="V131" i="21" s="1"/>
  <c r="V23" i="38" s="1"/>
  <c r="V98" i="21"/>
  <c r="V137" i="21" s="1"/>
  <c r="V90" i="21"/>
  <c r="V129" i="21" s="1"/>
  <c r="V21" i="38" s="1"/>
  <c r="V97" i="21"/>
  <c r="V136" i="21" s="1"/>
  <c r="V94" i="21"/>
  <c r="V133" i="21" s="1"/>
  <c r="V100" i="21"/>
  <c r="V139" i="21" s="1"/>
  <c r="AI100" i="21"/>
  <c r="AI139" i="21" s="1"/>
  <c r="AI93" i="21"/>
  <c r="AI132" i="21" s="1"/>
  <c r="AI24" i="38" s="1"/>
  <c r="AI98" i="21"/>
  <c r="AI137" i="21" s="1"/>
  <c r="AI97" i="21"/>
  <c r="AI136" i="21" s="1"/>
  <c r="AI99" i="21"/>
  <c r="AI138" i="21" s="1"/>
  <c r="AI30" i="38" s="1"/>
  <c r="AI91" i="21"/>
  <c r="AI130" i="21" s="1"/>
  <c r="AI22" i="38" s="1"/>
  <c r="AI92" i="21"/>
  <c r="AI131" i="21" s="1"/>
  <c r="AI23" i="38" s="1"/>
  <c r="AI90" i="21"/>
  <c r="AI129" i="21" s="1"/>
  <c r="AI21" i="38" s="1"/>
  <c r="AI101" i="21"/>
  <c r="AI140" i="21" s="1"/>
  <c r="AI32" i="38" s="1"/>
  <c r="AI94" i="21"/>
  <c r="AI133" i="21" s="1"/>
  <c r="L97" i="21"/>
  <c r="L136" i="21" s="1"/>
  <c r="L94" i="21"/>
  <c r="L133" i="21" s="1"/>
  <c r="L93" i="21"/>
  <c r="L132" i="21" s="1"/>
  <c r="L24" i="38" s="1"/>
  <c r="L101" i="21"/>
  <c r="L140" i="21" s="1"/>
  <c r="L32" i="38" s="1"/>
  <c r="L91" i="21"/>
  <c r="L130" i="21" s="1"/>
  <c r="L22" i="38" s="1"/>
  <c r="L98" i="21"/>
  <c r="L137" i="21" s="1"/>
  <c r="L90" i="21"/>
  <c r="L129" i="21" s="1"/>
  <c r="L21" i="38" s="1"/>
  <c r="L99" i="21"/>
  <c r="L138" i="21" s="1"/>
  <c r="L30" i="38" s="1"/>
  <c r="L92" i="21"/>
  <c r="L131" i="21" s="1"/>
  <c r="L23" i="38" s="1"/>
  <c r="L100" i="21"/>
  <c r="L139" i="21" s="1"/>
  <c r="AQ91" i="21"/>
  <c r="AQ130" i="21" s="1"/>
  <c r="AQ22" i="38" s="1"/>
  <c r="AQ97" i="21"/>
  <c r="AQ136" i="21" s="1"/>
  <c r="AQ98" i="21"/>
  <c r="AQ137" i="21" s="1"/>
  <c r="AQ100" i="21"/>
  <c r="AQ139" i="21" s="1"/>
  <c r="AQ90" i="21"/>
  <c r="AQ129" i="21" s="1"/>
  <c r="AQ21" i="38" s="1"/>
  <c r="AQ99" i="21"/>
  <c r="AQ138" i="21" s="1"/>
  <c r="AQ30" i="38" s="1"/>
  <c r="AQ93" i="21"/>
  <c r="AQ132" i="21" s="1"/>
  <c r="AQ24" i="38" s="1"/>
  <c r="AQ101" i="21"/>
  <c r="AQ140" i="21" s="1"/>
  <c r="AQ32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7" i="21"/>
  <c r="Q136" i="21" s="1"/>
  <c r="Q100" i="21"/>
  <c r="Q139" i="21" s="1"/>
  <c r="Q98" i="21"/>
  <c r="Q137" i="21" s="1"/>
  <c r="Q99" i="21"/>
  <c r="Q138" i="21" s="1"/>
  <c r="Q30" i="38" s="1"/>
  <c r="Q101" i="21"/>
  <c r="Q140" i="21" s="1"/>
  <c r="Q32" i="38" s="1"/>
  <c r="Q94" i="21"/>
  <c r="Q133" i="21" s="1"/>
  <c r="Q90" i="21"/>
  <c r="Q129" i="21" s="1"/>
  <c r="Q21" i="38" s="1"/>
  <c r="AH99" i="21"/>
  <c r="AH138" i="21" s="1"/>
  <c r="AH30" i="38" s="1"/>
  <c r="AH91" i="21"/>
  <c r="AH130" i="21" s="1"/>
  <c r="AH22" i="38" s="1"/>
  <c r="AH92" i="21"/>
  <c r="AH131" i="21" s="1"/>
  <c r="AH23" i="38" s="1"/>
  <c r="AH98" i="21"/>
  <c r="AH137" i="21" s="1"/>
  <c r="AH93" i="21"/>
  <c r="AH132" i="21" s="1"/>
  <c r="AH24" i="38" s="1"/>
  <c r="AH90" i="21"/>
  <c r="AH129" i="21" s="1"/>
  <c r="AH21" i="38" s="1"/>
  <c r="AH94" i="21"/>
  <c r="AH133" i="21" s="1"/>
  <c r="AH97" i="21"/>
  <c r="AH136" i="21" s="1"/>
  <c r="AH100" i="21"/>
  <c r="AH139" i="21" s="1"/>
  <c r="AH101" i="21"/>
  <c r="AH140" i="21" s="1"/>
  <c r="AH32" i="38" s="1"/>
  <c r="R94" i="21"/>
  <c r="R133" i="21" s="1"/>
  <c r="R98" i="21"/>
  <c r="R137" i="21" s="1"/>
  <c r="R100" i="21"/>
  <c r="R139" i="21" s="1"/>
  <c r="R91" i="21"/>
  <c r="R130" i="21" s="1"/>
  <c r="R22" i="38" s="1"/>
  <c r="R93" i="21"/>
  <c r="R132" i="21" s="1"/>
  <c r="R24" i="38" s="1"/>
  <c r="R90" i="21"/>
  <c r="R101" i="21"/>
  <c r="R140" i="21" s="1"/>
  <c r="R32" i="38" s="1"/>
  <c r="R99" i="21"/>
  <c r="R138" i="21" s="1"/>
  <c r="R30" i="38" s="1"/>
  <c r="R97" i="21"/>
  <c r="R92" i="21"/>
  <c r="R131" i="21" s="1"/>
  <c r="R23" i="38" s="1"/>
  <c r="AL101" i="21"/>
  <c r="AL140" i="21" s="1"/>
  <c r="AL32" i="38" s="1"/>
  <c r="AL99" i="21"/>
  <c r="AL138" i="21" s="1"/>
  <c r="AL30" i="38" s="1"/>
  <c r="AL90" i="21"/>
  <c r="AL100" i="21"/>
  <c r="AL139" i="21" s="1"/>
  <c r="AL98" i="21"/>
  <c r="AL137" i="21" s="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L97" i="21"/>
  <c r="AG94" i="21"/>
  <c r="AG133" i="21" s="1"/>
  <c r="AG97" i="21"/>
  <c r="AG136" i="21" s="1"/>
  <c r="AG90" i="21"/>
  <c r="AG129" i="21" s="1"/>
  <c r="AG21" i="38" s="1"/>
  <c r="AG91" i="21"/>
  <c r="AG130" i="21" s="1"/>
  <c r="AG22" i="38" s="1"/>
  <c r="AG92" i="21"/>
  <c r="AG131" i="21" s="1"/>
  <c r="AG23" i="38" s="1"/>
  <c r="AG101" i="21"/>
  <c r="AG140" i="21" s="1"/>
  <c r="AG32" i="38" s="1"/>
  <c r="AG93" i="21"/>
  <c r="AG132" i="21" s="1"/>
  <c r="AG24" i="38" s="1"/>
  <c r="AG100" i="21"/>
  <c r="AG139" i="21" s="1"/>
  <c r="AG98" i="21"/>
  <c r="AG137" i="21" s="1"/>
  <c r="AG99" i="21"/>
  <c r="AG138" i="21" s="1"/>
  <c r="AG30" i="38" s="1"/>
  <c r="M101" i="21"/>
  <c r="M140" i="21" s="1"/>
  <c r="M32" i="38" s="1"/>
  <c r="M94" i="21"/>
  <c r="M133" i="21" s="1"/>
  <c r="M91" i="21"/>
  <c r="M130" i="21" s="1"/>
  <c r="M22" i="38" s="1"/>
  <c r="M99" i="21"/>
  <c r="M138" i="21" s="1"/>
  <c r="M30" i="38" s="1"/>
  <c r="M93" i="21"/>
  <c r="M132" i="21" s="1"/>
  <c r="M24" i="38" s="1"/>
  <c r="M100" i="21"/>
  <c r="M139" i="21" s="1"/>
  <c r="M97" i="21"/>
  <c r="M136" i="21" s="1"/>
  <c r="M92" i="21"/>
  <c r="M131" i="21" s="1"/>
  <c r="M23" i="38" s="1"/>
  <c r="M98" i="21"/>
  <c r="M137" i="21" s="1"/>
  <c r="M90" i="21"/>
  <c r="M129" i="21" s="1"/>
  <c r="M21" i="38" s="1"/>
  <c r="O92" i="21"/>
  <c r="O131" i="21" s="1"/>
  <c r="O23" i="38" s="1"/>
  <c r="O98" i="21"/>
  <c r="O137" i="21" s="1"/>
  <c r="O99" i="21"/>
  <c r="O138" i="21" s="1"/>
  <c r="O30" i="38" s="1"/>
  <c r="O101" i="21"/>
  <c r="O140" i="21" s="1"/>
  <c r="O32" i="38" s="1"/>
  <c r="O94" i="21"/>
  <c r="O133" i="21" s="1"/>
  <c r="O97" i="21"/>
  <c r="O136" i="21" s="1"/>
  <c r="O93" i="21"/>
  <c r="O132" i="21" s="1"/>
  <c r="O24" i="38" s="1"/>
  <c r="O100" i="21"/>
  <c r="O139" i="21" s="1"/>
  <c r="O90" i="21"/>
  <c r="O129" i="21" s="1"/>
  <c r="O21" i="38" s="1"/>
  <c r="O91" i="21"/>
  <c r="O130" i="21" s="1"/>
  <c r="O22" i="38" s="1"/>
  <c r="AO101" i="21"/>
  <c r="AO140" i="21" s="1"/>
  <c r="AO32" i="38" s="1"/>
  <c r="AO90" i="21"/>
  <c r="AO129" i="21" s="1"/>
  <c r="AO21" i="38" s="1"/>
  <c r="AO91" i="21"/>
  <c r="AO130" i="21" s="1"/>
  <c r="AO22" i="38" s="1"/>
  <c r="AO97" i="21"/>
  <c r="AO136" i="21" s="1"/>
  <c r="AO92" i="21"/>
  <c r="AO131" i="21" s="1"/>
  <c r="AO23" i="38" s="1"/>
  <c r="AO99" i="21"/>
  <c r="AO138" i="21" s="1"/>
  <c r="AO30" i="38" s="1"/>
  <c r="AO98" i="21"/>
  <c r="AO137" i="21" s="1"/>
  <c r="AO100" i="21"/>
  <c r="AO139" i="21" s="1"/>
  <c r="AO93" i="21"/>
  <c r="AO132" i="21" s="1"/>
  <c r="AO24" i="38" s="1"/>
  <c r="AO94" i="21"/>
  <c r="AO133" i="21" s="1"/>
  <c r="AD99" i="21"/>
  <c r="AD138" i="21" s="1"/>
  <c r="AD30" i="38" s="1"/>
  <c r="AD92" i="21"/>
  <c r="AD131" i="21" s="1"/>
  <c r="AD23" i="38" s="1"/>
  <c r="AD91" i="21"/>
  <c r="AD130" i="21" s="1"/>
  <c r="AD22" i="38" s="1"/>
  <c r="AD98" i="21"/>
  <c r="AD137" i="21" s="1"/>
  <c r="AD94" i="21"/>
  <c r="AD133" i="21" s="1"/>
  <c r="AD101" i="21"/>
  <c r="AD140" i="21" s="1"/>
  <c r="AD32" i="38" s="1"/>
  <c r="AD90" i="21"/>
  <c r="AD129" i="21" s="1"/>
  <c r="AD21" i="38" s="1"/>
  <c r="AD100" i="21"/>
  <c r="AD139" i="21" s="1"/>
  <c r="AD97" i="21"/>
  <c r="AD136" i="21" s="1"/>
  <c r="AD93" i="21"/>
  <c r="AD132" i="21" s="1"/>
  <c r="AD24" i="38" s="1"/>
  <c r="AK93" i="21"/>
  <c r="AK132" i="21" s="1"/>
  <c r="AK24" i="38" s="1"/>
  <c r="AK97" i="21"/>
  <c r="AK136" i="21" s="1"/>
  <c r="AK90" i="21"/>
  <c r="AK129" i="21" s="1"/>
  <c r="AK21" i="38" s="1"/>
  <c r="AK101" i="21"/>
  <c r="AK140" i="21" s="1"/>
  <c r="AK32" i="38" s="1"/>
  <c r="AK94" i="21"/>
  <c r="AK133" i="21" s="1"/>
  <c r="AK98" i="21"/>
  <c r="AK137" i="21" s="1"/>
  <c r="AK100" i="21"/>
  <c r="AK139" i="21" s="1"/>
  <c r="AK99" i="21"/>
  <c r="AK138" i="21" s="1"/>
  <c r="AK30" i="38" s="1"/>
  <c r="AK92" i="21"/>
  <c r="AK131" i="21" s="1"/>
  <c r="AK23" i="38" s="1"/>
  <c r="AK91" i="21"/>
  <c r="AK130" i="21" s="1"/>
  <c r="AK22" i="38" s="1"/>
  <c r="P100" i="21"/>
  <c r="P139" i="21" s="1"/>
  <c r="P99" i="21"/>
  <c r="P138" i="21" s="1"/>
  <c r="P30" i="38" s="1"/>
  <c r="P101" i="21"/>
  <c r="P140" i="21" s="1"/>
  <c r="P32" i="38" s="1"/>
  <c r="P94" i="21"/>
  <c r="P133" i="21" s="1"/>
  <c r="P97" i="21"/>
  <c r="P136" i="21" s="1"/>
  <c r="P92" i="21"/>
  <c r="P131" i="21" s="1"/>
  <c r="P23" i="38" s="1"/>
  <c r="P98" i="21"/>
  <c r="P137" i="21" s="1"/>
  <c r="P90" i="21"/>
  <c r="P129" i="21" s="1"/>
  <c r="P21" i="38" s="1"/>
  <c r="P91" i="21"/>
  <c r="P130" i="21" s="1"/>
  <c r="P22" i="38" s="1"/>
  <c r="P93" i="21"/>
  <c r="P132" i="21" s="1"/>
  <c r="P24" i="38" s="1"/>
  <c r="Z100" i="21"/>
  <c r="Z139" i="21" s="1"/>
  <c r="Z91" i="21"/>
  <c r="Z130" i="21" s="1"/>
  <c r="Z22" i="38" s="1"/>
  <c r="Z90" i="21"/>
  <c r="Z129" i="21" s="1"/>
  <c r="Z21" i="38" s="1"/>
  <c r="Z99" i="21"/>
  <c r="Z138" i="21" s="1"/>
  <c r="Z30" i="38" s="1"/>
  <c r="Z98" i="21"/>
  <c r="Z137" i="21" s="1"/>
  <c r="Z92" i="21"/>
  <c r="Z131" i="21" s="1"/>
  <c r="Z23" i="38" s="1"/>
  <c r="Z97" i="21"/>
  <c r="Z136" i="21" s="1"/>
  <c r="Z101" i="21"/>
  <c r="Z140" i="21" s="1"/>
  <c r="Z32" i="38" s="1"/>
  <c r="Z94" i="21"/>
  <c r="Z133" i="21" s="1"/>
  <c r="Z93" i="21"/>
  <c r="Z132" i="21" s="1"/>
  <c r="Z24" i="38" s="1"/>
  <c r="AM99" i="21"/>
  <c r="AM138" i="21" s="1"/>
  <c r="AM30" i="38" s="1"/>
  <c r="AM100" i="21"/>
  <c r="AM139" i="21" s="1"/>
  <c r="AM93" i="21"/>
  <c r="AM132" i="21" s="1"/>
  <c r="AM24" i="38" s="1"/>
  <c r="AM91" i="21"/>
  <c r="AM130" i="21" s="1"/>
  <c r="AM22" i="38" s="1"/>
  <c r="AM97" i="21"/>
  <c r="AM136" i="21" s="1"/>
  <c r="AM94" i="21"/>
  <c r="AM133" i="21" s="1"/>
  <c r="AM98" i="21"/>
  <c r="AM137" i="21" s="1"/>
  <c r="AM101" i="21"/>
  <c r="AM140" i="21" s="1"/>
  <c r="AM32" i="38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100" i="21"/>
  <c r="K139" i="21" s="1"/>
  <c r="K101" i="21"/>
  <c r="K140" i="21" s="1"/>
  <c r="K32" i="38" s="1"/>
  <c r="K94" i="21"/>
  <c r="K133" i="21" s="1"/>
  <c r="K92" i="21"/>
  <c r="K131" i="21" s="1"/>
  <c r="K23" i="38" s="1"/>
  <c r="K98" i="21"/>
  <c r="K137" i="21" s="1"/>
  <c r="K93" i="21"/>
  <c r="K132" i="21" s="1"/>
  <c r="K24" i="38" s="1"/>
  <c r="K91" i="21"/>
  <c r="K130" i="21" s="1"/>
  <c r="K22" i="38" s="1"/>
  <c r="K99" i="21"/>
  <c r="K138" i="21" s="1"/>
  <c r="K30" i="38" s="1"/>
  <c r="K97" i="21"/>
  <c r="K136" i="21" s="1"/>
  <c r="K90" i="21"/>
  <c r="K129" i="21" s="1"/>
  <c r="K21" i="38" s="1"/>
  <c r="AE90" i="21"/>
  <c r="AE129" i="21" s="1"/>
  <c r="AE21" i="38" s="1"/>
  <c r="AE99" i="21"/>
  <c r="AE138" i="21" s="1"/>
  <c r="AE30" i="38" s="1"/>
  <c r="AE101" i="21"/>
  <c r="AE140" i="21" s="1"/>
  <c r="AE32" i="38" s="1"/>
  <c r="AE94" i="21"/>
  <c r="AE133" i="21" s="1"/>
  <c r="AE92" i="21"/>
  <c r="AE131" i="21" s="1"/>
  <c r="AE23" i="38" s="1"/>
  <c r="AE100" i="21"/>
  <c r="AE139" i="21" s="1"/>
  <c r="AE93" i="21"/>
  <c r="AE132" i="21" s="1"/>
  <c r="AE24" i="38" s="1"/>
  <c r="AE97" i="21"/>
  <c r="AE136" i="21" s="1"/>
  <c r="AE98" i="21"/>
  <c r="AE137" i="21" s="1"/>
  <c r="AE91" i="21"/>
  <c r="AE130" i="21" s="1"/>
  <c r="AE22" i="38" s="1"/>
  <c r="AC97" i="21"/>
  <c r="AC136" i="21" s="1"/>
  <c r="AC90" i="21"/>
  <c r="AC129" i="21" s="1"/>
  <c r="AC21" i="38" s="1"/>
  <c r="AC100" i="21"/>
  <c r="AC139" i="21" s="1"/>
  <c r="AC98" i="21"/>
  <c r="AC137" i="21" s="1"/>
  <c r="AC91" i="21"/>
  <c r="AC130" i="21" s="1"/>
  <c r="AC22" i="38" s="1"/>
  <c r="AC94" i="21"/>
  <c r="AC133" i="21" s="1"/>
  <c r="AC93" i="21"/>
  <c r="AC132" i="21" s="1"/>
  <c r="AC24" i="38" s="1"/>
  <c r="AC101" i="21"/>
  <c r="AC140" i="21" s="1"/>
  <c r="AC32" i="38" s="1"/>
  <c r="AC92" i="21"/>
  <c r="AC131" i="21" s="1"/>
  <c r="AC23" i="38" s="1"/>
  <c r="AC99" i="21"/>
  <c r="AC138" i="21" s="1"/>
  <c r="AC30" i="38" s="1"/>
  <c r="AN91" i="21"/>
  <c r="AN130" i="21" s="1"/>
  <c r="AN22" i="38" s="1"/>
  <c r="AN90" i="21"/>
  <c r="AN129" i="21" s="1"/>
  <c r="AN21" i="38" s="1"/>
  <c r="AN92" i="21"/>
  <c r="AN131" i="21" s="1"/>
  <c r="AN23" i="38" s="1"/>
  <c r="AN101" i="21"/>
  <c r="AN140" i="21" s="1"/>
  <c r="AN32" i="38" s="1"/>
  <c r="AN99" i="21"/>
  <c r="AN138" i="21" s="1"/>
  <c r="AN30" i="38" s="1"/>
  <c r="AN93" i="21"/>
  <c r="AN132" i="21" s="1"/>
  <c r="AN24" i="38" s="1"/>
  <c r="AN97" i="21"/>
  <c r="AN136" i="21" s="1"/>
  <c r="AN100" i="21"/>
  <c r="AN139" i="21" s="1"/>
  <c r="AN98" i="21"/>
  <c r="AN137" i="21" s="1"/>
  <c r="AN94" i="21"/>
  <c r="AN133" i="21" s="1"/>
  <c r="X101" i="21"/>
  <c r="X140" i="21" s="1"/>
  <c r="X32" i="38" s="1"/>
  <c r="X91" i="21"/>
  <c r="X130" i="21" s="1"/>
  <c r="X22" i="38" s="1"/>
  <c r="X99" i="21"/>
  <c r="X138" i="21" s="1"/>
  <c r="X30" i="38" s="1"/>
  <c r="X94" i="21"/>
  <c r="X133" i="21" s="1"/>
  <c r="X90" i="21"/>
  <c r="X129" i="21" s="1"/>
  <c r="X21" i="38" s="1"/>
  <c r="X93" i="21"/>
  <c r="X132" i="21" s="1"/>
  <c r="X24" i="38" s="1"/>
  <c r="X100" i="21"/>
  <c r="X139" i="21" s="1"/>
  <c r="X97" i="21"/>
  <c r="X136" i="21" s="1"/>
  <c r="X92" i="21"/>
  <c r="X131" i="21" s="1"/>
  <c r="X23" i="38" s="1"/>
  <c r="X98" i="21"/>
  <c r="X137" i="21" s="1"/>
  <c r="N93" i="21"/>
  <c r="N132" i="21" s="1"/>
  <c r="N24" i="38" s="1"/>
  <c r="N91" i="21"/>
  <c r="N130" i="21" s="1"/>
  <c r="N22" i="38" s="1"/>
  <c r="N98" i="21"/>
  <c r="N137" i="21" s="1"/>
  <c r="N97" i="21"/>
  <c r="N136" i="21" s="1"/>
  <c r="N99" i="21"/>
  <c r="N138" i="21" s="1"/>
  <c r="N30" i="38" s="1"/>
  <c r="N92" i="21"/>
  <c r="N131" i="21" s="1"/>
  <c r="N23" i="38" s="1"/>
  <c r="N100" i="21"/>
  <c r="N139" i="21" s="1"/>
  <c r="N101" i="21"/>
  <c r="N140" i="21" s="1"/>
  <c r="N32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100" i="21"/>
  <c r="S139" i="21" s="1"/>
  <c r="S99" i="21"/>
  <c r="S138" i="21" s="1"/>
  <c r="S30" i="38" s="1"/>
  <c r="S97" i="21"/>
  <c r="S136" i="21" s="1"/>
  <c r="S94" i="21"/>
  <c r="S133" i="21" s="1"/>
  <c r="S90" i="21"/>
  <c r="S129" i="21" s="1"/>
  <c r="S21" i="38" s="1"/>
  <c r="S101" i="21"/>
  <c r="S140" i="21" s="1"/>
  <c r="S32" i="38" s="1"/>
  <c r="S91" i="21"/>
  <c r="S130" i="21" s="1"/>
  <c r="S22" i="38" s="1"/>
  <c r="S98" i="21"/>
  <c r="S137" i="21" s="1"/>
  <c r="S93" i="21"/>
  <c r="S132" i="21" s="1"/>
  <c r="S24" i="38" s="1"/>
  <c r="W101" i="21"/>
  <c r="W140" i="21" s="1"/>
  <c r="W32" i="38" s="1"/>
  <c r="W93" i="21"/>
  <c r="W132" i="21" s="1"/>
  <c r="W24" i="38" s="1"/>
  <c r="W97" i="21"/>
  <c r="W136" i="21" s="1"/>
  <c r="W100" i="21"/>
  <c r="W139" i="21" s="1"/>
  <c r="W91" i="21"/>
  <c r="W130" i="21" s="1"/>
  <c r="W22" i="38" s="1"/>
  <c r="W99" i="21"/>
  <c r="W138" i="21" s="1"/>
  <c r="W30" i="38" s="1"/>
  <c r="W90" i="21"/>
  <c r="W129" i="21" s="1"/>
  <c r="W21" i="38" s="1"/>
  <c r="W92" i="21"/>
  <c r="W131" i="21" s="1"/>
  <c r="W23" i="38" s="1"/>
  <c r="W94" i="21"/>
  <c r="W133" i="21" s="1"/>
  <c r="W98" i="21"/>
  <c r="W137" i="21" s="1"/>
  <c r="AF97" i="21"/>
  <c r="AF136" i="21" s="1"/>
  <c r="AF94" i="21"/>
  <c r="AF133" i="21" s="1"/>
  <c r="AF101" i="21"/>
  <c r="AF140" i="21" s="1"/>
  <c r="AF32" i="38" s="1"/>
  <c r="AF100" i="21"/>
  <c r="AF139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AF99" i="21"/>
  <c r="AF138" i="21" s="1"/>
  <c r="AF30" i="38" s="1"/>
  <c r="AF98" i="21"/>
  <c r="AF137" i="21" s="1"/>
  <c r="T99" i="21"/>
  <c r="T138" i="21" s="1"/>
  <c r="T30" i="38" s="1"/>
  <c r="T100" i="21"/>
  <c r="T139" i="21" s="1"/>
  <c r="T94" i="21"/>
  <c r="T133" i="21" s="1"/>
  <c r="T101" i="21"/>
  <c r="T140" i="21" s="1"/>
  <c r="T32" i="38" s="1"/>
  <c r="T90" i="21"/>
  <c r="T129" i="21" s="1"/>
  <c r="T21" i="38" s="1"/>
  <c r="T98" i="21"/>
  <c r="T137" i="21" s="1"/>
  <c r="T92" i="21"/>
  <c r="T131" i="21" s="1"/>
  <c r="T23" i="38" s="1"/>
  <c r="T93" i="21"/>
  <c r="T132" i="21" s="1"/>
  <c r="T24" i="38" s="1"/>
  <c r="T97" i="21"/>
  <c r="T136" i="21" s="1"/>
  <c r="T91" i="21"/>
  <c r="T130" i="21" s="1"/>
  <c r="T22" i="38" s="1"/>
  <c r="AB100" i="21"/>
  <c r="AB139" i="21" s="1"/>
  <c r="AB101" i="21"/>
  <c r="AB140" i="21" s="1"/>
  <c r="AB32" i="38" s="1"/>
  <c r="AB98" i="21"/>
  <c r="AB137" i="21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B99" i="21"/>
  <c r="AB138" i="21" s="1"/>
  <c r="AB30" i="38" s="1"/>
  <c r="AB97" i="21"/>
  <c r="AB136" i="21" s="1"/>
  <c r="AJ100" i="21"/>
  <c r="AJ139" i="21" s="1"/>
  <c r="AJ99" i="21"/>
  <c r="AJ138" i="21" s="1"/>
  <c r="AJ30" i="38" s="1"/>
  <c r="AJ101" i="21"/>
  <c r="AJ140" i="21" s="1"/>
  <c r="AJ32" i="38" s="1"/>
  <c r="AJ92" i="21"/>
  <c r="AJ131" i="21" s="1"/>
  <c r="AJ23" i="38" s="1"/>
  <c r="AJ97" i="21"/>
  <c r="AJ136" i="21" s="1"/>
  <c r="AJ94" i="21"/>
  <c r="AJ133" i="21" s="1"/>
  <c r="AJ98" i="21"/>
  <c r="AJ137" i="21" s="1"/>
  <c r="AJ93" i="21"/>
  <c r="AJ132" i="21" s="1"/>
  <c r="AJ24" i="38" s="1"/>
  <c r="AJ90" i="21"/>
  <c r="AJ129" i="21" s="1"/>
  <c r="AJ21" i="38" s="1"/>
  <c r="AJ91" i="21"/>
  <c r="AJ130" i="21" s="1"/>
  <c r="AJ22" i="38" s="1"/>
  <c r="AB28" i="38" l="1"/>
  <c r="AB23" i="39"/>
  <c r="AB29" i="39" s="1"/>
  <c r="T24" i="39"/>
  <c r="T30" i="39" s="1"/>
  <c r="T29" i="38"/>
  <c r="W24" i="39"/>
  <c r="W30" i="39" s="1"/>
  <c r="W29" i="38"/>
  <c r="S23" i="39"/>
  <c r="S29" i="39" s="1"/>
  <c r="S28" i="38"/>
  <c r="AN23" i="39"/>
  <c r="AN29" i="39" s="1"/>
  <c r="AN28" i="38"/>
  <c r="AC28" i="38"/>
  <c r="AC23" i="39"/>
  <c r="AC29" i="39" s="1"/>
  <c r="K23" i="39"/>
  <c r="K29" i="39" s="1"/>
  <c r="K28" i="38"/>
  <c r="K29" i="38"/>
  <c r="K24" i="39"/>
  <c r="K30" i="39" s="1"/>
  <c r="K22" i="39"/>
  <c r="K28" i="39" s="1"/>
  <c r="K31" i="38"/>
  <c r="AM24" i="39"/>
  <c r="AM30" i="39" s="1"/>
  <c r="AM29" i="38"/>
  <c r="Z21" i="39"/>
  <c r="Z27" i="39" s="1"/>
  <c r="Z25" i="38"/>
  <c r="Z29" i="38"/>
  <c r="Z24" i="39"/>
  <c r="Z30" i="39" s="1"/>
  <c r="Z22" i="39"/>
  <c r="Z28" i="39" s="1"/>
  <c r="Z31" i="38"/>
  <c r="P24" i="39"/>
  <c r="P30" i="39" s="1"/>
  <c r="P29" i="38"/>
  <c r="AK25" i="38"/>
  <c r="AK21" i="39"/>
  <c r="AK27" i="39" s="1"/>
  <c r="O31" i="38"/>
  <c r="O22" i="39"/>
  <c r="O28" i="39" s="1"/>
  <c r="M22" i="39"/>
  <c r="M28" i="39" s="1"/>
  <c r="M31" i="38"/>
  <c r="M21" i="39"/>
  <c r="M27" i="39" s="1"/>
  <c r="M25" i="38"/>
  <c r="AG22" i="39"/>
  <c r="AG28" i="39" s="1"/>
  <c r="AG31" i="38"/>
  <c r="AL136" i="21"/>
  <c r="Q28" i="38"/>
  <c r="Q23" i="39"/>
  <c r="Q29" i="39" s="1"/>
  <c r="AQ28" i="38"/>
  <c r="AQ23" i="39"/>
  <c r="AQ29" i="39" s="1"/>
  <c r="AI21" i="39"/>
  <c r="AI27" i="39" s="1"/>
  <c r="AI25" i="38"/>
  <c r="V23" i="39"/>
  <c r="V29" i="39" s="1"/>
  <c r="V28" i="38"/>
  <c r="Y25" i="38"/>
  <c r="Y21" i="39"/>
  <c r="Y27" i="39" s="1"/>
  <c r="Y23" i="39"/>
  <c r="Y29" i="39" s="1"/>
  <c r="Y28" i="38"/>
  <c r="AA22" i="39"/>
  <c r="AA28" i="39" s="1"/>
  <c r="AA31" i="38"/>
  <c r="T31" i="38"/>
  <c r="T22" i="39"/>
  <c r="T28" i="39" s="1"/>
  <c r="N29" i="38"/>
  <c r="N24" i="39"/>
  <c r="N30" i="39" s="1"/>
  <c r="T28" i="38"/>
  <c r="T23" i="39"/>
  <c r="T29" i="39" s="1"/>
  <c r="X23" i="39"/>
  <c r="X29" i="39" s="1"/>
  <c r="X28" i="38"/>
  <c r="AN25" i="38"/>
  <c r="AN21" i="39"/>
  <c r="AN27" i="39" s="1"/>
  <c r="H45" i="38"/>
  <c r="AM22" i="39"/>
  <c r="AM28" i="39" s="1"/>
  <c r="AM31" i="38"/>
  <c r="AO22" i="39"/>
  <c r="AO28" i="39" s="1"/>
  <c r="AO31" i="38"/>
  <c r="AO28" i="38"/>
  <c r="AO23" i="39"/>
  <c r="AO29" i="39" s="1"/>
  <c r="M29" i="38"/>
  <c r="M24" i="39"/>
  <c r="M30" i="39" s="1"/>
  <c r="AL24" i="39"/>
  <c r="AL30" i="39" s="1"/>
  <c r="AL29" i="38"/>
  <c r="R22" i="39"/>
  <c r="R28" i="39" s="1"/>
  <c r="R31" i="38"/>
  <c r="AH31" i="38"/>
  <c r="AH22" i="39"/>
  <c r="AH28" i="39" s="1"/>
  <c r="AQ21" i="39"/>
  <c r="AQ27" i="39" s="1"/>
  <c r="AQ25" i="38"/>
  <c r="AI22" i="39"/>
  <c r="AI28" i="39" s="1"/>
  <c r="AI31" i="38"/>
  <c r="Y31" i="38"/>
  <c r="Y22" i="39"/>
  <c r="Y28" i="39" s="1"/>
  <c r="Y24" i="39"/>
  <c r="Y30" i="39" s="1"/>
  <c r="Y29" i="38"/>
  <c r="AA136" i="21"/>
  <c r="AF31" i="38"/>
  <c r="AF22" i="39"/>
  <c r="AF28" i="39" s="1"/>
  <c r="N31" i="38"/>
  <c r="N22" i="39"/>
  <c r="N28" i="39" s="1"/>
  <c r="AB22" i="39"/>
  <c r="AB28" i="39" s="1"/>
  <c r="AB31" i="38"/>
  <c r="X21" i="39"/>
  <c r="X27" i="39" s="1"/>
  <c r="X25" i="38"/>
  <c r="AC24" i="39"/>
  <c r="AC30" i="39" s="1"/>
  <c r="AC29" i="38"/>
  <c r="AE31" i="38"/>
  <c r="AE22" i="39"/>
  <c r="AE28" i="39" s="1"/>
  <c r="AM21" i="39"/>
  <c r="AM27" i="39" s="1"/>
  <c r="AM25" i="38"/>
  <c r="AF29" i="38"/>
  <c r="AF24" i="39"/>
  <c r="AF30" i="39" s="1"/>
  <c r="AF25" i="38"/>
  <c r="AF21" i="39"/>
  <c r="AF27" i="39" s="1"/>
  <c r="W22" i="39"/>
  <c r="W28" i="39" s="1"/>
  <c r="W31" i="38"/>
  <c r="S22" i="39"/>
  <c r="S28" i="39" s="1"/>
  <c r="S31" i="38"/>
  <c r="N25" i="38"/>
  <c r="N21" i="39"/>
  <c r="N27" i="39" s="1"/>
  <c r="X22" i="39"/>
  <c r="X28" i="39" s="1"/>
  <c r="X31" i="38"/>
  <c r="AN24" i="39"/>
  <c r="AN30" i="39" s="1"/>
  <c r="AN29" i="38"/>
  <c r="AC31" i="38"/>
  <c r="AC22" i="39"/>
  <c r="AC28" i="39" s="1"/>
  <c r="AE29" i="38"/>
  <c r="AE24" i="39"/>
  <c r="AE30" i="39" s="1"/>
  <c r="H44" i="38"/>
  <c r="K25" i="38"/>
  <c r="K21" i="39"/>
  <c r="K27" i="39" s="1"/>
  <c r="AM23" i="39"/>
  <c r="AM29" i="39" s="1"/>
  <c r="AM28" i="38"/>
  <c r="Z23" i="39"/>
  <c r="Z29" i="39" s="1"/>
  <c r="Z28" i="38"/>
  <c r="P28" i="38"/>
  <c r="P23" i="39"/>
  <c r="P29" i="39" s="1"/>
  <c r="P31" i="38"/>
  <c r="P22" i="39"/>
  <c r="P28" i="39" s="1"/>
  <c r="AK22" i="39"/>
  <c r="AK28" i="39" s="1"/>
  <c r="AK31" i="38"/>
  <c r="AD23" i="39"/>
  <c r="AD29" i="39" s="1"/>
  <c r="AD28" i="38"/>
  <c r="AD25" i="38"/>
  <c r="AD21" i="39"/>
  <c r="AD27" i="39" s="1"/>
  <c r="AO29" i="38"/>
  <c r="AO24" i="39"/>
  <c r="AO30" i="39" s="1"/>
  <c r="O23" i="39"/>
  <c r="O29" i="39" s="1"/>
  <c r="O28" i="38"/>
  <c r="O29" i="38"/>
  <c r="O24" i="39"/>
  <c r="O30" i="39" s="1"/>
  <c r="AG23" i="39"/>
  <c r="AG29" i="39" s="1"/>
  <c r="AG28" i="38"/>
  <c r="AL22" i="39"/>
  <c r="AL28" i="39" s="1"/>
  <c r="AL31" i="38"/>
  <c r="R129" i="21"/>
  <c r="R21" i="38" s="1"/>
  <c r="R29" i="38"/>
  <c r="R24" i="39"/>
  <c r="R30" i="39" s="1"/>
  <c r="AH28" i="38"/>
  <c r="AH23" i="39"/>
  <c r="AH29" i="39" s="1"/>
  <c r="AH29" i="38"/>
  <c r="AH24" i="39"/>
  <c r="AH30" i="39" s="1"/>
  <c r="Q29" i="38"/>
  <c r="Q24" i="39"/>
  <c r="Q30" i="39" s="1"/>
  <c r="AQ31" i="38"/>
  <c r="AQ22" i="39"/>
  <c r="AQ28" i="39" s="1"/>
  <c r="L22" i="39"/>
  <c r="L28" i="39" s="1"/>
  <c r="L31" i="38"/>
  <c r="L24" i="39"/>
  <c r="L30" i="39" s="1"/>
  <c r="L29" i="38"/>
  <c r="L21" i="39"/>
  <c r="L27" i="39" s="1"/>
  <c r="L25" i="38"/>
  <c r="AI28" i="38"/>
  <c r="AI23" i="39"/>
  <c r="AI29" i="39" s="1"/>
  <c r="V31" i="38"/>
  <c r="V22" i="39"/>
  <c r="V28" i="39" s="1"/>
  <c r="V29" i="38"/>
  <c r="V24" i="39"/>
  <c r="V30" i="39" s="1"/>
  <c r="AA29" i="38"/>
  <c r="AA24" i="39"/>
  <c r="AA30" i="39" s="1"/>
  <c r="AA129" i="21"/>
  <c r="AA21" i="38" s="1"/>
  <c r="AJ24" i="39"/>
  <c r="AJ30" i="39" s="1"/>
  <c r="AJ29" i="38"/>
  <c r="W25" i="38"/>
  <c r="W21" i="39"/>
  <c r="W27" i="39" s="1"/>
  <c r="H55" i="38"/>
  <c r="AJ25" i="38"/>
  <c r="AJ21" i="39"/>
  <c r="AJ27" i="39" s="1"/>
  <c r="AJ23" i="39"/>
  <c r="AJ29" i="39" s="1"/>
  <c r="AJ28" i="38"/>
  <c r="AJ31" i="38"/>
  <c r="AJ22" i="39"/>
  <c r="AJ28" i="39" s="1"/>
  <c r="AB21" i="39"/>
  <c r="AB27" i="39" s="1"/>
  <c r="AB25" i="38"/>
  <c r="AB29" i="38"/>
  <c r="AB24" i="39"/>
  <c r="AB30" i="39" s="1"/>
  <c r="T21" i="39"/>
  <c r="T27" i="39" s="1"/>
  <c r="T25" i="38"/>
  <c r="AF23" i="39"/>
  <c r="AF29" i="39" s="1"/>
  <c r="AF28" i="38"/>
  <c r="W28" i="38"/>
  <c r="W23" i="39"/>
  <c r="W29" i="39" s="1"/>
  <c r="S24" i="39"/>
  <c r="S30" i="39" s="1"/>
  <c r="S29" i="38"/>
  <c r="S25" i="38"/>
  <c r="S21" i="39"/>
  <c r="S27" i="39" s="1"/>
  <c r="N23" i="39"/>
  <c r="N29" i="39" s="1"/>
  <c r="N28" i="38"/>
  <c r="X29" i="38"/>
  <c r="X24" i="39"/>
  <c r="X30" i="39" s="1"/>
  <c r="AN31" i="38"/>
  <c r="AN22" i="39"/>
  <c r="AN28" i="39" s="1"/>
  <c r="AC25" i="38"/>
  <c r="AC21" i="39"/>
  <c r="AC27" i="39" s="1"/>
  <c r="AE23" i="39"/>
  <c r="AE29" i="39" s="1"/>
  <c r="AE28" i="38"/>
  <c r="AE21" i="39"/>
  <c r="AE27" i="39" s="1"/>
  <c r="AE25" i="38"/>
  <c r="H46" i="38"/>
  <c r="H57" i="38"/>
  <c r="P21" i="39"/>
  <c r="P27" i="39" s="1"/>
  <c r="P25" i="38"/>
  <c r="AK29" i="38"/>
  <c r="AK24" i="39"/>
  <c r="AK30" i="39" s="1"/>
  <c r="AK28" i="38"/>
  <c r="AK23" i="39"/>
  <c r="AK29" i="39" s="1"/>
  <c r="AD22" i="39"/>
  <c r="AD28" i="39" s="1"/>
  <c r="AD31" i="38"/>
  <c r="AD29" i="38"/>
  <c r="AD24" i="39"/>
  <c r="AD30" i="39" s="1"/>
  <c r="AO21" i="39"/>
  <c r="AO27" i="39" s="1"/>
  <c r="AO25" i="38"/>
  <c r="O21" i="39"/>
  <c r="O27" i="39" s="1"/>
  <c r="O25" i="38"/>
  <c r="M28" i="38"/>
  <c r="M23" i="39"/>
  <c r="M29" i="39" s="1"/>
  <c r="AG29" i="38"/>
  <c r="AG24" i="39"/>
  <c r="AG30" i="39" s="1"/>
  <c r="AG21" i="39"/>
  <c r="AG27" i="39" s="1"/>
  <c r="AG25" i="38"/>
  <c r="AL25" i="38"/>
  <c r="AL21" i="39"/>
  <c r="AL27" i="39" s="1"/>
  <c r="AL129" i="21"/>
  <c r="AL21" i="38" s="1"/>
  <c r="R136" i="21"/>
  <c r="R21" i="39"/>
  <c r="R27" i="39" s="1"/>
  <c r="R25" i="38"/>
  <c r="AH25" i="38"/>
  <c r="AH21" i="39"/>
  <c r="AH27" i="39" s="1"/>
  <c r="Q21" i="39"/>
  <c r="Q27" i="39" s="1"/>
  <c r="Q25" i="38"/>
  <c r="Q31" i="38"/>
  <c r="Q22" i="39"/>
  <c r="Q28" i="39" s="1"/>
  <c r="AQ24" i="39"/>
  <c r="AQ30" i="39" s="1"/>
  <c r="AQ29" i="38"/>
  <c r="L28" i="38"/>
  <c r="L23" i="39"/>
  <c r="L29" i="39" s="1"/>
  <c r="AI24" i="39"/>
  <c r="AI30" i="39" s="1"/>
  <c r="AI29" i="38"/>
  <c r="V21" i="39"/>
  <c r="V27" i="39" s="1"/>
  <c r="V25" i="38"/>
  <c r="AA25" i="38"/>
  <c r="AA21" i="39"/>
  <c r="AA27" i="39" s="1"/>
  <c r="H43" i="38" l="1"/>
  <c r="H43" i="39"/>
  <c r="H49" i="39" s="1"/>
  <c r="H35" i="39"/>
  <c r="H46" i="39"/>
  <c r="H38" i="39"/>
  <c r="H47" i="38"/>
  <c r="AL28" i="38"/>
  <c r="AL23" i="39"/>
  <c r="AL29" i="39" s="1"/>
  <c r="H54" i="38"/>
  <c r="H143" i="21"/>
  <c r="H56" i="38"/>
  <c r="H142" i="21"/>
  <c r="R28" i="38"/>
  <c r="R23" i="39"/>
  <c r="R29" i="39" s="1"/>
  <c r="AA28" i="38"/>
  <c r="AA23" i="39"/>
  <c r="AA29" i="39" s="1"/>
  <c r="H36" i="39"/>
  <c r="H44" i="39"/>
  <c r="H50" i="39" s="1"/>
  <c r="H56" i="39" l="1"/>
  <c r="H70" i="36" s="1"/>
  <c r="H49" i="38"/>
  <c r="H50" i="38" s="1"/>
  <c r="H45" i="39"/>
  <c r="H51" i="39" s="1"/>
  <c r="H37" i="39"/>
  <c r="H53" i="38"/>
  <c r="H59" i="38" s="1"/>
  <c r="H60" i="38" s="1"/>
  <c r="H77" i="38" s="1"/>
  <c r="K43" i="22" s="1"/>
  <c r="H57" i="39"/>
  <c r="H30" i="24" s="1"/>
  <c r="H147" i="21"/>
  <c r="H58" i="39" l="1"/>
  <c r="H31" i="24" s="1"/>
  <c r="H53" i="39"/>
  <c r="H62" i="39" s="1"/>
  <c r="H39" i="33" s="1"/>
  <c r="H78" i="38"/>
  <c r="L43" i="22" s="1"/>
  <c r="L47" i="22" s="1"/>
  <c r="L70" i="22" s="1"/>
  <c r="H80" i="38"/>
  <c r="N43" i="22" s="1"/>
  <c r="N47" i="22" s="1"/>
  <c r="N70" i="22" s="1"/>
  <c r="H76" i="38"/>
  <c r="J43" i="22" s="1"/>
  <c r="H62" i="38"/>
  <c r="H79" i="38"/>
  <c r="M43" i="22" s="1"/>
  <c r="M78" i="22" s="1"/>
  <c r="H35" i="33"/>
  <c r="A4" i="21"/>
  <c r="K78" i="22"/>
  <c r="K47" i="22"/>
  <c r="K70" i="22" s="1"/>
  <c r="H68" i="38"/>
  <c r="K33" i="22" s="1"/>
  <c r="H69" i="38"/>
  <c r="L33" i="22" s="1"/>
  <c r="H71" i="38"/>
  <c r="N33" i="22" s="1"/>
  <c r="H70" i="38"/>
  <c r="M33" i="22" s="1"/>
  <c r="H67" i="38"/>
  <c r="A4" i="39" l="1"/>
  <c r="M47" i="22"/>
  <c r="M70" i="22" s="1"/>
  <c r="M84" i="22" s="1"/>
  <c r="M130" i="22" s="1"/>
  <c r="L78" i="22"/>
  <c r="L84" i="22" s="1"/>
  <c r="L130" i="22" s="1"/>
  <c r="N78" i="22"/>
  <c r="N84" i="22" s="1"/>
  <c r="N130" i="22" s="1"/>
  <c r="H82" i="38"/>
  <c r="K77" i="22"/>
  <c r="K37" i="22"/>
  <c r="K69" i="22" s="1"/>
  <c r="M77" i="22"/>
  <c r="M37" i="22"/>
  <c r="M69" i="22" s="1"/>
  <c r="N77" i="22"/>
  <c r="N37" i="22"/>
  <c r="N69" i="22" s="1"/>
  <c r="J33" i="22"/>
  <c r="H73" i="38"/>
  <c r="J78" i="22"/>
  <c r="J47" i="22"/>
  <c r="L77" i="22"/>
  <c r="L37" i="22"/>
  <c r="L69" i="22" s="1"/>
  <c r="K84" i="22"/>
  <c r="K130" i="22" s="1"/>
  <c r="H86" i="38" l="1"/>
  <c r="H36" i="33" s="1"/>
  <c r="M83" i="22"/>
  <c r="M129" i="22" s="1"/>
  <c r="N83" i="22"/>
  <c r="N129" i="22" s="1"/>
  <c r="K83" i="22"/>
  <c r="K129" i="22" s="1"/>
  <c r="J77" i="22"/>
  <c r="J37" i="22"/>
  <c r="H49" i="22"/>
  <c r="J70" i="22"/>
  <c r="J84" i="22" s="1"/>
  <c r="J130" i="22" s="1"/>
  <c r="L83" i="22"/>
  <c r="L129" i="22" s="1"/>
  <c r="A4" i="38" l="1"/>
  <c r="H39" i="22"/>
  <c r="J69" i="22"/>
  <c r="J83" i="22" s="1"/>
  <c r="J129" i="22" s="1"/>
  <c r="H134" i="22"/>
  <c r="H133" i="22" l="1"/>
  <c r="J145" i="22" s="1"/>
  <c r="L146" i="22"/>
  <c r="H20" i="24" s="1"/>
  <c r="H140" i="22"/>
  <c r="H150" i="22" s="1"/>
  <c r="N146" i="22"/>
  <c r="M146" i="22"/>
  <c r="H21" i="24" s="1"/>
  <c r="K146" i="22"/>
  <c r="H19" i="24" s="1"/>
  <c r="J146" i="22"/>
  <c r="H18" i="24" s="1"/>
  <c r="H154" i="22" l="1"/>
  <c r="H39" i="24"/>
  <c r="H23" i="23" s="1"/>
  <c r="H23" i="24"/>
  <c r="H43" i="24" s="1"/>
  <c r="H37" i="24"/>
  <c r="H21" i="23" s="1"/>
  <c r="H36" i="24"/>
  <c r="H20" i="23" s="1"/>
  <c r="H38" i="24"/>
  <c r="H22" i="23" s="1"/>
  <c r="K145" i="22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88" i="22" s="1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41" i="33"/>
  <c r="A4" i="24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A4" i="22"/>
  <c r="H38" i="33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H42" i="33" s="1"/>
  <c r="A4" i="33" s="1"/>
  <c r="A4" i="36"/>
</calcChain>
</file>

<file path=xl/sharedStrings.xml><?xml version="1.0" encoding="utf-8"?>
<sst xmlns="http://schemas.openxmlformats.org/spreadsheetml/2006/main" count="2904" uniqueCount="762">
  <si>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</si>
  <si>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</si>
  <si>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</si>
  <si>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</si>
  <si>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</si>
  <si>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</si>
  <si>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</si>
  <si>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</si>
  <si>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</si>
  <si>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</si>
  <si>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</si>
  <si>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</si>
  <si>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</si>
  <si>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</si>
  <si>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</si>
  <si>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</si>
  <si>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</si>
  <si>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</si>
  <si>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</si>
  <si>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</si>
  <si>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</si>
  <si>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</si>
  <si>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</si>
  <si>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</si>
  <si>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</si>
  <si>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</si>
  <si>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</si>
  <si>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</si>
  <si>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</si>
  <si>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</si>
  <si>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</si>
  <si>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</si>
  <si>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</si>
  <si>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</si>
  <si>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</si>
  <si>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</si>
  <si>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</si>
  <si>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</si>
  <si>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</si>
  <si>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</si>
  <si>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</si>
  <si>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</si>
  <si>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</si>
  <si>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</si>
  <si>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</si>
  <si>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</si>
  <si>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</si>
  <si>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</si>
  <si>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</si>
  <si>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</si>
  <si>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</si>
  <si>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</si>
  <si>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</si>
  <si>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</si>
  <si>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</si>
  <si>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</si>
  <si>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</si>
  <si>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</si>
  <si>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</si>
  <si>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</si>
  <si>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</si>
  <si>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</si>
  <si>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</si>
  <si>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</si>
  <si>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</si>
  <si>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</si>
  <si>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</si>
  <si>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</si>
  <si>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</si>
  <si>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</si>
  <si>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</si>
  <si>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</si>
  <si>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</si>
  <si>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</si>
  <si>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</si>
  <si>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</si>
  <si>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</si>
  <si>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</si>
  <si>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</si>
  <si>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</si>
  <si>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</si>
  <si>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</si>
  <si>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</si>
  <si>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</si>
  <si>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</si>
  <si>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</si>
  <si>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</si>
  <si>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</si>
  <si>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</si>
  <si>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</si>
  <si>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</si>
  <si>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</si>
  <si>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</si>
  <si>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</si>
  <si>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</si>
  <si>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</si>
  <si>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</si>
  <si>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</si>
  <si>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</si>
  <si>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</si>
  <si>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</si>
  <si>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</si>
  <si>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</si>
  <si>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</si>
  <si>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</si>
  <si>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</si>
  <si>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</si>
  <si>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</si>
  <si>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</si>
  <si>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</si>
  <si>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</si>
  <si>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</si>
  <si>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</si>
  <si>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</si>
  <si>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</si>
  <si>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</si>
  <si>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</si>
  <si>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</si>
  <si>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</si>
  <si>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</si>
  <si>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</si>
  <si>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</si>
  <si>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</si>
  <si>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</si>
  <si>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</si>
  <si>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</si>
  <si>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</si>
  <si>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</si>
  <si>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</si>
  <si>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</si>
  <si>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</si>
  <si>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</si>
  <si>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</si>
  <si>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</si>
  <si>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</si>
  <si>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</si>
  <si>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</si>
  <si>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</si>
  <si>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</si>
  <si>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</si>
  <si>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</si>
  <si>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</si>
  <si>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</si>
  <si>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</si>
  <si>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</si>
  <si>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</si>
  <si>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</si>
  <si>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</si>
  <si>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</si>
  <si>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</si>
  <si>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</si>
  <si>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</si>
  <si>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</si>
  <si>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</si>
  <si>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</si>
  <si>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</si>
  <si>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</si>
  <si>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</si>
  <si>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</si>
  <si>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</si>
  <si>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</si>
  <si>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</si>
  <si>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</si>
  <si>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</si>
  <si>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</si>
  <si>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</si>
  <si>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</si>
  <si>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</si>
  <si>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</si>
  <si>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</si>
  <si>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</si>
  <si>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</si>
  <si>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</si>
  <si>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</si>
  <si>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</si>
  <si>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</si>
  <si>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</si>
  <si>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</si>
  <si>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</si>
  <si>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</si>
  <si>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</si>
  <si>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</si>
  <si>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</si>
  <si>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</si>
  <si>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</si>
  <si>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</si>
  <si>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</si>
  <si>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</si>
  <si>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</si>
  <si>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</si>
  <si>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</si>
  <si>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</si>
  <si>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</si>
  <si>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</si>
  <si>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</si>
  <si>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</si>
  <si>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</si>
  <si>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</si>
  <si>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</si>
  <si>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</si>
  <si>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</si>
  <si>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</si>
  <si>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</si>
  <si>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</si>
  <si>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</si>
  <si>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</si>
  <si>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</si>
  <si>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</si>
  <si>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</si>
  <si>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</si>
  <si>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</si>
  <si>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</si>
  <si>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</si>
  <si>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</si>
  <si>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</si>
  <si>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</si>
  <si>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</si>
  <si>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</si>
  <si>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</si>
  <si>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</si>
  <si>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</si>
  <si>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</si>
  <si>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</si>
  <si>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</si>
  <si>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</si>
  <si>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</si>
  <si>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</si>
  <si>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</si>
  <si>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</si>
  <si>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</si>
  <si>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</si>
  <si>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</si>
  <si>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</si>
  <si>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</si>
  <si>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</si>
  <si>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</si>
  <si>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</si>
  <si>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</si>
  <si>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</si>
  <si>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</si>
  <si>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</si>
  <si>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</si>
  <si>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</si>
  <si>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</si>
  <si>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</si>
  <si>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</si>
  <si>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</si>
  <si>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</si>
  <si>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</si>
  <si>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</si>
  <si>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</si>
  <si>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</si>
  <si>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</si>
  <si>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</si>
  <si>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</si>
  <si>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</si>
  <si>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</si>
  <si>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</si>
  <si>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</si>
  <si>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</si>
  <si>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</si>
  <si>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</si>
  <si>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</si>
  <si>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</si>
  <si>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</si>
  <si>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</si>
  <si>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</si>
  <si>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</si>
  <si>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</si>
  <si>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</si>
  <si>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</si>
  <si>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</si>
  <si>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</si>
  <si>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</si>
  <si>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</si>
  <si>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</si>
  <si>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</si>
  <si>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</si>
  <si>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</si>
  <si>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</si>
  <si>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</si>
  <si>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</si>
  <si>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</si>
  <si>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</si>
  <si>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</si>
  <si>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</si>
  <si>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</si>
  <si>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</si>
  <si>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</si>
  <si>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</si>
  <si>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</si>
  <si>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</si>
  <si>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</si>
  <si>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</si>
  <si>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</si>
  <si>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</si>
  <si>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</si>
  <si>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</si>
  <si>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</si>
  <si>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</si>
  <si>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</si>
  <si>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</si>
  <si>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</si>
  <si>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</si>
  <si>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</si>
  <si>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</si>
  <si>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</si>
  <si>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</si>
  <si>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</si>
  <si>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</si>
  <si>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</si>
  <si>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</si>
  <si>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</si>
  <si>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</si>
  <si>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</si>
  <si>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</si>
  <si>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</si>
  <si>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</si>
  <si>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</si>
  <si>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</si>
  <si>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</si>
  <si>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</si>
  <si>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</si>
  <si>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</si>
  <si>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</si>
  <si>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</si>
  <si>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</si>
  <si>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</si>
  <si>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</si>
  <si>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</si>
  <si>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</si>
  <si>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</si>
  <si>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</si>
  <si>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</si>
  <si>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</si>
  <si>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</si>
  <si>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</si>
  <si>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</si>
  <si>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</si>
  <si>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</si>
  <si>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</si>
  <si>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</si>
  <si>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</si>
  <si>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</si>
  <si>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</si>
  <si>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</si>
  <si>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</si>
  <si>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</si>
  <si>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</si>
  <si>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</si>
  <si>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</si>
  <si>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</si>
  <si>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</si>
  <si>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</si>
  <si>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</si>
  <si>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</si>
  <si>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</si>
  <si>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</si>
  <si>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</si>
  <si>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</si>
  <si>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</si>
  <si>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</si>
  <si>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</si>
  <si>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</si>
  <si>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</si>
  <si>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</si>
  <si>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</si>
  <si>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</si>
  <si>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</si>
  <si>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</si>
  <si>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</si>
  <si>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</si>
  <si>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</si>
  <si>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</si>
  <si>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</si>
  <si>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</si>
  <si>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</si>
  <si>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</si>
  <si>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</si>
  <si>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</si>
  <si>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</si>
  <si>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</si>
  <si>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</si>
  <si>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</si>
  <si>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</si>
  <si>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</si>
  <si>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</si>
  <si>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</si>
  <si>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</si>
  <si>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</si>
  <si>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</si>
  <si>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</si>
  <si>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</si>
  <si>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</si>
  <si>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</si>
  <si>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</si>
  <si>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</si>
  <si>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</si>
  <si>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</si>
  <si>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</si>
  <si>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</si>
  <si>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</si>
  <si>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</si>
  <si>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</si>
  <si>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</si>
  <si>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</si>
  <si>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</si>
  <si>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Expensed and capitalised proportions and used to allocated components of allowed revenue to network levels.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</si>
  <si>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</si>
  <si>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</si>
  <si>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</si>
  <si>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</si>
  <si>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</si>
  <si>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</si>
  <si>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</si>
  <si>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</si>
  <si>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</si>
  <si>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</si>
  <si>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</si>
  <si>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</si>
  <si>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</si>
  <si>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</si>
  <si>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</si>
  <si>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</si>
  <si>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</si>
  <si>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</si>
  <si>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</si>
  <si>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</si>
  <si>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</si>
  <si>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</si>
  <si>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</si>
  <si>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</si>
  <si>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</si>
  <si>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</si>
  <si>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</si>
  <si>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</si>
  <si>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</si>
  <si>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</si>
  <si>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</si>
  <si>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</si>
  <si>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</si>
  <si>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</si>
  <si>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</si>
  <si>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</si>
  <si>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</si>
  <si>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</si>
  <si>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</si>
  <si>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</si>
  <si>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</si>
  <si>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</si>
  <si>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</si>
  <si>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</si>
  <si>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</si>
  <si>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</si>
  <si>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</si>
  <si>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</si>
  <si>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</si>
  <si>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</si>
  <si>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</si>
  <si>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</si>
  <si>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</si>
  <si>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</si>
  <si>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</si>
  <si>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</si>
  <si>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</si>
  <si>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</si>
  <si>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</si>
  <si>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</si>
  <si>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</si>
  <si>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</si>
  <si>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</si>
  <si>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</si>
  <si>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</si>
  <si>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</si>
  <si>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</si>
  <si>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</si>
  <si>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</si>
  <si>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</si>
  <si>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</si>
  <si>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</si>
  <si>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</si>
  <si>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</si>
  <si>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</si>
  <si>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</si>
  <si>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</si>
  <si>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</si>
  <si>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</si>
  <si>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</si>
  <si>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</si>
  <si>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</si>
  <si>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</si>
  <si>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</si>
  <si>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</si>
  <si>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</si>
  <si>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</si>
  <si>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</si>
  <si>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</si>
  <si>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</si>
  <si>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</si>
  <si>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</si>
  <si>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</si>
  <si>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</si>
  <si>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</si>
  <si>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</si>
  <si>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</si>
  <si>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</si>
  <si>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</si>
  <si>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</si>
  <si>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</si>
  <si>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</si>
  <si>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</si>
  <si>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</si>
  <si>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</si>
  <si>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</si>
  <si>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</si>
  <si>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</si>
  <si>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</si>
  <si>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</si>
  <si>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</si>
  <si>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</si>
  <si>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</si>
  <si>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</si>
  <si>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</si>
  <si>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</si>
  <si>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</si>
  <si>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</si>
  <si>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</si>
  <si>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</si>
  <si>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</si>
  <si>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</si>
  <si>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</si>
  <si>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</si>
  <si>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</si>
  <si>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</si>
  <si>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</si>
  <si>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</si>
  <si>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</si>
  <si>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</si>
  <si>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</si>
  <si>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</si>
  <si>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</si>
  <si>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</si>
  <si>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</si>
  <si>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</si>
  <si>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</si>
  <si>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</si>
  <si>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</si>
  <si>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</si>
  <si>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</si>
  <si>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</si>
  <si>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</si>
  <si>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</si>
  <si>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</si>
  <si>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</si>
  <si>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</si>
  <si>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</si>
  <si>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</si>
  <si>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</si>
  <si>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</si>
  <si>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</si>
  <si>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</si>
  <si>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</si>
  <si>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</si>
  <si>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</si>
  <si>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</si>
  <si>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</si>
  <si>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</si>
  <si>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</si>
  <si>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</si>
  <si>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</si>
  <si>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</si>
  <si>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</si>
  <si>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</si>
  <si>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</si>
  <si>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</si>
  <si>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</si>
  <si>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</si>
  <si>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</si>
  <si>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</si>
  <si>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</si>
  <si>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</si>
  <si>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</si>
  <si>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</si>
  <si>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</si>
  <si>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</si>
  <si>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</si>
  <si>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</si>
  <si>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</si>
  <si>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</si>
  <si>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</si>
  <si>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</si>
  <si>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</si>
  <si>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</si>
  <si>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</si>
  <si>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</si>
  <si>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</si>
  <si>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</si>
  <si>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</si>
  <si>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</si>
  <si>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</si>
  <si>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</si>
  <si>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</si>
  <si>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</si>
  <si>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</si>
  <si>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</si>
  <si>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</si>
  <si>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</si>
  <si>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</si>
  <si>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</si>
  <si>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</si>
  <si>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</si>
  <si>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</si>
  <si>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</si>
  <si>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</si>
  <si>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</si>
  <si>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</si>
  <si>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</si>
  <si>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</si>
  <si>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</si>
  <si>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</si>
  <si>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</si>
  <si>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</si>
  <si>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</si>
  <si>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</si>
  <si>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</si>
  <si>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</si>
  <si>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</si>
  <si>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</si>
  <si>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</si>
  <si>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</si>
  <si>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</si>
  <si>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</si>
  <si>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</si>
  <si>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</si>
  <si>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</si>
  <si>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</si>
  <si>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</si>
  <si>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</si>
  <si>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</si>
  <si>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</si>
  <si>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</si>
  <si>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</si>
  <si>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</si>
  <si>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</si>
  <si>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</si>
  <si>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</si>
  <si>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</si>
  <si>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</si>
  <si>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</si>
  <si>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</si>
  <si>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</si>
  <si>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</si>
  <si>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</si>
  <si>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</si>
  <si>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</si>
  <si>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</si>
  <si>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</si>
  <si>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</si>
  <si>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</si>
  <si>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</si>
  <si>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</si>
  <si>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</si>
  <si>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</si>
  <si>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</si>
  <si>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</si>
  <si>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</si>
  <si>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</si>
  <si>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</si>
  <si>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</si>
  <si>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</si>
  <si>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</si>
  <si>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</si>
  <si>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</si>
  <si>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</si>
  <si>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</si>
  <si>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</si>
  <si>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</si>
  <si>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</si>
  <si>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</si>
  <si>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</si>
  <si>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</si>
  <si>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</si>
  <si>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</si>
  <si>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</si>
  <si>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</si>
  <si>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</si>
  <si>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</si>
  <si>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</si>
  <si>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</si>
  <si>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</si>
  <si>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</si>
  <si>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</si>
  <si>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</si>
  <si>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</si>
  <si>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</si>
  <si>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</si>
  <si>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</si>
  <si>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</si>
  <si>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</si>
  <si>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</si>
  <si>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</si>
  <si>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</si>
  <si>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</si>
  <si>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</si>
  <si>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</si>
  <si>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</si>
  <si>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</si>
  <si>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</si>
  <si>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</si>
  <si>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</si>
  <si>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</si>
  <si>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</si>
  <si>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</si>
  <si>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</si>
  <si>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</si>
  <si>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</si>
  <si>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</si>
  <si>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</si>
  <si>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</si>
  <si>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</si>
  <si>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</si>
  <si>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</si>
  <si>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</si>
  <si>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</si>
  <si>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</si>
  <si>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</si>
  <si>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</si>
  <si>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</si>
  <si>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</si>
  <si>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</si>
  <si>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</si>
  <si>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</si>
  <si>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</si>
  <si>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</si>
  <si>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</si>
  <si>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</si>
  <si>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</si>
  <si>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</si>
  <si>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</si>
  <si>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</si>
  <si>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</si>
  <si>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</si>
  <si>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</si>
  <si>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</si>
  <si>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</si>
  <si>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</si>
  <si>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</si>
  <si>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</si>
  <si>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</si>
  <si>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</si>
  <si>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</si>
  <si>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2020/21</t>
  </si>
  <si>
    <t>Paragraph 6 &amp; Paragraph 11A</t>
  </si>
  <si>
    <t>Release for 2020/21 charge setting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</si>
  <si>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</si>
  <si>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</si>
  <si>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</si>
  <si>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</si>
  <si>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</si>
  <si>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</si>
  <si>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</si>
  <si>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Northern Powergrid (Northeast)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</si>
</sst>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  <numFmt numFmtId="171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28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71" fontId="1" fillId="2" borderId="0" xfId="13" applyNumberFormat="1" applyBorder="1" applyAlignment="1" applyProtection="1">
      <alignment horizontal="left" vertical="top" wrapText="1"/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xmlns="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xmlns="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xmlns="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xmlns="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xmlns="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xmlns="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xmlns="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xmlns="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xmlns="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xmlns="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xmlns="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xmlns="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xmlns="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xmlns="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xmlns="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xmlns="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xmlns="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xmlns="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xmlns="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xmlns="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tabSelected="1" topLeftCell="A4" zoomScale="80" zoomScaleNormal="80" workbookViewId="0">
      <selection activeCell="D25" sqref="D25"/>
    </sheetView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25">
      <c r="A1" s="42"/>
      <c r="B1" s="43"/>
      <c r="C1" s="42"/>
      <c r="D1" s="42"/>
      <c r="E1" s="42"/>
    </row>
    <row r="2" spans="1:5" ht="28.5" x14ac:dyDescent="0.25">
      <c r="A2" s="42"/>
      <c r="B2" s="43"/>
      <c r="C2" s="42"/>
      <c r="D2" s="44" t="s">
        <v>0</v>
      </c>
      <c r="E2" s="42"/>
    </row>
    <row r="3" spans="1:5" ht="15" customHeight="1" x14ac:dyDescent="0.25">
      <c r="A3" s="42"/>
      <c r="B3" s="43"/>
      <c r="C3" s="42"/>
      <c r="D3" s="42"/>
      <c r="E3" s="42"/>
    </row>
    <row r="4" spans="1:5" ht="21" x14ac:dyDescent="0.25">
      <c r="A4" s="42"/>
      <c r="B4" s="43"/>
      <c r="C4" s="42"/>
      <c r="D4" s="216" t="s">
        <v>753</v>
      </c>
      <c r="E4" s="42"/>
    </row>
    <row r="5" spans="1:5" x14ac:dyDescent="0.25">
      <c r="A5" s="42"/>
      <c r="B5" s="43"/>
      <c r="C5" s="42"/>
      <c r="D5" s="42"/>
      <c r="E5" s="42"/>
    </row>
    <row r="6" spans="1:5" x14ac:dyDescent="0.25">
      <c r="A6" s="42"/>
      <c r="B6" s="45" t="str">
        <f>'Version control'!F7</f>
        <v>Model date:</v>
      </c>
      <c r="C6" s="42"/>
      <c r="D6" s="46">
        <f>'Version control'!H7</f>
        <v>43389</v>
      </c>
      <c r="E6" s="42"/>
    </row>
    <row r="7" spans="1:5" ht="15" customHeight="1" x14ac:dyDescent="0.25">
      <c r="A7" s="42"/>
      <c r="B7" s="43"/>
      <c r="C7" s="42"/>
      <c r="D7" s="42"/>
      <c r="E7" s="42"/>
    </row>
    <row r="8" spans="1:5" ht="15" customHeight="1" x14ac:dyDescent="0.2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25">
      <c r="A9" s="42"/>
      <c r="B9" s="43"/>
      <c r="C9" s="42"/>
      <c r="D9" s="42"/>
      <c r="E9" s="42"/>
    </row>
    <row r="10" spans="1:5" ht="15" customHeight="1" x14ac:dyDescent="0.25">
      <c r="A10" s="42"/>
      <c r="B10" s="45" t="str">
        <f>'Version control'!F11</f>
        <v>Model number:</v>
      </c>
      <c r="C10" s="42"/>
      <c r="D10" s="47">
        <f>'Version control'!H11</f>
        <v>3</v>
      </c>
      <c r="E10" s="42"/>
    </row>
    <row r="11" spans="1:5" ht="15" customHeight="1" x14ac:dyDescent="0.25">
      <c r="A11" s="42"/>
      <c r="B11" s="43"/>
      <c r="C11" s="42"/>
      <c r="D11" s="42"/>
      <c r="E11" s="42"/>
    </row>
    <row r="12" spans="1:5" ht="15" customHeight="1" x14ac:dyDescent="0.25">
      <c r="A12" s="42"/>
      <c r="B12" s="45" t="str">
        <f>'Version control'!F13</f>
        <v>DCUSA text version:</v>
      </c>
      <c r="C12" s="42"/>
      <c r="D12" s="47" t="str">
        <f>'Version control'!H13</f>
        <v>01 April 2020 DCUSA Charging Methodologies Pre-Release (released 09/10/2018)</v>
      </c>
      <c r="E12" s="42"/>
    </row>
    <row r="13" spans="1:5" s="1" customFormat="1" ht="15" customHeight="1" x14ac:dyDescent="0.25">
      <c r="A13" s="42"/>
      <c r="B13" s="45"/>
      <c r="C13" s="42"/>
      <c r="D13" s="47"/>
      <c r="E13" s="42"/>
    </row>
    <row r="14" spans="1:5" s="1" customFormat="1" ht="15" customHeight="1" x14ac:dyDescent="0.2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25">
      <c r="A15" s="42"/>
      <c r="B15" s="43"/>
      <c r="C15" s="42"/>
      <c r="D15" s="42"/>
      <c r="E15" s="42"/>
    </row>
    <row r="16" spans="1:5" ht="30" x14ac:dyDescent="0.25">
      <c r="A16" s="42"/>
      <c r="B16" s="45" t="s">
        <v>4</v>
      </c>
      <c r="C16" s="42"/>
      <c r="D16" s="48" t="s">
        <v>760</v>
      </c>
      <c r="E16" s="42"/>
    </row>
    <row r="17" spans="1:5" x14ac:dyDescent="0.25">
      <c r="A17" s="42"/>
      <c r="B17" s="43"/>
      <c r="C17" s="42"/>
      <c r="D17" s="48" t="s">
        <v>726</v>
      </c>
      <c r="E17" s="42"/>
    </row>
    <row r="18" spans="1:5" x14ac:dyDescent="0.25">
      <c r="A18" s="42"/>
      <c r="B18" s="43"/>
      <c r="C18" s="42"/>
      <c r="D18" s="42"/>
      <c r="E18" s="42"/>
    </row>
    <row r="19" spans="1:5" ht="15" customHeight="1" x14ac:dyDescent="0.25">
      <c r="A19" s="42"/>
      <c r="B19" s="45" t="s">
        <v>1</v>
      </c>
      <c r="C19" s="42"/>
      <c r="D19" s="223" t="s">
        <v>751</v>
      </c>
      <c r="E19" s="42"/>
    </row>
    <row r="20" spans="1:5" ht="15" customHeight="1" x14ac:dyDescent="0.25">
      <c r="A20" s="42"/>
      <c r="B20" s="43"/>
      <c r="C20" s="42"/>
      <c r="D20" s="42"/>
      <c r="E20" s="42"/>
    </row>
    <row r="21" spans="1:5" ht="15" customHeight="1" x14ac:dyDescent="0.25">
      <c r="A21" s="42"/>
      <c r="B21" s="45" t="s">
        <v>2</v>
      </c>
      <c r="C21" s="42"/>
      <c r="D21" s="18" t="s">
        <v>761</v>
      </c>
      <c r="E21" s="42"/>
    </row>
    <row r="22" spans="1:5" ht="15" customHeight="1" x14ac:dyDescent="0.25">
      <c r="A22" s="42"/>
      <c r="B22" s="43"/>
      <c r="C22" s="42"/>
      <c r="D22" s="42"/>
      <c r="E22" s="42"/>
    </row>
    <row r="23" spans="1:5" ht="15" customHeight="1" x14ac:dyDescent="0.25">
      <c r="A23" s="42"/>
      <c r="B23" s="45" t="s">
        <v>3</v>
      </c>
      <c r="C23" s="42"/>
      <c r="D23" s="227">
        <v>0.1</v>
      </c>
      <c r="E23" s="42"/>
    </row>
    <row r="24" spans="1:5" ht="15" customHeight="1" x14ac:dyDescent="0.25">
      <c r="A24" s="42"/>
      <c r="B24" s="43"/>
      <c r="C24" s="42"/>
      <c r="D24" s="42"/>
      <c r="E24" s="42"/>
    </row>
    <row r="25" spans="1:5" ht="30" customHeight="1" x14ac:dyDescent="0.25">
      <c r="A25" s="42"/>
      <c r="B25" s="45" t="s">
        <v>11</v>
      </c>
      <c r="C25" s="42"/>
      <c r="D25" s="18"/>
      <c r="E25" s="42"/>
    </row>
    <row r="26" spans="1:5" ht="15" customHeight="1" x14ac:dyDescent="0.25">
      <c r="A26" s="42"/>
      <c r="B26" s="43"/>
      <c r="C26" s="42"/>
      <c r="D26" s="42"/>
      <c r="E26" s="42"/>
    </row>
    <row r="27" spans="1:5" ht="15" customHeight="1" x14ac:dyDescent="0.25">
      <c r="A27" s="42"/>
      <c r="B27" s="45" t="s">
        <v>5</v>
      </c>
      <c r="C27" s="42"/>
      <c r="D27" s="42"/>
      <c r="E27" s="42"/>
    </row>
    <row r="28" spans="1:5" ht="15" customHeight="1" x14ac:dyDescent="0.25">
      <c r="A28" s="42"/>
      <c r="B28" s="49" t="s">
        <v>6</v>
      </c>
      <c r="C28" s="50"/>
      <c r="D28" s="50" t="s">
        <v>7</v>
      </c>
      <c r="E28" s="42"/>
    </row>
    <row r="29" spans="1:5" x14ac:dyDescent="0.25">
      <c r="A29" s="42"/>
      <c r="B29" s="51"/>
      <c r="C29" s="52"/>
      <c r="D29" s="52" t="s">
        <v>9</v>
      </c>
      <c r="E29" s="42"/>
    </row>
    <row r="30" spans="1:5" x14ac:dyDescent="0.25">
      <c r="A30" s="42"/>
      <c r="B30" s="19" t="s">
        <v>265</v>
      </c>
      <c r="C30" s="53"/>
      <c r="D30" s="53" t="s">
        <v>8</v>
      </c>
      <c r="E30" s="42"/>
    </row>
    <row r="31" spans="1:5" x14ac:dyDescent="0.25">
      <c r="A31" s="42"/>
      <c r="B31" s="20" t="s">
        <v>265</v>
      </c>
      <c r="C31" s="53"/>
      <c r="D31" s="53" t="s">
        <v>264</v>
      </c>
      <c r="E31" s="42"/>
    </row>
    <row r="32" spans="1:5" x14ac:dyDescent="0.25">
      <c r="A32" s="42"/>
      <c r="B32" s="21" t="s">
        <v>265</v>
      </c>
      <c r="C32" s="53"/>
      <c r="D32" s="54" t="s">
        <v>512</v>
      </c>
      <c r="E32" s="42"/>
    </row>
    <row r="33" spans="1:5" x14ac:dyDescent="0.25">
      <c r="A33" s="42"/>
      <c r="B33" s="55" t="s">
        <v>265</v>
      </c>
      <c r="C33" s="53"/>
      <c r="D33" s="53" t="s">
        <v>10</v>
      </c>
      <c r="E33" s="42"/>
    </row>
    <row r="34" spans="1:5" x14ac:dyDescent="0.25">
      <c r="A34" s="42"/>
      <c r="B34" s="56" t="s">
        <v>265</v>
      </c>
      <c r="C34" s="53"/>
      <c r="D34" s="53" t="s">
        <v>479</v>
      </c>
      <c r="E34" s="42"/>
    </row>
    <row r="35" spans="1:5" x14ac:dyDescent="0.25">
      <c r="A35" s="42"/>
      <c r="B35" s="57" t="s">
        <v>265</v>
      </c>
      <c r="C35" s="53"/>
      <c r="D35" s="53" t="s">
        <v>480</v>
      </c>
      <c r="E35" s="42"/>
    </row>
    <row r="36" spans="1:5" x14ac:dyDescent="0.25">
      <c r="A36" s="42"/>
      <c r="B36" s="58" t="s">
        <v>265</v>
      </c>
      <c r="C36" s="53"/>
      <c r="D36" s="54" t="s">
        <v>495</v>
      </c>
      <c r="E36" s="42"/>
    </row>
    <row r="37" spans="1:5" x14ac:dyDescent="0.25">
      <c r="A37" s="42"/>
      <c r="B37" s="59" t="s">
        <v>478</v>
      </c>
      <c r="C37" s="53"/>
      <c r="D37" s="54" t="s">
        <v>481</v>
      </c>
      <c r="E37" s="42"/>
    </row>
    <row r="38" spans="1:5" ht="15" customHeight="1" x14ac:dyDescent="0.25">
      <c r="A38" s="42"/>
      <c r="B38" s="60" t="s">
        <v>478</v>
      </c>
      <c r="C38" s="53"/>
      <c r="D38" s="53" t="s">
        <v>482</v>
      </c>
      <c r="E38" s="42"/>
    </row>
    <row r="39" spans="1:5" ht="15" customHeight="1" x14ac:dyDescent="0.25">
      <c r="A39" s="42"/>
      <c r="B39" s="50" t="s">
        <v>478</v>
      </c>
      <c r="C39" s="53"/>
      <c r="D39" s="53" t="s">
        <v>483</v>
      </c>
      <c r="E39" s="42"/>
    </row>
    <row r="40" spans="1:5" ht="15" customHeight="1" x14ac:dyDescent="0.25">
      <c r="A40" s="42"/>
      <c r="B40" s="61" t="s">
        <v>478</v>
      </c>
      <c r="C40" s="53"/>
      <c r="D40" s="53" t="s">
        <v>508</v>
      </c>
      <c r="E40" s="42"/>
    </row>
    <row r="41" spans="1:5" ht="15" customHeight="1" x14ac:dyDescent="0.25">
      <c r="A41" s="42"/>
      <c r="B41" s="62" t="s">
        <v>478</v>
      </c>
      <c r="C41" s="53"/>
      <c r="D41" s="53" t="s">
        <v>509</v>
      </c>
      <c r="E41" s="42"/>
    </row>
    <row r="42" spans="1:5" ht="15" customHeight="1" x14ac:dyDescent="0.25">
      <c r="A42" s="42"/>
      <c r="B42" s="63" t="s">
        <v>478</v>
      </c>
      <c r="C42" s="53"/>
      <c r="D42" s="53" t="s">
        <v>510</v>
      </c>
      <c r="E42" s="42"/>
    </row>
    <row r="43" spans="1:5" ht="15" customHeight="1" x14ac:dyDescent="0.25">
      <c r="A43" s="42"/>
      <c r="B43" s="64" t="s">
        <v>507</v>
      </c>
      <c r="C43" s="53"/>
      <c r="D43" s="53" t="s">
        <v>511</v>
      </c>
      <c r="E43" s="42"/>
    </row>
    <row r="44" spans="1:5" ht="15" customHeight="1" x14ac:dyDescent="0.25">
      <c r="A44" s="42"/>
      <c r="B44" s="65" t="s">
        <v>507</v>
      </c>
      <c r="C44" s="53"/>
      <c r="D44" s="54" t="s">
        <v>490</v>
      </c>
      <c r="E44" s="42"/>
    </row>
    <row r="45" spans="1:5" ht="15" customHeight="1" x14ac:dyDescent="0.25">
      <c r="A45" s="42"/>
      <c r="B45" s="66" t="s">
        <v>507</v>
      </c>
      <c r="C45" s="53"/>
      <c r="D45" s="54" t="s">
        <v>491</v>
      </c>
      <c r="E45" s="42"/>
    </row>
    <row r="46" spans="1:5" ht="15" customHeight="1" x14ac:dyDescent="0.25">
      <c r="A46" s="42"/>
      <c r="B46" s="67" t="s">
        <v>507</v>
      </c>
      <c r="C46" s="68"/>
      <c r="D46" s="69" t="s">
        <v>492</v>
      </c>
      <c r="E46" s="42"/>
    </row>
  </sheetData>
  <sheetProtection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442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443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25">
      <c r="A11" s="73"/>
      <c r="B11" s="73"/>
      <c r="C11" s="109" t="s">
        <v>732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2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2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 t="s">
        <v>444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73"/>
      <c r="C16" s="109" t="s">
        <v>445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101"/>
      <c r="C18" s="110" t="s">
        <v>718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2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2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131123358.14493619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61909550.484972529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2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141503564.51721618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2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165103515.04249856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2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94263818.13901563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73"/>
      <c r="B27" s="101"/>
      <c r="C27" s="110" t="s">
        <v>647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2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0.24559695400706771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2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0.75440304599293229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570</v>
      </c>
      <c r="Q31" s="42"/>
    </row>
    <row r="32" spans="1:17" x14ac:dyDescent="0.2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73"/>
      <c r="E33" s="112" t="s">
        <v>415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2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0.24559695400706771</v>
      </c>
      <c r="K34" s="180">
        <f>H$31</f>
        <v>0.75440304599293229</v>
      </c>
      <c r="L34" s="181"/>
      <c r="M34" s="181"/>
      <c r="N34" s="181"/>
      <c r="O34" s="74"/>
      <c r="P34" s="115" t="s">
        <v>570</v>
      </c>
      <c r="Q34" s="42"/>
    </row>
    <row r="35" spans="1:17" x14ac:dyDescent="0.2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2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2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2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2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32203497.359574161</v>
      </c>
      <c r="K40" s="130">
        <f>SUMPRODUCT($H21:$H25, K34:K38)</f>
        <v>98919860.785362035</v>
      </c>
      <c r="L40" s="130">
        <f>SUMPRODUCT($H21:$H25, L34:L38)</f>
        <v>61909550.484972529</v>
      </c>
      <c r="M40" s="130">
        <f>SUMPRODUCT($H21:$H25, M34:M38)</f>
        <v>141503564.51721618</v>
      </c>
      <c r="N40" s="130">
        <f>SUMPRODUCT($H21:$H25, N34:N38)</f>
        <v>259367333.1815142</v>
      </c>
      <c r="O40" s="74"/>
      <c r="P40" s="115" t="s">
        <v>576</v>
      </c>
      <c r="Q40" s="42"/>
    </row>
    <row r="41" spans="1:17" x14ac:dyDescent="0.2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593903806.32863903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576</v>
      </c>
      <c r="Q41" s="42"/>
    </row>
    <row r="42" spans="1:17" x14ac:dyDescent="0.25">
      <c r="A42" s="73"/>
      <c r="B42" s="73"/>
      <c r="C42" s="73"/>
      <c r="D42" s="73"/>
      <c r="E42" s="115" t="s">
        <v>488</v>
      </c>
      <c r="F42" s="73"/>
      <c r="G42" s="115" t="s">
        <v>471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2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5.4223423080326627E-2</v>
      </c>
      <c r="K44" s="154">
        <f>IF($H42, K40 / $H41, 0)</f>
        <v>0.16655872505155209</v>
      </c>
      <c r="L44" s="154">
        <f>IF($H42, L40 / $H41, 0)</f>
        <v>0.1042417135995162</v>
      </c>
      <c r="M44" s="154">
        <f>IF($H42, M40 / $H41, 0)</f>
        <v>0.23826007344851838</v>
      </c>
      <c r="N44" s="154">
        <f>IF($H42, N40 / $H41, 0)</f>
        <v>0.43671606482008679</v>
      </c>
      <c r="O44" s="74"/>
      <c r="P44" s="115" t="s">
        <v>576</v>
      </c>
      <c r="Q44" s="42"/>
    </row>
    <row r="45" spans="1:17" x14ac:dyDescent="0.2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73"/>
      <c r="B47" s="101"/>
      <c r="C47" s="110" t="s">
        <v>648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2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109"/>
      <c r="E49" s="115" t="str">
        <f>MEAV!E118</f>
        <v>EHV reduction rate</v>
      </c>
      <c r="F49" s="73"/>
      <c r="G49" s="115" t="str">
        <f>MEAV!G118</f>
        <v>%</v>
      </c>
      <c r="H49" s="166">
        <f>MEAV!H118</f>
        <v>0.89275489075634129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73"/>
      <c r="C51" s="73"/>
      <c r="D51" s="73"/>
      <c r="E51" s="112" t="s">
        <v>416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2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3">
        <f>J34</f>
        <v>0.24559695400706771</v>
      </c>
      <c r="K52" s="213">
        <f>K34</f>
        <v>0.75440304599293229</v>
      </c>
      <c r="L52" s="181"/>
      <c r="M52" s="181"/>
      <c r="N52" s="181"/>
      <c r="O52" s="74"/>
      <c r="P52" s="115" t="s">
        <v>570</v>
      </c>
      <c r="Q52" s="42"/>
    </row>
    <row r="53" spans="1:17" x14ac:dyDescent="0.2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4">
        <f>L35</f>
        <v>1</v>
      </c>
      <c r="M53" s="182"/>
      <c r="N53" s="182"/>
      <c r="O53" s="74"/>
      <c r="P53" s="73"/>
      <c r="Q53" s="42"/>
    </row>
    <row r="54" spans="1:17" x14ac:dyDescent="0.2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4">
        <f>M36</f>
        <v>1</v>
      </c>
      <c r="N54" s="182"/>
      <c r="O54" s="74"/>
      <c r="P54" s="73"/>
      <c r="Q54" s="42"/>
    </row>
    <row r="55" spans="1:17" x14ac:dyDescent="0.2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0.89275489075634129</v>
      </c>
      <c r="O55" s="74"/>
      <c r="P55" s="115" t="s">
        <v>577</v>
      </c>
      <c r="Q55" s="42"/>
    </row>
    <row r="56" spans="1:17" x14ac:dyDescent="0.2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7"/>
      <c r="K56" s="207"/>
      <c r="L56" s="207"/>
      <c r="M56" s="207"/>
      <c r="N56" s="150">
        <f>H$49</f>
        <v>0.89275489075634129</v>
      </c>
      <c r="O56" s="74"/>
      <c r="P56" s="115" t="s">
        <v>577</v>
      </c>
      <c r="Q56" s="42"/>
    </row>
    <row r="57" spans="1:1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32203497.359574161</v>
      </c>
      <c r="K58" s="130">
        <f>SUMPRODUCT($H21:$H25, K52:K56)</f>
        <v>98919860.785362035</v>
      </c>
      <c r="L58" s="130">
        <f>SUMPRODUCT($H21:$H25, L52:L56)</f>
        <v>61909550.484972529</v>
      </c>
      <c r="M58" s="130">
        <f>SUMPRODUCT($H21:$H25, M52:M56)</f>
        <v>141503564.51721618</v>
      </c>
      <c r="N58" s="130">
        <f>SUMPRODUCT($H21:$H25, N52:N56)</f>
        <v>231551455.20022628</v>
      </c>
      <c r="O58" s="74"/>
      <c r="P58" s="115" t="s">
        <v>576</v>
      </c>
      <c r="Q58" s="42"/>
    </row>
    <row r="59" spans="1:17" x14ac:dyDescent="0.25">
      <c r="A59" s="115"/>
      <c r="B59" s="73"/>
      <c r="C59" s="73"/>
      <c r="D59" s="73"/>
      <c r="E59" s="115" t="s">
        <v>489</v>
      </c>
      <c r="F59" s="73"/>
      <c r="G59" s="115" t="str">
        <f>G$21</f>
        <v>£</v>
      </c>
      <c r="H59" s="130">
        <f>SUM(J58:N58)</f>
        <v>566087928.34735119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576</v>
      </c>
      <c r="Q59" s="42"/>
    </row>
    <row r="60" spans="1:17" x14ac:dyDescent="0.25">
      <c r="A60" s="73"/>
      <c r="B60" s="73"/>
      <c r="C60" s="73"/>
      <c r="D60" s="73"/>
      <c r="E60" s="115" t="s">
        <v>488</v>
      </c>
      <c r="F60" s="73"/>
      <c r="G60" s="115" t="s">
        <v>471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5.6887800899746647E-2</v>
      </c>
      <c r="K62" s="154">
        <f>IF($H60, K58 / $H59, 0)</f>
        <v>0.17474292566907534</v>
      </c>
      <c r="L62" s="154">
        <f>IF($H60, L58 / $H59, 0)</f>
        <v>0.10936384152495983</v>
      </c>
      <c r="M62" s="154">
        <f>IF($H60, M58 / $H59, 0)</f>
        <v>0.24996746517864213</v>
      </c>
      <c r="N62" s="154">
        <f>IF($H60, N58 / $H59, 0)</f>
        <v>0.40903796672757603</v>
      </c>
      <c r="O62" s="74"/>
      <c r="P62" s="115" t="s">
        <v>576</v>
      </c>
      <c r="Q62" s="42"/>
    </row>
    <row r="63" spans="1:17" x14ac:dyDescent="0.2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2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2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2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2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733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2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25">
      <c r="A14" s="73"/>
      <c r="B14" s="73"/>
      <c r="C14" s="109" t="s">
        <v>407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101"/>
      <c r="C16" s="110" t="s">
        <v>649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2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253469463.34865454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2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258000000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273335500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2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784804963.34865451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578</v>
      </c>
      <c r="Q23" s="42"/>
    </row>
    <row r="24" spans="1:17" x14ac:dyDescent="0.2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25">
      <c r="A25" s="73"/>
      <c r="B25" s="73"/>
      <c r="C25" s="73"/>
      <c r="D25" s="73"/>
      <c r="E25" s="115" t="s">
        <v>530</v>
      </c>
      <c r="F25" s="73"/>
      <c r="G25" s="115" t="s">
        <v>471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0.34828462199540017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578</v>
      </c>
      <c r="Q27" s="42"/>
    </row>
    <row r="28" spans="1:17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0.65171537800459989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578</v>
      </c>
      <c r="Q29" s="42"/>
    </row>
    <row r="30" spans="1:1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73"/>
      <c r="B31" s="101"/>
      <c r="C31" s="110" t="s">
        <v>650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2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109"/>
      <c r="E33" s="115" t="str">
        <f>Expensed!E66</f>
        <v>Expensed proportions, by network level (EDCM)</v>
      </c>
      <c r="F33" s="73"/>
      <c r="G33" s="115" t="str">
        <f>Expensed!G67</f>
        <v>%</v>
      </c>
      <c r="H33" s="135"/>
      <c r="I33" s="135"/>
      <c r="J33" s="166">
        <f>Expensed!H67</f>
        <v>0.39457006217649299</v>
      </c>
      <c r="K33" s="166">
        <f>Expensed!H68</f>
        <v>0.15882788897486425</v>
      </c>
      <c r="L33" s="166">
        <f>Expensed!H69</f>
        <v>7.1344660853830608E-2</v>
      </c>
      <c r="M33" s="166">
        <f>Expensed!H70</f>
        <v>0.23979778223365997</v>
      </c>
      <c r="N33" s="166">
        <f>Expensed!H71</f>
        <v>0.13545960576115224</v>
      </c>
      <c r="O33" s="74"/>
      <c r="P33" s="73"/>
      <c r="Q33" s="53"/>
    </row>
    <row r="34" spans="1:17" x14ac:dyDescent="0.2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2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5.4223423080326627E-2</v>
      </c>
      <c r="K35" s="166">
        <f>Capitalised!K44</f>
        <v>0.16655872505155209</v>
      </c>
      <c r="L35" s="166">
        <f>Capitalised!L44</f>
        <v>0.1042417135995162</v>
      </c>
      <c r="M35" s="166">
        <f>Capitalised!M44</f>
        <v>0.23826007344851838</v>
      </c>
      <c r="N35" s="166">
        <f>Capitalised!N44</f>
        <v>0.43671606482008679</v>
      </c>
      <c r="O35" s="74"/>
      <c r="P35" s="73"/>
      <c r="Q35" s="42"/>
    </row>
    <row r="36" spans="1:17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2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0.17276092362533982</v>
      </c>
      <c r="K37" s="135">
        <f>($H$27 * K33) + ($H$29 * K35)</f>
        <v>0.16386619373087447</v>
      </c>
      <c r="L37" s="135">
        <f>($H$27 * L33) + ($H$29 * L35)</f>
        <v>9.2784176019222356E-2</v>
      </c>
      <c r="M37" s="135">
        <f>($H$27 * M33) + ($H$29 * M35)</f>
        <v>0.23879563377149043</v>
      </c>
      <c r="N37" s="135">
        <f>($H$27 * N33) + ($H$29 * N35)</f>
        <v>0.33179307285307302</v>
      </c>
      <c r="O37" s="74"/>
      <c r="P37" s="115" t="s">
        <v>578</v>
      </c>
      <c r="Q37" s="42"/>
    </row>
    <row r="38" spans="1:17" x14ac:dyDescent="0.2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2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25">
      <c r="A41" s="73"/>
      <c r="B41" s="101"/>
      <c r="C41" s="110" t="s">
        <v>651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2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25">
      <c r="A43" s="73"/>
      <c r="B43" s="73"/>
      <c r="C43" s="73"/>
      <c r="D43" s="109"/>
      <c r="E43" s="115" t="str">
        <f>Expensed!E75</f>
        <v>Expensed proportions, by network level (CDCM)</v>
      </c>
      <c r="F43" s="73"/>
      <c r="G43" s="115" t="str">
        <f>Expensed!G76</f>
        <v>%</v>
      </c>
      <c r="H43" s="135"/>
      <c r="I43" s="135"/>
      <c r="J43" s="166">
        <f>Expensed!H76</f>
        <v>0.39739166775167217</v>
      </c>
      <c r="K43" s="166">
        <f>Expensed!H77</f>
        <v>0.16002826205689424</v>
      </c>
      <c r="L43" s="166">
        <f>Expensed!H78</f>
        <v>7.1785748972553215E-2</v>
      </c>
      <c r="M43" s="166">
        <f>Expensed!H79</f>
        <v>0.24150527140391012</v>
      </c>
      <c r="N43" s="166">
        <f>Expensed!H80</f>
        <v>0.12928904981497016</v>
      </c>
      <c r="O43" s="74"/>
      <c r="P43" s="73"/>
      <c r="Q43" s="42"/>
    </row>
    <row r="44" spans="1:17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2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5.6887800899746647E-2</v>
      </c>
      <c r="K45" s="166">
        <f>Capitalised!K62</f>
        <v>0.17474292566907534</v>
      </c>
      <c r="L45" s="166">
        <f>Capitalised!L62</f>
        <v>0.10936384152495983</v>
      </c>
      <c r="M45" s="166">
        <f>Capitalised!M62</f>
        <v>0.24996746517864213</v>
      </c>
      <c r="N45" s="166">
        <f>Capitalised!N62</f>
        <v>0.40903796672757603</v>
      </c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0.17548006145424161</v>
      </c>
      <c r="K47" s="135">
        <f>($H$27 * K43) + ($H$29 * K45)</f>
        <v>0.16961803461511737</v>
      </c>
      <c r="L47" s="135">
        <f>($H$27 * L43) + ($H$29 * L45)</f>
        <v>9.6275969765036745E-2</v>
      </c>
      <c r="M47" s="135">
        <f>($H$27 * M43) + ($H$29 * M45)</f>
        <v>0.24702021321855777</v>
      </c>
      <c r="N47" s="135">
        <f>($H$27 * N43) + ($H$29 * N45)</f>
        <v>0.31160572094704653</v>
      </c>
      <c r="O47" s="74"/>
      <c r="P47" s="115" t="s">
        <v>578</v>
      </c>
      <c r="Q47" s="42"/>
    </row>
    <row r="48" spans="1:17" x14ac:dyDescent="0.2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25">
      <c r="A53" s="73"/>
      <c r="B53" s="73"/>
      <c r="C53" s="109" t="s">
        <v>505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25">
      <c r="A54" s="73"/>
      <c r="B54" s="73"/>
      <c r="C54" s="109" t="s">
        <v>506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2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25">
      <c r="A56" s="73"/>
      <c r="B56" s="101"/>
      <c r="C56" s="110" t="s">
        <v>652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186776200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2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2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565082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73"/>
      <c r="B62" s="73"/>
      <c r="C62" s="73"/>
      <c r="D62" s="73"/>
      <c r="E62" s="115" t="s">
        <v>344</v>
      </c>
      <c r="F62" s="73"/>
      <c r="G62" s="115" t="s">
        <v>439</v>
      </c>
      <c r="H62" s="152">
        <f>'DNO inputs'!H274</f>
        <v>4300000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25">
      <c r="A64" s="115"/>
      <c r="B64" s="73"/>
      <c r="C64" s="73"/>
      <c r="D64" s="73"/>
      <c r="E64" s="115" t="s">
        <v>255</v>
      </c>
      <c r="F64" s="73"/>
      <c r="G64" s="115" t="s">
        <v>439</v>
      </c>
      <c r="H64" s="130">
        <f>H60 + H62</f>
        <v>4865082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606</v>
      </c>
      <c r="Q64" s="42"/>
    </row>
    <row r="65" spans="1:17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25">
      <c r="A66" s="115"/>
      <c r="B66" s="73"/>
      <c r="C66" s="73"/>
      <c r="D66" s="73"/>
      <c r="E66" s="115" t="s">
        <v>408</v>
      </c>
      <c r="F66" s="73"/>
      <c r="G66" s="115" t="s">
        <v>439</v>
      </c>
      <c r="H66" s="130">
        <f>H58 - H64</f>
        <v>181911118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571</v>
      </c>
      <c r="Q66" s="42"/>
    </row>
    <row r="67" spans="1:17" x14ac:dyDescent="0.2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25">
      <c r="A68" s="115"/>
      <c r="B68" s="73"/>
      <c r="C68" s="73"/>
      <c r="D68" s="73"/>
      <c r="E68" s="112" t="s">
        <v>409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579</v>
      </c>
      <c r="Q68" s="42"/>
    </row>
    <row r="69" spans="1:17" x14ac:dyDescent="0.25">
      <c r="A69" s="73"/>
      <c r="B69" s="73"/>
      <c r="C69" s="73"/>
      <c r="D69" s="73"/>
      <c r="E69" s="73"/>
      <c r="F69" s="113" t="s">
        <v>267</v>
      </c>
      <c r="G69" s="113" t="s">
        <v>439</v>
      </c>
      <c r="H69" s="145"/>
      <c r="I69" s="145"/>
      <c r="J69" s="158">
        <f>$H66 * J37</f>
        <v>31427132.763398178</v>
      </c>
      <c r="K69" s="158">
        <f>$H66 * K37</f>
        <v>29809082.503987964</v>
      </c>
      <c r="L69" s="158">
        <f>$H66 * L37</f>
        <v>16878473.192365527</v>
      </c>
      <c r="M69" s="158">
        <f>$H66 * M37</f>
        <v>43439580.712890379</v>
      </c>
      <c r="N69" s="158">
        <f>$H66 * N37</f>
        <v>60356848.827357963</v>
      </c>
      <c r="O69" s="74"/>
      <c r="P69" s="73"/>
      <c r="Q69" s="42"/>
    </row>
    <row r="70" spans="1:17" x14ac:dyDescent="0.25">
      <c r="A70" s="73"/>
      <c r="B70" s="73"/>
      <c r="C70" s="73"/>
      <c r="D70" s="73"/>
      <c r="E70" s="73"/>
      <c r="F70" s="117" t="s">
        <v>268</v>
      </c>
      <c r="G70" s="117" t="s">
        <v>439</v>
      </c>
      <c r="H70" s="146"/>
      <c r="I70" s="147"/>
      <c r="J70" s="147">
        <f>$H66 * J47</f>
        <v>31921774.165849797</v>
      </c>
      <c r="K70" s="147">
        <f>$H66 * K47</f>
        <v>30855406.309798703</v>
      </c>
      <c r="L70" s="147">
        <f>$H66 * L47</f>
        <v>17513669.296492033</v>
      </c>
      <c r="M70" s="147">
        <f>$H66 * M47</f>
        <v>44935723.155186221</v>
      </c>
      <c r="N70" s="147">
        <f>$H66 * N47</f>
        <v>56684545.072673254</v>
      </c>
      <c r="O70" s="74"/>
      <c r="P70" s="73"/>
      <c r="Q70" s="42"/>
    </row>
    <row r="71" spans="1:1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25">
      <c r="A72" s="73"/>
      <c r="B72" s="101"/>
      <c r="C72" s="110" t="s">
        <v>653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2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2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7581974.9255074672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2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580</v>
      </c>
      <c r="Q76" s="42"/>
    </row>
    <row r="77" spans="1:17" x14ac:dyDescent="0.25">
      <c r="A77" s="73"/>
      <c r="B77" s="73"/>
      <c r="C77" s="73"/>
      <c r="D77" s="73"/>
      <c r="E77" s="73"/>
      <c r="F77" s="113" t="s">
        <v>267</v>
      </c>
      <c r="G77" s="113" t="s">
        <v>439</v>
      </c>
      <c r="H77" s="145"/>
      <c r="I77" s="145"/>
      <c r="J77" s="158">
        <f>$H74 * J33</f>
        <v>2991620.3177780923</v>
      </c>
      <c r="K77" s="158">
        <f>$H74 * K33</f>
        <v>1204229.0716787046</v>
      </c>
      <c r="L77" s="158">
        <f>$H74 * L33</f>
        <v>540933.42966257781</v>
      </c>
      <c r="M77" s="158">
        <f>$H74 * M33</f>
        <v>1818140.77208791</v>
      </c>
      <c r="N77" s="158">
        <f>$H74 * N33</f>
        <v>1027051.3343001831</v>
      </c>
      <c r="O77" s="74"/>
      <c r="P77" s="73"/>
      <c r="Q77" s="42"/>
    </row>
    <row r="78" spans="1:17" x14ac:dyDescent="0.25">
      <c r="A78" s="73"/>
      <c r="B78" s="73"/>
      <c r="C78" s="73"/>
      <c r="D78" s="73"/>
      <c r="E78" s="73"/>
      <c r="F78" s="117" t="s">
        <v>268</v>
      </c>
      <c r="G78" s="117" t="s">
        <v>439</v>
      </c>
      <c r="H78" s="146"/>
      <c r="I78" s="147"/>
      <c r="J78" s="147">
        <f>$H74 * J43</f>
        <v>3013013.6604987727</v>
      </c>
      <c r="K78" s="147">
        <f>$H74 * K43</f>
        <v>1213330.2702879102</v>
      </c>
      <c r="L78" s="147">
        <f>$H74 * L43</f>
        <v>544277.74871867185</v>
      </c>
      <c r="M78" s="147">
        <f>$H74 * M43</f>
        <v>1831086.9121623221</v>
      </c>
      <c r="N78" s="147">
        <f>$H74 * N43</f>
        <v>980266.33383978962</v>
      </c>
      <c r="O78" s="74"/>
      <c r="P78" s="73"/>
      <c r="Q78" s="42"/>
    </row>
    <row r="79" spans="1:17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25">
      <c r="A80" s="73"/>
      <c r="B80" s="101"/>
      <c r="C80" s="110" t="s">
        <v>654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2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580</v>
      </c>
      <c r="Q82" s="42"/>
    </row>
    <row r="83" spans="1:17" x14ac:dyDescent="0.25">
      <c r="A83" s="73"/>
      <c r="B83" s="73"/>
      <c r="C83" s="73"/>
      <c r="D83" s="73"/>
      <c r="E83" s="73"/>
      <c r="F83" s="113" t="s">
        <v>267</v>
      </c>
      <c r="G83" s="113" t="s">
        <v>439</v>
      </c>
      <c r="H83" s="145"/>
      <c r="I83" s="145"/>
      <c r="J83" s="145">
        <f t="shared" ref="J83:N84" si="0">J69 + J77</f>
        <v>34418753.081176274</v>
      </c>
      <c r="K83" s="145">
        <f t="shared" si="0"/>
        <v>31013311.57566667</v>
      </c>
      <c r="L83" s="145">
        <f t="shared" si="0"/>
        <v>17419406.622028105</v>
      </c>
      <c r="M83" s="145">
        <f t="shared" si="0"/>
        <v>45257721.484978288</v>
      </c>
      <c r="N83" s="145">
        <f t="shared" si="0"/>
        <v>61383900.161658145</v>
      </c>
      <c r="O83" s="74"/>
      <c r="P83" s="73"/>
      <c r="Q83" s="42"/>
    </row>
    <row r="84" spans="1:17" x14ac:dyDescent="0.25">
      <c r="A84" s="73"/>
      <c r="B84" s="73"/>
      <c r="C84" s="73"/>
      <c r="D84" s="73"/>
      <c r="E84" s="73"/>
      <c r="F84" s="117" t="s">
        <v>268</v>
      </c>
      <c r="G84" s="117" t="s">
        <v>439</v>
      </c>
      <c r="H84" s="146"/>
      <c r="I84" s="147"/>
      <c r="J84" s="147">
        <f t="shared" si="0"/>
        <v>34934787.826348573</v>
      </c>
      <c r="K84" s="147">
        <f t="shared" si="0"/>
        <v>32068736.580086611</v>
      </c>
      <c r="L84" s="147">
        <f t="shared" si="0"/>
        <v>18057947.045210704</v>
      </c>
      <c r="M84" s="147">
        <f t="shared" si="0"/>
        <v>46766810.06734854</v>
      </c>
      <c r="N84" s="147">
        <f t="shared" si="0"/>
        <v>57664811.406513043</v>
      </c>
      <c r="O84" s="74"/>
      <c r="P84" s="73"/>
      <c r="Q84" s="42"/>
    </row>
    <row r="85" spans="1:1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2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25">
      <c r="A88" s="73"/>
      <c r="B88" s="73"/>
      <c r="C88" s="109" t="s">
        <v>719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2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25">
      <c r="A90" s="73"/>
      <c r="B90" s="101"/>
      <c r="C90" s="110" t="s">
        <v>655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2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2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2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2243.4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2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3311.5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2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11379.3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2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2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2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2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2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2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13595.9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567</v>
      </c>
      <c r="Q102" s="42"/>
    </row>
    <row r="103" spans="1:17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2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891.2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2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25">
      <c r="A106" s="73"/>
      <c r="B106" s="73"/>
      <c r="C106" s="73"/>
      <c r="D106" s="73"/>
      <c r="E106" s="115" t="s">
        <v>531</v>
      </c>
      <c r="F106" s="73"/>
      <c r="G106" s="115" t="s">
        <v>471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2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2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2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2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2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2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25">
      <c r="A114" s="115"/>
      <c r="B114" s="73"/>
      <c r="C114" s="73"/>
      <c r="D114" s="73"/>
      <c r="E114" s="73"/>
      <c r="F114" s="113" t="s">
        <v>542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0.95386240172291203</v>
      </c>
      <c r="O114" s="74"/>
      <c r="P114" s="115" t="s">
        <v>567</v>
      </c>
      <c r="Q114" s="42"/>
    </row>
    <row r="115" spans="1:17" x14ac:dyDescent="0.25">
      <c r="A115" s="115"/>
      <c r="B115" s="73"/>
      <c r="C115" s="73"/>
      <c r="D115" s="73"/>
      <c r="E115" s="73"/>
      <c r="F115" s="115" t="s">
        <v>543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0.96924160114860802</v>
      </c>
      <c r="N115" s="190">
        <f>IF($H$106, ($H$102 + $H110 * $H$104) / ($H$102 + $H$104), N$116)</f>
        <v>0.96924160114860802</v>
      </c>
      <c r="O115" s="74"/>
      <c r="P115" s="115" t="s">
        <v>567</v>
      </c>
      <c r="Q115" s="42"/>
    </row>
    <row r="116" spans="1:17" x14ac:dyDescent="0.25">
      <c r="A116" s="115"/>
      <c r="B116" s="73"/>
      <c r="C116" s="73"/>
      <c r="D116" s="73"/>
      <c r="E116" s="73"/>
      <c r="F116" s="117" t="s">
        <v>544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567</v>
      </c>
      <c r="Q116" s="42"/>
    </row>
    <row r="117" spans="1:17" x14ac:dyDescent="0.2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2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11379.3</v>
      </c>
      <c r="K118" s="130">
        <f>SUMPRODUCT($H93:$H95, K114:K116)</f>
        <v>11379.3</v>
      </c>
      <c r="L118" s="130">
        <f>SUMPRODUCT($H93:$H95, L114:L116)</f>
        <v>11379.3</v>
      </c>
      <c r="M118" s="130">
        <f>SUMPRODUCT($H93:$H95, M114:M116)</f>
        <v>14588.943562203614</v>
      </c>
      <c r="N118" s="130">
        <f>SUMPRODUCT($H93:$H95, N114:N116)</f>
        <v>16728.838474228796</v>
      </c>
      <c r="O118" s="74"/>
      <c r="P118" s="115" t="s">
        <v>581</v>
      </c>
      <c r="Q118" s="42"/>
    </row>
    <row r="119" spans="1:1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25">
      <c r="A120" s="73"/>
      <c r="B120" s="73"/>
      <c r="C120" s="73"/>
      <c r="D120" s="73"/>
      <c r="E120" s="115" t="s">
        <v>472</v>
      </c>
      <c r="F120" s="73"/>
      <c r="G120" s="115" t="s">
        <v>471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2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2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25">
      <c r="A124" s="73"/>
      <c r="B124" s="73"/>
      <c r="C124" s="109" t="s">
        <v>456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25">
      <c r="A126" s="73"/>
      <c r="B126" s="101"/>
      <c r="C126" s="110" t="s">
        <v>656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25">
      <c r="A128" s="115"/>
      <c r="B128" s="73"/>
      <c r="C128" s="73"/>
      <c r="D128" s="109"/>
      <c r="E128" s="112" t="s">
        <v>411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582</v>
      </c>
      <c r="Q128" s="42"/>
    </row>
    <row r="129" spans="1:17" x14ac:dyDescent="0.25">
      <c r="A129" s="73"/>
      <c r="B129" s="73"/>
      <c r="C129" s="73"/>
      <c r="D129" s="73"/>
      <c r="E129" s="73"/>
      <c r="F129" s="113" t="s">
        <v>267</v>
      </c>
      <c r="G129" s="113" t="s">
        <v>473</v>
      </c>
      <c r="H129" s="145"/>
      <c r="I129" s="145"/>
      <c r="J129" s="145">
        <f t="shared" ref="J129:N130" si="1">IF(J$120, J83 / J$118, 0)</f>
        <v>3024.6810507831128</v>
      </c>
      <c r="K129" s="145">
        <f t="shared" si="1"/>
        <v>2725.4147070265017</v>
      </c>
      <c r="L129" s="145">
        <f t="shared" si="1"/>
        <v>1530.7977311458619</v>
      </c>
      <c r="M129" s="145">
        <f t="shared" si="1"/>
        <v>3102.1931980208615</v>
      </c>
      <c r="N129" s="145">
        <f t="shared" si="1"/>
        <v>3669.3462164884677</v>
      </c>
      <c r="O129" s="74"/>
      <c r="P129" s="73"/>
      <c r="Q129" s="42"/>
    </row>
    <row r="130" spans="1:17" x14ac:dyDescent="0.25">
      <c r="A130" s="73"/>
      <c r="B130" s="73"/>
      <c r="C130" s="73"/>
      <c r="D130" s="73"/>
      <c r="E130" s="73"/>
      <c r="F130" s="117" t="s">
        <v>268</v>
      </c>
      <c r="G130" s="117" t="s">
        <v>473</v>
      </c>
      <c r="H130" s="146"/>
      <c r="I130" s="147"/>
      <c r="J130" s="147">
        <f t="shared" si="1"/>
        <v>3070.0295999181476</v>
      </c>
      <c r="K130" s="147">
        <f t="shared" si="1"/>
        <v>2818.1642614296675</v>
      </c>
      <c r="L130" s="147">
        <f t="shared" si="1"/>
        <v>1586.9119405596746</v>
      </c>
      <c r="M130" s="147">
        <f t="shared" si="1"/>
        <v>3205.6337642233334</v>
      </c>
      <c r="N130" s="147">
        <f t="shared" si="1"/>
        <v>3447.0301985010592</v>
      </c>
      <c r="O130" s="74"/>
      <c r="P130" s="73"/>
      <c r="Q130" s="42"/>
    </row>
    <row r="131" spans="1:17" x14ac:dyDescent="0.2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25">
      <c r="A132" s="115"/>
      <c r="B132" s="73"/>
      <c r="C132" s="73"/>
      <c r="D132" s="73"/>
      <c r="E132" s="112" t="s">
        <v>474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583</v>
      </c>
      <c r="Q132" s="42"/>
    </row>
    <row r="133" spans="1:17" x14ac:dyDescent="0.25">
      <c r="A133" s="73"/>
      <c r="B133" s="73"/>
      <c r="C133" s="73"/>
      <c r="D133" s="73"/>
      <c r="E133" s="73"/>
      <c r="F133" s="113" t="s">
        <v>267</v>
      </c>
      <c r="G133" s="113" t="s">
        <v>473</v>
      </c>
      <c r="H133" s="145">
        <f>SUM(J129:N129)</f>
        <v>14052.432903464805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25">
      <c r="A134" s="73"/>
      <c r="B134" s="73"/>
      <c r="C134" s="73"/>
      <c r="D134" s="73"/>
      <c r="E134" s="73"/>
      <c r="F134" s="117" t="s">
        <v>268</v>
      </c>
      <c r="G134" s="117" t="s">
        <v>473</v>
      </c>
      <c r="H134" s="146">
        <f>SUM(J130:N130)</f>
        <v>14127.769764631883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2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25">
      <c r="A136" s="115"/>
      <c r="B136" s="73"/>
      <c r="C136" s="73"/>
      <c r="D136" s="73"/>
      <c r="E136" s="115" t="s">
        <v>261</v>
      </c>
      <c r="F136" s="215"/>
      <c r="G136" s="115" t="s">
        <v>473</v>
      </c>
      <c r="H136" s="130">
        <f>IF(N120, H64 / N118, 0)</f>
        <v>290.82007142903456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582</v>
      </c>
      <c r="Q136" s="42"/>
    </row>
    <row r="137" spans="1:17" x14ac:dyDescent="0.2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25">
      <c r="A138" s="73"/>
      <c r="B138" s="73"/>
      <c r="C138" s="73"/>
      <c r="D138" s="73"/>
      <c r="E138" s="112" t="s">
        <v>532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25">
      <c r="A139" s="73"/>
      <c r="B139" s="73"/>
      <c r="C139" s="73"/>
      <c r="D139" s="73"/>
      <c r="E139" s="73"/>
      <c r="F139" s="113" t="s">
        <v>267</v>
      </c>
      <c r="G139" s="113" t="s">
        <v>471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25">
      <c r="A140" s="73"/>
      <c r="B140" s="73"/>
      <c r="C140" s="73"/>
      <c r="D140" s="73"/>
      <c r="E140" s="73"/>
      <c r="F140" s="117" t="s">
        <v>268</v>
      </c>
      <c r="G140" s="117" t="s">
        <v>471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25">
      <c r="A142" s="73"/>
      <c r="B142" s="101"/>
      <c r="C142" s="110" t="s">
        <v>657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2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25">
      <c r="A144" s="115"/>
      <c r="B144" s="73"/>
      <c r="C144" s="73"/>
      <c r="D144" s="109"/>
      <c r="E144" s="112" t="s">
        <v>410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583</v>
      </c>
      <c r="Q144" s="42"/>
    </row>
    <row r="145" spans="1:17" x14ac:dyDescent="0.2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0.21087831721837841</v>
      </c>
      <c r="K145" s="180">
        <f t="shared" si="2"/>
        <v>0.19001370970706691</v>
      </c>
      <c r="L145" s="180">
        <f t="shared" si="2"/>
        <v>0.10672598007058381</v>
      </c>
      <c r="M145" s="180">
        <f t="shared" si="2"/>
        <v>0.21628240145041588</v>
      </c>
      <c r="N145" s="180">
        <f t="shared" si="2"/>
        <v>0.25582385131958713</v>
      </c>
      <c r="O145" s="74"/>
      <c r="P145" s="73"/>
      <c r="Q145" s="42"/>
    </row>
    <row r="146" spans="1:17" x14ac:dyDescent="0.2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0.21292162651301713</v>
      </c>
      <c r="K146" s="192">
        <f t="shared" si="2"/>
        <v>0.19545352863713716</v>
      </c>
      <c r="L146" s="192">
        <f t="shared" si="2"/>
        <v>0.11006013477065595</v>
      </c>
      <c r="M146" s="192">
        <f t="shared" si="2"/>
        <v>0.2223264411202015</v>
      </c>
      <c r="N146" s="193">
        <f t="shared" si="2"/>
        <v>0.23906846908704144</v>
      </c>
      <c r="O146" s="74"/>
      <c r="P146" s="73"/>
      <c r="Q146" s="42"/>
    </row>
    <row r="147" spans="1:17" x14ac:dyDescent="0.2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25">
      <c r="A148" s="73"/>
      <c r="B148" s="73"/>
      <c r="C148" s="73"/>
      <c r="D148" s="73"/>
      <c r="E148" s="112" t="s">
        <v>412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2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2.0275740233967884E-2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566</v>
      </c>
      <c r="Q149" s="126"/>
    </row>
    <row r="150" spans="1:17" x14ac:dyDescent="0.2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2.0169799871946774E-2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2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2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25">
      <c r="A153" s="73"/>
      <c r="B153" s="73"/>
      <c r="C153" s="73"/>
      <c r="D153" s="73"/>
      <c r="E153" s="115"/>
      <c r="F153" s="113" t="s">
        <v>267</v>
      </c>
      <c r="G153" s="113" t="s">
        <v>44</v>
      </c>
      <c r="H153" s="195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25">
      <c r="A154" s="73"/>
      <c r="B154" s="73"/>
      <c r="C154" s="73"/>
      <c r="D154" s="73"/>
      <c r="E154" s="115"/>
      <c r="F154" s="117" t="s">
        <v>268</v>
      </c>
      <c r="G154" s="117" t="s">
        <v>44</v>
      </c>
      <c r="H154" s="199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2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25">
      <c r="A156" s="73"/>
      <c r="B156" s="101"/>
      <c r="C156" s="110" t="s">
        <v>658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2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25">
      <c r="A158" s="73"/>
      <c r="B158" s="73"/>
      <c r="C158" s="73"/>
      <c r="D158" s="73"/>
      <c r="E158" s="115" t="s">
        <v>257</v>
      </c>
      <c r="F158" s="200"/>
      <c r="G158" s="115" t="s">
        <v>44</v>
      </c>
      <c r="H158" s="154">
        <f>H149</f>
        <v>2.0275740233967884E-2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566</v>
      </c>
      <c r="Q158" s="42"/>
    </row>
    <row r="159" spans="1:17" x14ac:dyDescent="0.2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25">
      <c r="A160" s="73"/>
      <c r="B160" s="101"/>
      <c r="C160" s="110" t="s">
        <v>659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2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25">
      <c r="A162" s="73"/>
      <c r="B162" s="73"/>
      <c r="C162" s="73"/>
      <c r="D162" s="109"/>
      <c r="E162" s="112" t="str">
        <f>MEAV!E89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25">
      <c r="A163" s="73"/>
      <c r="B163" s="73"/>
      <c r="C163" s="73"/>
      <c r="D163" s="73"/>
      <c r="E163" s="73"/>
      <c r="F163" s="113" t="str">
        <f>MEAV!F90</f>
        <v>EHV/HV</v>
      </c>
      <c r="G163" s="113" t="str">
        <f>MEAV!G90</f>
        <v>%</v>
      </c>
      <c r="H163" s="172">
        <f>MEAV!H90</f>
        <v>0.28736572089881068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25">
      <c r="A164" s="73"/>
      <c r="B164" s="73"/>
      <c r="C164" s="73"/>
      <c r="D164" s="73"/>
      <c r="E164" s="73"/>
      <c r="F164" s="115" t="str">
        <f>MEAV!F91</f>
        <v>EHV</v>
      </c>
      <c r="G164" s="115" t="str">
        <f>MEAV!G91</f>
        <v>%</v>
      </c>
      <c r="H164" s="166">
        <f>MEAV!H91</f>
        <v>0.29486328632577991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25">
      <c r="A165" s="73"/>
      <c r="B165" s="73"/>
      <c r="C165" s="73"/>
      <c r="D165" s="73"/>
      <c r="E165" s="73"/>
      <c r="F165" s="115" t="str">
        <f>MEAV!F92</f>
        <v>132kV/EHV</v>
      </c>
      <c r="G165" s="115" t="str">
        <f>MEAV!G92</f>
        <v>%</v>
      </c>
      <c r="H165" s="166">
        <f>MEAV!H92</f>
        <v>0.2160349265024103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25">
      <c r="A166" s="73"/>
      <c r="B166" s="73"/>
      <c r="C166" s="73"/>
      <c r="D166" s="73"/>
      <c r="E166" s="73"/>
      <c r="F166" s="117" t="str">
        <f>MEAV!F93</f>
        <v>132kV</v>
      </c>
      <c r="G166" s="117" t="str">
        <f>MEAV!G93</f>
        <v>%</v>
      </c>
      <c r="H166" s="173">
        <f>MEAV!H93</f>
        <v>0.20173606627299909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2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2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2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0.40089202692544534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2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10">
        <f>L145</f>
        <v>0.10672598007058381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2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0.21628240145041588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2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7.3515005457563315E-2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572</v>
      </c>
      <c r="Q172" s="42"/>
    </row>
    <row r="173" spans="1:17" x14ac:dyDescent="0.2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7.5433061520611161E-2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572</v>
      </c>
      <c r="Q173" s="42"/>
    </row>
    <row r="174" spans="1:17" x14ac:dyDescent="0.2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5.5266886917390547E-2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572</v>
      </c>
      <c r="Q174" s="42"/>
    </row>
    <row r="175" spans="1:17" x14ac:dyDescent="0.2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5.1608897424022096E-2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572</v>
      </c>
      <c r="Q175" s="42"/>
    </row>
    <row r="176" spans="1:17" x14ac:dyDescent="0.2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2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2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5.1608897424022096E-2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2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5.5266886917390547E-2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2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7.5433061520611161E-2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2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7.3515005457563315E-2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2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0.21628240145041588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2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0.10672598007058381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2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0.40089202692544534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2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2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2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1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2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2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497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498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734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454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455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660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14622655.718</v>
      </c>
      <c r="K21" s="156">
        <f>Expenditure!K133</f>
        <v>9000000.0000000019</v>
      </c>
      <c r="L21" s="156">
        <f>Expenditure!L133</f>
        <v>538316.77825879434</v>
      </c>
      <c r="M21" s="156">
        <f>Expenditure!M133</f>
        <v>1740987.7276392083</v>
      </c>
      <c r="N21" s="156">
        <f>Expenditure!N133</f>
        <v>2051268.2645960758</v>
      </c>
      <c r="O21" s="156">
        <f>Expenditure!O133</f>
        <v>300000</v>
      </c>
      <c r="P21" s="156">
        <f>Expenditure!P133</f>
        <v>51268.264596075664</v>
      </c>
      <c r="Q21" s="156">
        <f>Expenditure!Q133</f>
        <v>512682.64596075664</v>
      </c>
      <c r="R21" s="156">
        <f>Expenditure!R133</f>
        <v>333243.7198744918</v>
      </c>
      <c r="S21" s="156">
        <f>Expenditure!S133</f>
        <v>1384243.1440940427</v>
      </c>
      <c r="T21" s="156">
        <f>Expenditure!T133</f>
        <v>333243.7198744918</v>
      </c>
      <c r="U21" s="156">
        <f>Expenditure!U133</f>
        <v>179438.92608626481</v>
      </c>
      <c r="V21" s="156">
        <f>Expenditure!V133</f>
        <v>153804.79378822702</v>
      </c>
      <c r="W21" s="156">
        <f>Expenditure!W133</f>
        <v>89719.463043132404</v>
      </c>
      <c r="X21" s="156">
        <f>Expenditure!X133</f>
        <v>384511.98447056749</v>
      </c>
      <c r="Y21" s="156">
        <f>Expenditure!Y133</f>
        <v>0</v>
      </c>
      <c r="Z21" s="156">
        <f>Expenditure!Z133</f>
        <v>0</v>
      </c>
      <c r="AA21" s="156">
        <f>Expenditure!AA133</f>
        <v>128170.66149018916</v>
      </c>
      <c r="AB21" s="156">
        <f>Expenditure!AB133</f>
        <v>115353.59534117025</v>
      </c>
      <c r="AC21" s="156">
        <f>Expenditure!AC133</f>
        <v>756206.90279211605</v>
      </c>
      <c r="AD21" s="156">
        <f>Expenditure!AD133</f>
        <v>217890.12453332159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2">
        <f>Expenditure!J139</f>
        <v>3704076.4857794475</v>
      </c>
      <c r="K22" s="202">
        <f>Expenditure!K139</f>
        <v>11300000</v>
      </c>
      <c r="L22" s="202">
        <f>Expenditure!L139</f>
        <v>1027366.7680900212</v>
      </c>
      <c r="M22" s="202">
        <f>Expenditure!M139</f>
        <v>4669072.2487854827</v>
      </c>
      <c r="N22" s="202">
        <f>Expenditure!N139</f>
        <v>297844.45410381153</v>
      </c>
      <c r="O22" s="202">
        <f>Expenditure!O139</f>
        <v>1900000</v>
      </c>
      <c r="P22" s="202">
        <f>Expenditure!P139</f>
        <v>97844.454103811557</v>
      </c>
      <c r="Q22" s="202">
        <f>Expenditure!Q139</f>
        <v>978444.54103811563</v>
      </c>
      <c r="R22" s="202">
        <f>Expenditure!R139</f>
        <v>635988.9516747751</v>
      </c>
      <c r="S22" s="202">
        <f>Expenditure!S139</f>
        <v>2641800.2608029116</v>
      </c>
      <c r="T22" s="202">
        <f>Expenditure!T139</f>
        <v>635988.9516747751</v>
      </c>
      <c r="U22" s="202">
        <f>Expenditure!U139</f>
        <v>342455.58936334046</v>
      </c>
      <c r="V22" s="202">
        <f>Expenditure!V139</f>
        <v>293533.36231143476</v>
      </c>
      <c r="W22" s="202">
        <f>Expenditure!W139</f>
        <v>171227.79468167023</v>
      </c>
      <c r="X22" s="202">
        <f>Expenditure!X139</f>
        <v>733833.40577858675</v>
      </c>
      <c r="Y22" s="202">
        <f>Expenditure!Y139</f>
        <v>0</v>
      </c>
      <c r="Z22" s="202">
        <f>Expenditure!Z139</f>
        <v>0</v>
      </c>
      <c r="AA22" s="202">
        <f>Expenditure!AA139</f>
        <v>244611.13525952891</v>
      </c>
      <c r="AB22" s="202">
        <f>Expenditure!AB139</f>
        <v>220150.02173357605</v>
      </c>
      <c r="AC22" s="202">
        <f>Expenditure!AC139</f>
        <v>1443205.6980312206</v>
      </c>
      <c r="AD22" s="202">
        <f>Expenditure!AD139</f>
        <v>415838.9299411992</v>
      </c>
      <c r="AE22" s="202">
        <f>Expenditure!AE139</f>
        <v>0</v>
      </c>
      <c r="AF22" s="202">
        <f>Expenditure!AF139</f>
        <v>0</v>
      </c>
      <c r="AG22" s="202">
        <f>Expenditure!AG139</f>
        <v>0</v>
      </c>
      <c r="AH22" s="202">
        <f>Expenditure!AH139</f>
        <v>0</v>
      </c>
      <c r="AI22" s="202">
        <f>Expenditure!AI139</f>
        <v>0</v>
      </c>
      <c r="AJ22" s="202">
        <f>Expenditure!AJ139</f>
        <v>0</v>
      </c>
      <c r="AK22" s="202">
        <f>Expenditure!AK139</f>
        <v>0</v>
      </c>
      <c r="AL22" s="202">
        <f>Expenditure!AL139</f>
        <v>0</v>
      </c>
      <c r="AM22" s="202">
        <f>Expenditure!AM139</f>
        <v>0</v>
      </c>
      <c r="AN22" s="202">
        <f>Expenditure!AN139</f>
        <v>0</v>
      </c>
      <c r="AO22" s="202">
        <f>Expenditure!AO139</f>
        <v>0</v>
      </c>
      <c r="AP22" s="202">
        <f>Expenditure!AP139</f>
        <v>0</v>
      </c>
      <c r="AQ22" s="202">
        <f>Expenditure!AQ139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7717012.9362415802</v>
      </c>
      <c r="L23" s="152">
        <f>Expenditure!L136</f>
        <v>1697711.3829495739</v>
      </c>
      <c r="M23" s="152">
        <f>Expenditure!M136</f>
        <v>7389950.338151834</v>
      </c>
      <c r="N23" s="152">
        <f>Expenditure!N136</f>
        <v>512460.11365985812</v>
      </c>
      <c r="O23" s="152">
        <f>Expenditure!O136</f>
        <v>2174794.5547589906</v>
      </c>
      <c r="P23" s="152">
        <f>Expenditure!P136</f>
        <v>161686.79837614993</v>
      </c>
      <c r="Q23" s="152">
        <f>Expenditure!Q136</f>
        <v>1616867.9837614994</v>
      </c>
      <c r="R23" s="152">
        <f>Expenditure!R136</f>
        <v>1050964.1894449745</v>
      </c>
      <c r="S23" s="152">
        <f>Expenditure!S136</f>
        <v>4365543.5561560476</v>
      </c>
      <c r="T23" s="152">
        <f>Expenditure!T136</f>
        <v>1050964.1894449745</v>
      </c>
      <c r="U23" s="152">
        <f>Expenditure!U136</f>
        <v>565903.79431652476</v>
      </c>
      <c r="V23" s="152">
        <f>Expenditure!V136</f>
        <v>485060.39512844995</v>
      </c>
      <c r="W23" s="152">
        <f>Expenditure!W136</f>
        <v>282951.89715826238</v>
      </c>
      <c r="X23" s="152">
        <f>Expenditure!X136</f>
        <v>1212650.9878211245</v>
      </c>
      <c r="Y23" s="152">
        <f>Expenditure!Y136</f>
        <v>0</v>
      </c>
      <c r="Z23" s="152">
        <f>Expenditure!Z136</f>
        <v>0</v>
      </c>
      <c r="AA23" s="152">
        <f>Expenditure!AA136</f>
        <v>404216.99594037485</v>
      </c>
      <c r="AB23" s="152">
        <f>Expenditure!AB136</f>
        <v>363795.29634633742</v>
      </c>
      <c r="AC23" s="152">
        <f>Expenditure!AC136</f>
        <v>2384880.2760482118</v>
      </c>
      <c r="AD23" s="152">
        <f>Expenditure!AD136</f>
        <v>687168.89309863735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900000</v>
      </c>
      <c r="AQ23" s="152">
        <f>Expenditure!AQ136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2097795.2788739572</v>
      </c>
      <c r="K24" s="162">
        <f>Expenditure!K137</f>
        <v>3282987.0637584198</v>
      </c>
      <c r="L24" s="162">
        <f>Expenditure!L137</f>
        <v>722243.76896449272</v>
      </c>
      <c r="M24" s="162">
        <f>Expenditure!M137</f>
        <v>3143847.4397304207</v>
      </c>
      <c r="N24" s="162">
        <f>Expenditure!N137</f>
        <v>218011.80557005299</v>
      </c>
      <c r="O24" s="162">
        <f>Expenditure!O137</f>
        <v>925205.44524100935</v>
      </c>
      <c r="P24" s="162">
        <f>Expenditure!P137</f>
        <v>68785.120853761226</v>
      </c>
      <c r="Q24" s="162">
        <f>Expenditure!Q137</f>
        <v>687851.20853761223</v>
      </c>
      <c r="R24" s="162">
        <f>Expenditure!R137</f>
        <v>447103.28554944799</v>
      </c>
      <c r="S24" s="162">
        <f>Expenditure!S137</f>
        <v>1857198.2630515529</v>
      </c>
      <c r="T24" s="162">
        <f>Expenditure!T137</f>
        <v>447103.28554944799</v>
      </c>
      <c r="U24" s="162">
        <f>Expenditure!U137</f>
        <v>240747.9229881643</v>
      </c>
      <c r="V24" s="162">
        <f>Expenditure!V137</f>
        <v>206355.36256128372</v>
      </c>
      <c r="W24" s="162">
        <f>Expenditure!W137</f>
        <v>120373.96149408215</v>
      </c>
      <c r="X24" s="162">
        <f>Expenditure!X137</f>
        <v>515888.4064032092</v>
      </c>
      <c r="Y24" s="162">
        <f>Expenditure!Y137</f>
        <v>0</v>
      </c>
      <c r="Z24" s="162">
        <f>Expenditure!Z137</f>
        <v>0</v>
      </c>
      <c r="AA24" s="162">
        <f>Expenditure!AA137</f>
        <v>171962.80213440306</v>
      </c>
      <c r="AB24" s="162">
        <f>Expenditure!AB137</f>
        <v>154766.52192096278</v>
      </c>
      <c r="AC24" s="162">
        <f>Expenditure!AC137</f>
        <v>1014580.5325929781</v>
      </c>
      <c r="AD24" s="162">
        <f>Expenditure!AD137</f>
        <v>292336.76362848526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2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584</v>
      </c>
      <c r="AT26" s="42"/>
    </row>
    <row r="27" spans="1:46" x14ac:dyDescent="0.25">
      <c r="A27" s="73"/>
      <c r="B27" s="73"/>
      <c r="C27" s="73"/>
      <c r="D27" s="73"/>
      <c r="E27" s="73"/>
      <c r="F27" s="113" t="s">
        <v>291</v>
      </c>
      <c r="G27" s="113" t="s">
        <v>439</v>
      </c>
      <c r="H27" s="145"/>
      <c r="I27" s="145"/>
      <c r="J27" s="145">
        <f t="shared" ref="J27:AQ27" si="0">MAX(J21, 0)</f>
        <v>14622655.718</v>
      </c>
      <c r="K27" s="145">
        <f t="shared" si="0"/>
        <v>9000000.0000000019</v>
      </c>
      <c r="L27" s="145">
        <f t="shared" si="0"/>
        <v>538316.77825879434</v>
      </c>
      <c r="M27" s="145">
        <f t="shared" si="0"/>
        <v>1740987.7276392083</v>
      </c>
      <c r="N27" s="145">
        <f t="shared" si="0"/>
        <v>2051268.2645960758</v>
      </c>
      <c r="O27" s="145">
        <f t="shared" si="0"/>
        <v>300000</v>
      </c>
      <c r="P27" s="145">
        <f t="shared" si="0"/>
        <v>51268.264596075664</v>
      </c>
      <c r="Q27" s="145">
        <f t="shared" si="0"/>
        <v>512682.64596075664</v>
      </c>
      <c r="R27" s="145">
        <f t="shared" si="0"/>
        <v>333243.7198744918</v>
      </c>
      <c r="S27" s="145">
        <f t="shared" si="0"/>
        <v>1384243.1440940427</v>
      </c>
      <c r="T27" s="145">
        <f t="shared" si="0"/>
        <v>333243.7198744918</v>
      </c>
      <c r="U27" s="145">
        <f t="shared" si="0"/>
        <v>179438.92608626481</v>
      </c>
      <c r="V27" s="145">
        <f t="shared" si="0"/>
        <v>153804.79378822702</v>
      </c>
      <c r="W27" s="145">
        <f t="shared" si="0"/>
        <v>89719.463043132404</v>
      </c>
      <c r="X27" s="145">
        <f t="shared" si="0"/>
        <v>384511.98447056749</v>
      </c>
      <c r="Y27" s="145">
        <f t="shared" si="0"/>
        <v>0</v>
      </c>
      <c r="Z27" s="145">
        <f t="shared" si="0"/>
        <v>0</v>
      </c>
      <c r="AA27" s="145">
        <f t="shared" si="0"/>
        <v>128170.66149018916</v>
      </c>
      <c r="AB27" s="145">
        <f t="shared" si="0"/>
        <v>115353.59534117025</v>
      </c>
      <c r="AC27" s="145">
        <f t="shared" si="0"/>
        <v>756206.90279211605</v>
      </c>
      <c r="AD27" s="145">
        <f t="shared" si="0"/>
        <v>217890.12453332159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5" t="s">
        <v>285</v>
      </c>
      <c r="G28" s="115" t="s">
        <v>439</v>
      </c>
      <c r="H28" s="130"/>
      <c r="I28" s="130"/>
      <c r="J28" s="130">
        <f t="shared" ref="J28:AQ28" si="2">MAX(J22, 0)</f>
        <v>3704076.4857794475</v>
      </c>
      <c r="K28" s="130">
        <f t="shared" si="2"/>
        <v>11300000</v>
      </c>
      <c r="L28" s="130">
        <f t="shared" si="2"/>
        <v>1027366.7680900212</v>
      </c>
      <c r="M28" s="130">
        <f t="shared" si="2"/>
        <v>4669072.2487854827</v>
      </c>
      <c r="N28" s="130">
        <f t="shared" si="2"/>
        <v>297844.45410381153</v>
      </c>
      <c r="O28" s="130">
        <f t="shared" si="2"/>
        <v>1900000</v>
      </c>
      <c r="P28" s="130">
        <f t="shared" si="2"/>
        <v>97844.454103811557</v>
      </c>
      <c r="Q28" s="130">
        <f t="shared" si="2"/>
        <v>978444.54103811563</v>
      </c>
      <c r="R28" s="130">
        <f t="shared" si="2"/>
        <v>635988.9516747751</v>
      </c>
      <c r="S28" s="130">
        <f t="shared" si="2"/>
        <v>2641800.2608029116</v>
      </c>
      <c r="T28" s="130">
        <f t="shared" si="2"/>
        <v>635988.9516747751</v>
      </c>
      <c r="U28" s="130">
        <f t="shared" si="2"/>
        <v>342455.58936334046</v>
      </c>
      <c r="V28" s="130">
        <f t="shared" si="2"/>
        <v>293533.36231143476</v>
      </c>
      <c r="W28" s="130">
        <f t="shared" si="2"/>
        <v>171227.79468167023</v>
      </c>
      <c r="X28" s="130">
        <f t="shared" si="2"/>
        <v>733833.40577858675</v>
      </c>
      <c r="Y28" s="130">
        <f t="shared" si="2"/>
        <v>0</v>
      </c>
      <c r="Z28" s="130">
        <f t="shared" si="2"/>
        <v>0</v>
      </c>
      <c r="AA28" s="130">
        <f t="shared" si="2"/>
        <v>244611.13525952891</v>
      </c>
      <c r="AB28" s="130">
        <f t="shared" si="2"/>
        <v>220150.02173357605</v>
      </c>
      <c r="AC28" s="130">
        <f t="shared" si="2"/>
        <v>1443205.6980312206</v>
      </c>
      <c r="AD28" s="130">
        <f t="shared" si="2"/>
        <v>415838.9299411992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">
        <v>282</v>
      </c>
      <c r="G29" s="115" t="s">
        <v>439</v>
      </c>
      <c r="H29" s="130"/>
      <c r="I29" s="130"/>
      <c r="J29" s="130">
        <f t="shared" ref="J29:AQ29" si="4">MAX(J23, 0)</f>
        <v>0</v>
      </c>
      <c r="K29" s="130">
        <f t="shared" si="4"/>
        <v>7717012.9362415802</v>
      </c>
      <c r="L29" s="130">
        <f t="shared" si="4"/>
        <v>1697711.3829495739</v>
      </c>
      <c r="M29" s="130">
        <f t="shared" si="4"/>
        <v>7389950.338151834</v>
      </c>
      <c r="N29" s="130">
        <f t="shared" si="4"/>
        <v>512460.11365985812</v>
      </c>
      <c r="O29" s="130">
        <f t="shared" si="4"/>
        <v>2174794.5547589906</v>
      </c>
      <c r="P29" s="130">
        <f t="shared" si="4"/>
        <v>161686.79837614993</v>
      </c>
      <c r="Q29" s="130">
        <f t="shared" si="4"/>
        <v>1616867.9837614994</v>
      </c>
      <c r="R29" s="130">
        <f t="shared" si="4"/>
        <v>1050964.1894449745</v>
      </c>
      <c r="S29" s="130">
        <f t="shared" si="4"/>
        <v>4365543.5561560476</v>
      </c>
      <c r="T29" s="130">
        <f t="shared" si="4"/>
        <v>1050964.1894449745</v>
      </c>
      <c r="U29" s="130">
        <f t="shared" si="4"/>
        <v>565903.79431652476</v>
      </c>
      <c r="V29" s="130">
        <f t="shared" si="4"/>
        <v>485060.39512844995</v>
      </c>
      <c r="W29" s="130">
        <f t="shared" si="4"/>
        <v>282951.89715826238</v>
      </c>
      <c r="X29" s="130">
        <f t="shared" si="4"/>
        <v>1212650.9878211245</v>
      </c>
      <c r="Y29" s="130">
        <f t="shared" si="4"/>
        <v>0</v>
      </c>
      <c r="Z29" s="130">
        <f t="shared" si="4"/>
        <v>0</v>
      </c>
      <c r="AA29" s="130">
        <f t="shared" si="4"/>
        <v>404216.99594037485</v>
      </c>
      <c r="AB29" s="130">
        <f t="shared" si="4"/>
        <v>363795.29634633742</v>
      </c>
      <c r="AC29" s="130">
        <f t="shared" si="4"/>
        <v>2384880.2760482118</v>
      </c>
      <c r="AD29" s="130">
        <f t="shared" si="4"/>
        <v>687168.89309863735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900000</v>
      </c>
      <c r="AQ29" s="130">
        <f t="shared" si="4"/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7" t="s">
        <v>283</v>
      </c>
      <c r="G30" s="117" t="s">
        <v>439</v>
      </c>
      <c r="H30" s="146"/>
      <c r="I30" s="147"/>
      <c r="J30" s="147">
        <f t="shared" ref="J30:AQ30" si="6">MAX(J24, 0)</f>
        <v>2097795.2788739572</v>
      </c>
      <c r="K30" s="147">
        <f t="shared" si="6"/>
        <v>3282987.0637584198</v>
      </c>
      <c r="L30" s="147">
        <f t="shared" si="6"/>
        <v>722243.76896449272</v>
      </c>
      <c r="M30" s="147">
        <f t="shared" si="6"/>
        <v>3143847.4397304207</v>
      </c>
      <c r="N30" s="147">
        <f t="shared" si="6"/>
        <v>218011.80557005299</v>
      </c>
      <c r="O30" s="147">
        <f t="shared" si="6"/>
        <v>925205.44524100935</v>
      </c>
      <c r="P30" s="147">
        <f t="shared" si="6"/>
        <v>68785.120853761226</v>
      </c>
      <c r="Q30" s="147">
        <f t="shared" si="6"/>
        <v>687851.20853761223</v>
      </c>
      <c r="R30" s="147">
        <f t="shared" si="6"/>
        <v>447103.28554944799</v>
      </c>
      <c r="S30" s="147">
        <f t="shared" si="6"/>
        <v>1857198.2630515529</v>
      </c>
      <c r="T30" s="147">
        <f t="shared" si="6"/>
        <v>447103.28554944799</v>
      </c>
      <c r="U30" s="147">
        <f t="shared" si="6"/>
        <v>240747.9229881643</v>
      </c>
      <c r="V30" s="147">
        <f t="shared" si="6"/>
        <v>206355.36256128372</v>
      </c>
      <c r="W30" s="147">
        <f t="shared" si="6"/>
        <v>120373.96149408215</v>
      </c>
      <c r="X30" s="147">
        <f t="shared" si="6"/>
        <v>515888.4064032092</v>
      </c>
      <c r="Y30" s="147">
        <f t="shared" si="6"/>
        <v>0</v>
      </c>
      <c r="Z30" s="147">
        <f t="shared" si="6"/>
        <v>0</v>
      </c>
      <c r="AA30" s="147">
        <f t="shared" si="6"/>
        <v>171962.80213440306</v>
      </c>
      <c r="AB30" s="147">
        <f t="shared" si="6"/>
        <v>154766.52192096278</v>
      </c>
      <c r="AC30" s="147">
        <f t="shared" si="6"/>
        <v>1014580.5325929781</v>
      </c>
      <c r="AD30" s="147">
        <f t="shared" si="6"/>
        <v>292336.76362848526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25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25">
      <c r="A35" s="115"/>
      <c r="B35" s="73"/>
      <c r="C35" s="73"/>
      <c r="D35" s="73"/>
      <c r="E35" s="73"/>
      <c r="F35" s="113" t="s">
        <v>291</v>
      </c>
      <c r="G35" s="113" t="s">
        <v>439</v>
      </c>
      <c r="H35" s="145">
        <f>SUM(J27:AQ27)</f>
        <v>32893006.434438925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585</v>
      </c>
      <c r="AT35" s="42"/>
    </row>
    <row r="36" spans="1:46" x14ac:dyDescent="0.25">
      <c r="A36" s="115"/>
      <c r="B36" s="73"/>
      <c r="C36" s="73"/>
      <c r="D36" s="73"/>
      <c r="E36" s="73"/>
      <c r="F36" s="115" t="s">
        <v>285</v>
      </c>
      <c r="G36" s="115" t="s">
        <v>439</v>
      </c>
      <c r="H36" s="130">
        <f>SUM(J28:AQ28)</f>
        <v>31753283.053153705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586</v>
      </c>
      <c r="AT36" s="42"/>
    </row>
    <row r="37" spans="1:46" x14ac:dyDescent="0.25">
      <c r="A37" s="115"/>
      <c r="B37" s="73"/>
      <c r="C37" s="73"/>
      <c r="D37" s="73"/>
      <c r="E37" s="73"/>
      <c r="F37" s="115" t="s">
        <v>282</v>
      </c>
      <c r="G37" s="115" t="s">
        <v>439</v>
      </c>
      <c r="H37" s="130">
        <f>SUM(J29:AQ29)</f>
        <v>35024584.578803413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587</v>
      </c>
      <c r="AT37" s="42"/>
    </row>
    <row r="38" spans="1:46" x14ac:dyDescent="0.25">
      <c r="A38" s="115"/>
      <c r="B38" s="73"/>
      <c r="C38" s="73"/>
      <c r="D38" s="73"/>
      <c r="E38" s="73"/>
      <c r="F38" s="117" t="s">
        <v>283</v>
      </c>
      <c r="G38" s="117" t="s">
        <v>439</v>
      </c>
      <c r="H38" s="146">
        <f>SUM(J30:AQ30)</f>
        <v>16615144.239403749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587</v>
      </c>
      <c r="AT38" s="42"/>
    </row>
    <row r="39" spans="1:46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3">
        <f>'Fixed inputs'!H140</f>
        <v>1</v>
      </c>
      <c r="K40" s="203">
        <f>'Fixed inputs'!H141</f>
        <v>1</v>
      </c>
      <c r="L40" s="203">
        <f>'Fixed inputs'!H142</f>
        <v>1</v>
      </c>
      <c r="M40" s="203">
        <f>'Fixed inputs'!H143</f>
        <v>1</v>
      </c>
      <c r="N40" s="203">
        <f>'Fixed inputs'!H144</f>
        <v>1</v>
      </c>
      <c r="O40" s="203">
        <f>'Fixed inputs'!H145</f>
        <v>1</v>
      </c>
      <c r="P40" s="203">
        <f>'Fixed inputs'!H146</f>
        <v>0</v>
      </c>
      <c r="Q40" s="203">
        <f>'Fixed inputs'!H147</f>
        <v>0</v>
      </c>
      <c r="R40" s="203">
        <f>'Fixed inputs'!H148</f>
        <v>0</v>
      </c>
      <c r="S40" s="203">
        <f>'Fixed inputs'!H149</f>
        <v>0</v>
      </c>
      <c r="T40" s="203">
        <f>'Fixed inputs'!H150</f>
        <v>0</v>
      </c>
      <c r="U40" s="203">
        <f>'Fixed inputs'!H151</f>
        <v>0</v>
      </c>
      <c r="V40" s="203">
        <f>'Fixed inputs'!H152</f>
        <v>0</v>
      </c>
      <c r="W40" s="203">
        <f>'Fixed inputs'!H153</f>
        <v>0</v>
      </c>
      <c r="X40" s="203">
        <f>'Fixed inputs'!H154</f>
        <v>0</v>
      </c>
      <c r="Y40" s="203">
        <f>'Fixed inputs'!H155</f>
        <v>0</v>
      </c>
      <c r="Z40" s="203">
        <f>'Fixed inputs'!H156</f>
        <v>0</v>
      </c>
      <c r="AA40" s="203">
        <f>'Fixed inputs'!H157</f>
        <v>0</v>
      </c>
      <c r="AB40" s="203">
        <f>'Fixed inputs'!H158</f>
        <v>0</v>
      </c>
      <c r="AC40" s="203">
        <f>'Fixed inputs'!H159</f>
        <v>0</v>
      </c>
      <c r="AD40" s="203">
        <f>'Fixed inputs'!H160</f>
        <v>0</v>
      </c>
      <c r="AE40" s="203">
        <f>'Fixed inputs'!H161</f>
        <v>1</v>
      </c>
      <c r="AF40" s="203">
        <f>'Fixed inputs'!H162</f>
        <v>1</v>
      </c>
      <c r="AG40" s="203">
        <f>'Fixed inputs'!H163</f>
        <v>1</v>
      </c>
      <c r="AH40" s="203">
        <f>'Fixed inputs'!H164</f>
        <v>1</v>
      </c>
      <c r="AI40" s="203">
        <f>'Fixed inputs'!H165</f>
        <v>1</v>
      </c>
      <c r="AJ40" s="203">
        <f>'Fixed inputs'!H166</f>
        <v>1</v>
      </c>
      <c r="AK40" s="203">
        <f>'Fixed inputs'!H167</f>
        <v>1</v>
      </c>
      <c r="AL40" s="203">
        <f>'Fixed inputs'!H168</f>
        <v>1</v>
      </c>
      <c r="AM40" s="203">
        <f>'Fixed inputs'!H169</f>
        <v>1</v>
      </c>
      <c r="AN40" s="203">
        <f>'Fixed inputs'!H170</f>
        <v>1</v>
      </c>
      <c r="AO40" s="203">
        <f>'Fixed inputs'!H171</f>
        <v>1</v>
      </c>
      <c r="AP40" s="203">
        <f>'Fixed inputs'!H172</f>
        <v>0</v>
      </c>
      <c r="AQ40" s="203">
        <f>'Fixed inputs'!H173</f>
        <v>1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25">
      <c r="A43" s="115"/>
      <c r="B43" s="73"/>
      <c r="C43" s="73"/>
      <c r="D43" s="73"/>
      <c r="E43" s="73"/>
      <c r="F43" s="113" t="s">
        <v>291</v>
      </c>
      <c r="G43" s="113" t="s">
        <v>439</v>
      </c>
      <c r="H43" s="145">
        <f>SUMPRODUCT(J27:AQ27, J$40:AQ$40)</f>
        <v>28253228.48849408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585</v>
      </c>
      <c r="AT43" s="42"/>
    </row>
    <row r="44" spans="1:46" x14ac:dyDescent="0.25">
      <c r="A44" s="115"/>
      <c r="B44" s="73"/>
      <c r="C44" s="73"/>
      <c r="D44" s="73"/>
      <c r="E44" s="73"/>
      <c r="F44" s="115" t="s">
        <v>285</v>
      </c>
      <c r="G44" s="115" t="s">
        <v>439</v>
      </c>
      <c r="H44" s="130">
        <f>SUMPRODUCT(J28:AQ28, J$40:AQ$40)</f>
        <v>22898359.956758764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586</v>
      </c>
      <c r="AT44" s="42"/>
    </row>
    <row r="45" spans="1:46" x14ac:dyDescent="0.25">
      <c r="A45" s="115"/>
      <c r="B45" s="73"/>
      <c r="C45" s="73"/>
      <c r="D45" s="73"/>
      <c r="E45" s="73"/>
      <c r="F45" s="115" t="s">
        <v>282</v>
      </c>
      <c r="G45" s="115" t="s">
        <v>439</v>
      </c>
      <c r="H45" s="130">
        <f>SUMPRODUCT(J29:AQ29, J$40:AQ$40)</f>
        <v>19491929.32576184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587</v>
      </c>
      <c r="AT45" s="42"/>
    </row>
    <row r="46" spans="1:46" x14ac:dyDescent="0.25">
      <c r="A46" s="115"/>
      <c r="B46" s="73"/>
      <c r="C46" s="73"/>
      <c r="D46" s="73"/>
      <c r="E46" s="73"/>
      <c r="F46" s="117" t="s">
        <v>283</v>
      </c>
      <c r="G46" s="117" t="s">
        <v>439</v>
      </c>
      <c r="H46" s="146">
        <f>SUMPRODUCT(J30:AQ30, J$40:AQ$40)</f>
        <v>10390090.802138355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587</v>
      </c>
      <c r="AT46" s="42"/>
    </row>
    <row r="47" spans="1:46" x14ac:dyDescent="0.2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25">
      <c r="A48" s="73"/>
      <c r="B48" s="73"/>
      <c r="C48" s="73"/>
      <c r="D48" s="73"/>
      <c r="E48" s="112" t="s">
        <v>475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3" t="s">
        <v>291</v>
      </c>
      <c r="G49" s="113" t="s">
        <v>471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115" t="s">
        <v>285</v>
      </c>
      <c r="G50" s="115" t="s">
        <v>471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73"/>
      <c r="F51" s="117" t="s">
        <v>476</v>
      </c>
      <c r="G51" s="117" t="s">
        <v>471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73"/>
      <c r="C53" s="73"/>
      <c r="D53" s="73"/>
      <c r="E53" s="115" t="s">
        <v>477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2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0.85894333024277747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585</v>
      </c>
      <c r="AT56" s="42"/>
    </row>
    <row r="57" spans="1:46" x14ac:dyDescent="0.2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0.72113362005521886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586</v>
      </c>
      <c r="AT57" s="42"/>
    </row>
    <row r="58" spans="1:46" x14ac:dyDescent="0.2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4">
        <f>IF(H51, (H45 + H46) / (H37 + H38), 0)</f>
        <v>0.57866338208508128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587</v>
      </c>
      <c r="AT58" s="42"/>
    </row>
    <row r="59" spans="1:46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45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446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 t="s">
        <v>447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25">
      <c r="A16" s="73"/>
      <c r="B16" s="101"/>
      <c r="C16" s="110" t="s">
        <v>671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5.1608897424022096E-2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2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5.5266886917390547E-2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2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7.5433061520611161E-2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2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7.3515005457563315E-2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2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0.21628240145041588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2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0.10672598007058381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2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0.40089202692544534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2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2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25">
      <c r="A29" s="73"/>
      <c r="B29" s="73"/>
      <c r="C29" s="109" t="s">
        <v>448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449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73"/>
      <c r="B32" s="101"/>
      <c r="C32" s="110" t="s">
        <v>662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450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25">
      <c r="A35" s="73"/>
      <c r="B35" s="73"/>
      <c r="C35" s="73"/>
      <c r="D35" s="109" t="s">
        <v>451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2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5">
        <f>'Fixed inputs'!J396</f>
        <v>1</v>
      </c>
      <c r="K38" s="205">
        <f>'Fixed inputs'!K396</f>
        <v>1</v>
      </c>
      <c r="L38" s="205">
        <f>'Fixed inputs'!L396</f>
        <v>1</v>
      </c>
      <c r="M38" s="205">
        <f>'Fixed inputs'!M396</f>
        <v>1</v>
      </c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3">
        <f>'Fixed inputs'!J397</f>
        <v>1</v>
      </c>
      <c r="K39" s="203">
        <f>'Fixed inputs'!K397</f>
        <v>1</v>
      </c>
      <c r="L39" s="203">
        <f>'Fixed inputs'!L397</f>
        <v>1</v>
      </c>
      <c r="M39" s="203">
        <f>'Fixed inputs'!M397</f>
        <v>1</v>
      </c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3">
        <f>'Fixed inputs'!J398</f>
        <v>1</v>
      </c>
      <c r="K40" s="203">
        <f>'Fixed inputs'!K398</f>
        <v>1</v>
      </c>
      <c r="L40" s="203">
        <f>'Fixed inputs'!L398</f>
        <v>1</v>
      </c>
      <c r="M40" s="203">
        <f>'Fixed inputs'!M398</f>
        <v>1</v>
      </c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3">
        <f>'Fixed inputs'!J399</f>
        <v>1</v>
      </c>
      <c r="K41" s="203">
        <f>'Fixed inputs'!K399</f>
        <v>1</v>
      </c>
      <c r="L41" s="203">
        <f>'Fixed inputs'!L399</f>
        <v>1</v>
      </c>
      <c r="M41" s="203">
        <f>'Fixed inputs'!M399</f>
        <v>1</v>
      </c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3">
        <f>'Fixed inputs'!J400</f>
        <v>1</v>
      </c>
      <c r="K42" s="203">
        <f>'Fixed inputs'!K400</f>
        <v>1</v>
      </c>
      <c r="L42" s="203">
        <f>'Fixed inputs'!L400</f>
        <v>1</v>
      </c>
      <c r="M42" s="139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3">
        <f>'Fixed inputs'!J401</f>
        <v>1</v>
      </c>
      <c r="K43" s="203">
        <f>'Fixed inputs'!K401</f>
        <v>1</v>
      </c>
      <c r="L43" s="139"/>
      <c r="M43" s="139"/>
      <c r="N43" s="74"/>
      <c r="O43" s="73"/>
      <c r="P43" s="42"/>
    </row>
    <row r="44" spans="1:16" x14ac:dyDescent="0.2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6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2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0.97972425976603217</v>
      </c>
      <c r="K46" s="177">
        <f>SUMPRODUCT($H19:$H25, K38:K44)</f>
        <v>0.57883223284058682</v>
      </c>
      <c r="L46" s="177">
        <f>SUMPRODUCT($H19:$H25, L38:L44)</f>
        <v>0.47210625277000301</v>
      </c>
      <c r="M46" s="177">
        <f>SUMPRODUCT($H19:$H25, M38:M44)</f>
        <v>0.25582385131958713</v>
      </c>
      <c r="N46" s="74"/>
      <c r="O46" s="115" t="s">
        <v>566</v>
      </c>
      <c r="P46" s="42"/>
    </row>
    <row r="47" spans="1:16" x14ac:dyDescent="0.25">
      <c r="A47" s="73"/>
      <c r="B47" s="73"/>
      <c r="C47" s="73"/>
      <c r="D47" s="73"/>
      <c r="E47" s="115" t="s">
        <v>533</v>
      </c>
      <c r="F47" s="73"/>
      <c r="G47" s="115" t="s">
        <v>471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25">
      <c r="A48" s="73"/>
      <c r="B48" s="73"/>
      <c r="C48" s="73"/>
      <c r="D48" s="73"/>
      <c r="E48" s="115" t="s">
        <v>499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2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25">
      <c r="A50" s="73"/>
      <c r="B50" s="101"/>
      <c r="C50" s="110" t="s">
        <v>663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2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25">
      <c r="A52" s="73"/>
      <c r="B52" s="73"/>
      <c r="C52" s="73"/>
      <c r="D52" s="109" t="s">
        <v>452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73"/>
      <c r="D53" s="109" t="s">
        <v>453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566</v>
      </c>
      <c r="P55" s="42"/>
    </row>
    <row r="56" spans="1:16" x14ac:dyDescent="0.2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0.97972425976603217</v>
      </c>
      <c r="K56" s="180">
        <f>SUMPRODUCT($H19:$H$25, K38:K$44)</f>
        <v>0.57883223284058682</v>
      </c>
      <c r="L56" s="180">
        <f>SUMPRODUCT($H19:$H$25, L38:L$44)</f>
        <v>0.47210625277000301</v>
      </c>
      <c r="M56" s="180">
        <f>SUMPRODUCT($H19:$H$25, M38:M$44)</f>
        <v>0.25582385131958713</v>
      </c>
      <c r="N56" s="74"/>
      <c r="O56" s="73"/>
      <c r="P56" s="42"/>
    </row>
    <row r="57" spans="1:16" x14ac:dyDescent="0.2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0.92811536234201009</v>
      </c>
      <c r="K57" s="177">
        <f>SUMPRODUCT($H20:$H$25, K39:K$44)</f>
        <v>0.52722333541656474</v>
      </c>
      <c r="L57" s="177">
        <f>SUMPRODUCT($H20:$H$25, L39:L$44)</f>
        <v>0.42049735534598087</v>
      </c>
      <c r="M57" s="177">
        <f>SUMPRODUCT($H20:$H$25, M39:M$44)</f>
        <v>0.20421495389556502</v>
      </c>
      <c r="N57" s="74"/>
      <c r="O57" s="73"/>
      <c r="P57" s="42"/>
    </row>
    <row r="58" spans="1:16" x14ac:dyDescent="0.2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0.87284847542461952</v>
      </c>
      <c r="K58" s="177">
        <f>SUMPRODUCT($H21:$H$25, K40:K$44)</f>
        <v>0.47195644849917417</v>
      </c>
      <c r="L58" s="177">
        <f>SUMPRODUCT($H21:$H$25, L40:L$44)</f>
        <v>0.36523046842859036</v>
      </c>
      <c r="M58" s="177">
        <f>SUMPRODUCT($H21:$H$25, M40:M$44)</f>
        <v>0.14894806697817448</v>
      </c>
      <c r="N58" s="74"/>
      <c r="O58" s="73"/>
      <c r="P58" s="42"/>
    </row>
    <row r="59" spans="1:16" x14ac:dyDescent="0.2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0.79741541390400839</v>
      </c>
      <c r="K59" s="177">
        <f>SUMPRODUCT($H22:$H$25, K41:K$44)</f>
        <v>0.39652338697856299</v>
      </c>
      <c r="L59" s="177">
        <f>SUMPRODUCT($H22:$H$25, L41:L$44)</f>
        <v>0.28979740690797917</v>
      </c>
      <c r="M59" s="177">
        <f>SUMPRODUCT($H22:$H$25, M41:M$44)</f>
        <v>7.3515005457563315E-2</v>
      </c>
      <c r="N59" s="74"/>
      <c r="O59" s="73"/>
      <c r="P59" s="42"/>
    </row>
    <row r="60" spans="1:16" x14ac:dyDescent="0.2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0.7239004084464451</v>
      </c>
      <c r="K60" s="193">
        <f>SUMPRODUCT($H23:$H$25, K42:K$44)</f>
        <v>0.3230083815209997</v>
      </c>
      <c r="L60" s="193">
        <f>SUMPRODUCT($H23:$H$25, L42:L$44)</f>
        <v>0.21628240145041588</v>
      </c>
      <c r="M60" s="193">
        <f>SUMPRODUCT($H23:$H$25, M42:M$44)</f>
        <v>0</v>
      </c>
      <c r="N60" s="74"/>
      <c r="O60" s="73"/>
      <c r="P60" s="42"/>
    </row>
    <row r="61" spans="1:1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25">
      <c r="A62" s="73"/>
      <c r="B62" s="101"/>
      <c r="C62" s="110" t="s">
        <v>664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2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25">
      <c r="A64" s="73"/>
      <c r="B64" s="73"/>
      <c r="C64" s="73"/>
      <c r="D64" s="109" t="s">
        <v>523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25">
      <c r="A65" s="73"/>
      <c r="B65" s="73"/>
      <c r="C65" s="73"/>
      <c r="D65" s="109" t="s">
        <v>524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2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2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2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2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2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0.85894333024277747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25">
      <c r="A72" s="73"/>
      <c r="B72" s="73"/>
      <c r="C72" s="73"/>
      <c r="D72" s="73"/>
      <c r="E72" s="112" t="s">
        <v>522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2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7.279779200474657E-3</v>
      </c>
      <c r="I74" s="131" t="s">
        <v>314</v>
      </c>
      <c r="J74" s="135"/>
      <c r="K74" s="135"/>
      <c r="L74" s="135"/>
      <c r="M74" s="135"/>
      <c r="N74" s="74"/>
      <c r="O74" s="115" t="s">
        <v>566</v>
      </c>
      <c r="P74" s="42"/>
    </row>
    <row r="75" spans="1:16" x14ac:dyDescent="0.2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2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1.06403364476891E-2</v>
      </c>
      <c r="I76" s="131" t="s">
        <v>314</v>
      </c>
      <c r="J76" s="135"/>
      <c r="K76" s="135"/>
      <c r="L76" s="135"/>
      <c r="M76" s="135"/>
      <c r="N76" s="74"/>
      <c r="O76" s="115" t="s">
        <v>566</v>
      </c>
      <c r="P76" s="42"/>
    </row>
    <row r="77" spans="1:16" x14ac:dyDescent="0.25">
      <c r="A77" s="73"/>
      <c r="B77" s="73"/>
      <c r="C77" s="73"/>
      <c r="D77" s="73"/>
      <c r="E77" s="73"/>
      <c r="F77" s="117" t="s">
        <v>300</v>
      </c>
      <c r="G77" s="117" t="s">
        <v>44</v>
      </c>
      <c r="H77" s="207"/>
      <c r="I77" s="135"/>
      <c r="J77" s="135"/>
      <c r="K77" s="135"/>
      <c r="L77" s="135"/>
      <c r="M77" s="135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25">
      <c r="A79" s="73"/>
      <c r="B79" s="101"/>
      <c r="C79" s="110" t="s">
        <v>665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2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2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2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25">
      <c r="A83" s="73"/>
      <c r="B83" s="73"/>
      <c r="C83" s="73"/>
      <c r="D83" s="73"/>
      <c r="E83" s="115" t="s">
        <v>414</v>
      </c>
      <c r="F83" s="73"/>
      <c r="G83" s="115" t="str">
        <f>'Rev allocation'!G149</f>
        <v>%</v>
      </c>
      <c r="H83" s="166">
        <f>'Rev allocation'!H158</f>
        <v>2.0275740233967884E-2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25">
      <c r="A85" s="73"/>
      <c r="B85" s="73"/>
      <c r="C85" s="73"/>
      <c r="D85" s="73"/>
      <c r="E85" s="115" t="s">
        <v>535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2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2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2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25">
      <c r="A91" s="73"/>
      <c r="B91" s="101"/>
      <c r="C91" s="110" t="s">
        <v>666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2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2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566</v>
      </c>
      <c r="P93" s="42"/>
    </row>
    <row r="94" spans="1:16" x14ac:dyDescent="0.2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0.97972425976603217</v>
      </c>
      <c r="K94" s="180">
        <f t="shared" si="0"/>
        <v>0.96615678451095377</v>
      </c>
      <c r="L94" s="180">
        <f t="shared" si="0"/>
        <v>0.95882111750214971</v>
      </c>
      <c r="M94" s="180">
        <f t="shared" si="0"/>
        <v>0.92656367175380261</v>
      </c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0.93539514154248471</v>
      </c>
      <c r="K95" s="177">
        <f t="shared" si="0"/>
        <v>0.89216491624043925</v>
      </c>
      <c r="L95" s="177">
        <f t="shared" si="0"/>
        <v>0.86879118372431152</v>
      </c>
      <c r="M95" s="177">
        <f t="shared" si="0"/>
        <v>0.76600885899904003</v>
      </c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0.87284847542461952</v>
      </c>
      <c r="K96" s="177">
        <f t="shared" si="0"/>
        <v>0.78776526053750684</v>
      </c>
      <c r="L96" s="177">
        <f t="shared" si="0"/>
        <v>0.74176243976827338</v>
      </c>
      <c r="M96" s="177">
        <f t="shared" si="0"/>
        <v>0.53947224673558791</v>
      </c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0.80805575035169752</v>
      </c>
      <c r="K97" s="177">
        <f t="shared" si="0"/>
        <v>0.67961659955338882</v>
      </c>
      <c r="L97" s="177">
        <f t="shared" si="0"/>
        <v>0.61017207701428944</v>
      </c>
      <c r="M97" s="177">
        <f t="shared" si="0"/>
        <v>0.30480067511772763</v>
      </c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0.7239004084464451</v>
      </c>
      <c r="K98" s="193">
        <f t="shared" si="0"/>
        <v>0.53914886137027529</v>
      </c>
      <c r="L98" s="193">
        <f t="shared" si="0"/>
        <v>0.43925733378448639</v>
      </c>
      <c r="M98" s="193">
        <f t="shared" si="0"/>
        <v>0</v>
      </c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25">
      <c r="A100" s="73"/>
      <c r="B100" s="101"/>
      <c r="C100" s="110" t="s">
        <v>667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2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2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2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566</v>
      </c>
      <c r="P104" s="42"/>
    </row>
    <row r="105" spans="1:16" x14ac:dyDescent="0.2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0.97972425976603217</v>
      </c>
      <c r="K105" s="153">
        <f t="shared" si="1"/>
        <v>0.96615678451095377</v>
      </c>
      <c r="L105" s="153">
        <f t="shared" si="1"/>
        <v>0.95882111750214971</v>
      </c>
      <c r="M105" s="153">
        <f t="shared" si="1"/>
        <v>0.92656367175380261</v>
      </c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0.93539514154248471</v>
      </c>
      <c r="K106" s="154">
        <f t="shared" si="1"/>
        <v>0.89216491624043925</v>
      </c>
      <c r="L106" s="154">
        <f t="shared" si="1"/>
        <v>0.86879118372431152</v>
      </c>
      <c r="M106" s="154">
        <f t="shared" si="1"/>
        <v>0.76600885899904003</v>
      </c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0.87284847542461952</v>
      </c>
      <c r="K107" s="154">
        <f t="shared" si="1"/>
        <v>0.78776526053750684</v>
      </c>
      <c r="L107" s="154">
        <f t="shared" si="1"/>
        <v>0.74176243976827338</v>
      </c>
      <c r="M107" s="154">
        <f t="shared" si="1"/>
        <v>0.53947224673558791</v>
      </c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0.80805575035169752</v>
      </c>
      <c r="K108" s="154">
        <f t="shared" si="1"/>
        <v>0.67961659955338882</v>
      </c>
      <c r="L108" s="154">
        <f t="shared" si="1"/>
        <v>0.61017207701428944</v>
      </c>
      <c r="M108" s="154">
        <f t="shared" si="1"/>
        <v>0.30480067511772763</v>
      </c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0.7239004084464451</v>
      </c>
      <c r="K109" s="192">
        <f t="shared" si="1"/>
        <v>0.53914886137027529</v>
      </c>
      <c r="L109" s="192">
        <f t="shared" si="1"/>
        <v>0.43925733378448639</v>
      </c>
      <c r="M109" s="192">
        <f t="shared" si="1"/>
        <v>0</v>
      </c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2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2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2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2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2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736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208"/>
      <c r="E14" s="101"/>
      <c r="F14" s="101"/>
      <c r="G14" s="73"/>
      <c r="H14" s="74"/>
      <c r="I14" s="74"/>
      <c r="J14" s="73"/>
      <c r="K14" s="42"/>
    </row>
    <row r="15" spans="1:11" s="1" customFormat="1" x14ac:dyDescent="0.25">
      <c r="A15" s="73"/>
      <c r="B15" s="73"/>
      <c r="C15" s="110" t="s">
        <v>721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25">
      <c r="A16" s="73"/>
      <c r="B16" s="73"/>
      <c r="C16" s="109"/>
      <c r="D16" s="208"/>
      <c r="E16" s="101"/>
      <c r="F16" s="101"/>
      <c r="G16" s="73"/>
      <c r="H16" s="74"/>
      <c r="I16" s="74"/>
      <c r="J16" s="73"/>
      <c r="K16" s="42"/>
    </row>
    <row r="17" spans="1:11" x14ac:dyDescent="0.2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25">
      <c r="A18" s="73"/>
      <c r="B18" s="73"/>
      <c r="C18" s="73"/>
      <c r="D18" s="101"/>
      <c r="E18" s="101"/>
      <c r="F18" s="211" t="str">
        <f>'Rev allocation'!J5</f>
        <v>LV services</v>
      </c>
      <c r="G18" s="113" t="str">
        <f>'Rev allocation'!G146</f>
        <v>%</v>
      </c>
      <c r="H18" s="172">
        <f>'Rev allocation'!J146</f>
        <v>0.21292162651301713</v>
      </c>
      <c r="I18" s="74"/>
      <c r="J18" s="73"/>
      <c r="K18" s="42"/>
    </row>
    <row r="19" spans="1:11" x14ac:dyDescent="0.2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0.19545352863713716</v>
      </c>
      <c r="I19" s="74"/>
      <c r="J19" s="73"/>
      <c r="K19" s="42"/>
    </row>
    <row r="20" spans="1:11" x14ac:dyDescent="0.2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0.11006013477065595</v>
      </c>
      <c r="I20" s="74"/>
      <c r="J20" s="73"/>
      <c r="K20" s="42"/>
    </row>
    <row r="21" spans="1:11" x14ac:dyDescent="0.2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0.2223264411202015</v>
      </c>
      <c r="I21" s="74"/>
      <c r="J21" s="73"/>
      <c r="K21" s="42"/>
    </row>
    <row r="22" spans="1:11" x14ac:dyDescent="0.2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25">
      <c r="A23" s="73"/>
      <c r="B23" s="73"/>
      <c r="C23" s="73"/>
      <c r="D23" s="101"/>
      <c r="E23" s="120" t="s">
        <v>494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25">
      <c r="A24" s="73"/>
      <c r="B24" s="73"/>
      <c r="C24" s="73"/>
      <c r="D24" s="101"/>
      <c r="E24" s="208"/>
      <c r="F24" s="101"/>
      <c r="G24" s="73"/>
      <c r="H24" s="74"/>
      <c r="I24" s="74"/>
      <c r="J24" s="73"/>
      <c r="K24" s="42"/>
    </row>
    <row r="25" spans="1:11" s="17" customFormat="1" x14ac:dyDescent="0.25">
      <c r="A25" s="73"/>
      <c r="B25" s="73"/>
      <c r="C25" s="110" t="s">
        <v>722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25">
      <c r="A26" s="73"/>
      <c r="B26" s="73"/>
      <c r="C26" s="109"/>
      <c r="D26" s="208"/>
      <c r="E26" s="101"/>
      <c r="F26" s="101"/>
      <c r="G26" s="73"/>
      <c r="H26" s="74"/>
      <c r="I26" s="74"/>
      <c r="J26" s="73"/>
      <c r="K26" s="42"/>
    </row>
    <row r="27" spans="1:11" x14ac:dyDescent="0.2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0.70746430741726707</v>
      </c>
      <c r="I27" s="74"/>
      <c r="J27" s="73"/>
      <c r="K27" s="42"/>
    </row>
    <row r="28" spans="1:11" x14ac:dyDescent="0.2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3.4378309150233391E-2</v>
      </c>
      <c r="I28" s="74"/>
      <c r="J28" s="73"/>
      <c r="K28" s="42"/>
    </row>
    <row r="29" spans="1:11" x14ac:dyDescent="0.25">
      <c r="A29" s="73"/>
      <c r="B29" s="73"/>
      <c r="C29" s="73"/>
      <c r="D29" s="101"/>
      <c r="E29" s="208"/>
      <c r="F29" s="101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0.72113362005521886</v>
      </c>
      <c r="I30" s="74"/>
      <c r="J30" s="73"/>
      <c r="K30" s="42"/>
    </row>
    <row r="31" spans="1:11" x14ac:dyDescent="0.2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0.57866338208508128</v>
      </c>
      <c r="I31" s="74"/>
      <c r="J31" s="73"/>
      <c r="K31" s="42"/>
    </row>
    <row r="32" spans="1:11" x14ac:dyDescent="0.25">
      <c r="A32" s="73"/>
      <c r="B32" s="73"/>
      <c r="C32" s="73"/>
      <c r="D32" s="101"/>
      <c r="E32" s="208"/>
      <c r="F32" s="101"/>
      <c r="G32" s="73"/>
      <c r="H32" s="74"/>
      <c r="I32" s="74"/>
      <c r="J32" s="73"/>
      <c r="K32" s="42"/>
    </row>
    <row r="33" spans="1:11" s="17" customFormat="1" x14ac:dyDescent="0.25">
      <c r="A33" s="73"/>
      <c r="B33" s="73"/>
      <c r="C33" s="110" t="s">
        <v>720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25">
      <c r="A34" s="73"/>
      <c r="B34" s="73"/>
      <c r="C34" s="109"/>
      <c r="D34" s="208"/>
      <c r="E34" s="101"/>
      <c r="F34" s="101"/>
      <c r="G34" s="73"/>
      <c r="H34" s="74"/>
      <c r="I34" s="74"/>
      <c r="J34" s="73"/>
      <c r="K34" s="42"/>
    </row>
    <row r="35" spans="1:11" x14ac:dyDescent="0.2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2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4">
        <f>H18 + (H19 * ( 1 - H28 * H31))</f>
        <v>0.4044869065070007</v>
      </c>
      <c r="I36" s="132" t="s">
        <v>314</v>
      </c>
      <c r="J36" s="115" t="s">
        <v>588</v>
      </c>
      <c r="K36" s="42"/>
    </row>
    <row r="37" spans="1:11" x14ac:dyDescent="0.2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0.62733605057007358</v>
      </c>
      <c r="I37" s="132" t="s">
        <v>314</v>
      </c>
      <c r="J37" s="115" t="s">
        <v>589</v>
      </c>
      <c r="K37" s="42"/>
    </row>
    <row r="38" spans="1:11" x14ac:dyDescent="0.2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9">
        <f>(H20 + H21 * (1 - H27 * H30)) / (1 - H19 - H18)</f>
        <v>0.3701009133169374</v>
      </c>
      <c r="I38" s="132" t="s">
        <v>314</v>
      </c>
      <c r="J38" s="115" t="s">
        <v>590</v>
      </c>
      <c r="K38" s="42"/>
    </row>
    <row r="39" spans="1:11" x14ac:dyDescent="0.2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0.22613941256483552</v>
      </c>
      <c r="I39" s="132" t="s">
        <v>314</v>
      </c>
      <c r="J39" s="115" t="s">
        <v>591</v>
      </c>
      <c r="K39" s="42"/>
    </row>
    <row r="40" spans="1:11" x14ac:dyDescent="0.2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2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2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2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2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5" sqref="A15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2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413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674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686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25">
      <c r="A15" s="73"/>
      <c r="B15" s="101"/>
      <c r="C15" s="110" t="s">
        <v>634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25">
      <c r="A17" s="73"/>
      <c r="B17" s="73"/>
      <c r="C17" s="109"/>
      <c r="D17" s="109" t="s">
        <v>725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2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2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2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0.4044869065070007</v>
      </c>
      <c r="I20" s="74"/>
      <c r="J20" s="73"/>
      <c r="K20" s="42"/>
    </row>
    <row r="21" spans="1:11" x14ac:dyDescent="0.2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0.62733605057007358</v>
      </c>
      <c r="I21" s="74"/>
      <c r="J21" s="73"/>
      <c r="K21" s="42"/>
    </row>
    <row r="22" spans="1:11" x14ac:dyDescent="0.2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0.3701009133169374</v>
      </c>
      <c r="I22" s="74"/>
      <c r="J22" s="73"/>
      <c r="K22" s="42"/>
    </row>
    <row r="23" spans="1:11" x14ac:dyDescent="0.2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0.22613941256483552</v>
      </c>
      <c r="I23" s="74"/>
      <c r="J23" s="73"/>
      <c r="K23" s="42"/>
    </row>
    <row r="24" spans="1:11" x14ac:dyDescent="0.2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25">
      <c r="A25" s="73"/>
      <c r="B25" s="101"/>
      <c r="C25" s="110" t="s">
        <v>635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25">
      <c r="A27" s="73"/>
      <c r="B27" s="73"/>
      <c r="C27" s="109"/>
      <c r="D27" s="109" t="s">
        <v>607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25">
      <c r="A28" s="73"/>
      <c r="B28" s="73"/>
      <c r="C28" s="109"/>
      <c r="D28" s="109" t="s">
        <v>706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2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9"/>
      <c r="E30" s="119" t="s">
        <v>545</v>
      </c>
      <c r="F30" s="101"/>
      <c r="G30" s="73"/>
      <c r="H30" s="74"/>
      <c r="I30" s="74"/>
      <c r="J30" s="73"/>
      <c r="K30" s="42"/>
    </row>
    <row r="31" spans="1:11" x14ac:dyDescent="0.2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0.97972425976603217</v>
      </c>
      <c r="I31" s="74"/>
      <c r="J31" s="73"/>
      <c r="K31" s="42"/>
    </row>
    <row r="32" spans="1:11" x14ac:dyDescent="0.25">
      <c r="A32" s="73"/>
      <c r="B32" s="73"/>
      <c r="C32" s="73"/>
      <c r="D32" s="73"/>
      <c r="E32" s="101"/>
      <c r="F32" s="120" t="s">
        <v>546</v>
      </c>
      <c r="G32" s="115" t="s">
        <v>44</v>
      </c>
      <c r="H32" s="116">
        <f>'EDCM discounts'!K105</f>
        <v>0.96615678451095377</v>
      </c>
      <c r="I32" s="74"/>
      <c r="J32" s="73"/>
      <c r="K32" s="42"/>
    </row>
    <row r="33" spans="1:11" x14ac:dyDescent="0.25">
      <c r="A33" s="73"/>
      <c r="B33" s="73"/>
      <c r="C33" s="73"/>
      <c r="D33" s="73"/>
      <c r="E33" s="101"/>
      <c r="F33" s="120" t="s">
        <v>547</v>
      </c>
      <c r="G33" s="115" t="s">
        <v>44</v>
      </c>
      <c r="H33" s="116">
        <f>'EDCM discounts'!L105</f>
        <v>0.95882111750214971</v>
      </c>
      <c r="I33" s="74"/>
      <c r="J33" s="73"/>
      <c r="K33" s="42"/>
    </row>
    <row r="34" spans="1:11" x14ac:dyDescent="0.2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0.92656367175380261</v>
      </c>
      <c r="I34" s="74"/>
      <c r="J34" s="73"/>
      <c r="K34" s="42"/>
    </row>
    <row r="35" spans="1:11" x14ac:dyDescent="0.2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25">
      <c r="A36" s="121"/>
      <c r="B36" s="121"/>
      <c r="C36" s="121"/>
      <c r="D36" s="121"/>
      <c r="E36" s="119" t="s">
        <v>548</v>
      </c>
      <c r="F36" s="122"/>
      <c r="G36" s="123"/>
      <c r="H36" s="124"/>
      <c r="I36" s="125"/>
      <c r="J36" s="121"/>
      <c r="K36" s="126"/>
    </row>
    <row r="37" spans="1:11" x14ac:dyDescent="0.2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2">
        <f>'EDCM discounts'!J106</f>
        <v>0.93539514154248471</v>
      </c>
      <c r="I37" s="74"/>
      <c r="J37" s="73"/>
      <c r="K37" s="42"/>
    </row>
    <row r="38" spans="1:11" x14ac:dyDescent="0.25">
      <c r="A38" s="73"/>
      <c r="B38" s="73"/>
      <c r="C38" s="73"/>
      <c r="D38" s="73"/>
      <c r="E38" s="101"/>
      <c r="F38" s="120" t="s">
        <v>546</v>
      </c>
      <c r="G38" s="115" t="s">
        <v>44</v>
      </c>
      <c r="H38" s="116">
        <f>'EDCM discounts'!K106</f>
        <v>0.89216491624043925</v>
      </c>
      <c r="I38" s="74"/>
      <c r="J38" s="73"/>
      <c r="K38" s="42"/>
    </row>
    <row r="39" spans="1:11" x14ac:dyDescent="0.25">
      <c r="A39" s="73"/>
      <c r="B39" s="73"/>
      <c r="C39" s="73"/>
      <c r="D39" s="73"/>
      <c r="E39" s="101"/>
      <c r="F39" s="120" t="s">
        <v>547</v>
      </c>
      <c r="G39" s="115" t="s">
        <v>44</v>
      </c>
      <c r="H39" s="116">
        <f>'EDCM discounts'!L106</f>
        <v>0.86879118372431152</v>
      </c>
      <c r="I39" s="74"/>
      <c r="J39" s="73"/>
      <c r="K39" s="42"/>
    </row>
    <row r="40" spans="1:11" x14ac:dyDescent="0.2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0.76600885899904003</v>
      </c>
      <c r="I40" s="74"/>
      <c r="J40" s="73"/>
      <c r="K40" s="42"/>
    </row>
    <row r="41" spans="1:11" x14ac:dyDescent="0.2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25">
      <c r="A42" s="121"/>
      <c r="B42" s="121"/>
      <c r="C42" s="121"/>
      <c r="D42" s="121"/>
      <c r="E42" s="119" t="s">
        <v>549</v>
      </c>
      <c r="F42" s="122"/>
      <c r="G42" s="123"/>
      <c r="H42" s="124"/>
      <c r="I42" s="125"/>
      <c r="J42" s="121"/>
      <c r="K42" s="126"/>
    </row>
    <row r="43" spans="1:11" x14ac:dyDescent="0.2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2">
        <f>'EDCM discounts'!J107</f>
        <v>0.87284847542461952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1"/>
      <c r="F44" s="120" t="s">
        <v>546</v>
      </c>
      <c r="G44" s="115" t="s">
        <v>44</v>
      </c>
      <c r="H44" s="116">
        <f>'EDCM discounts'!K107</f>
        <v>0.78776526053750684</v>
      </c>
      <c r="I44" s="74"/>
      <c r="J44" s="73"/>
      <c r="K44" s="42"/>
    </row>
    <row r="45" spans="1:11" x14ac:dyDescent="0.25">
      <c r="A45" s="73"/>
      <c r="B45" s="73"/>
      <c r="C45" s="73"/>
      <c r="D45" s="73"/>
      <c r="E45" s="101"/>
      <c r="F45" s="120" t="s">
        <v>547</v>
      </c>
      <c r="G45" s="115" t="s">
        <v>44</v>
      </c>
      <c r="H45" s="116">
        <f>'EDCM discounts'!L107</f>
        <v>0.74176243976827338</v>
      </c>
      <c r="I45" s="74"/>
      <c r="J45" s="73"/>
      <c r="K45" s="42"/>
    </row>
    <row r="46" spans="1:11" x14ac:dyDescent="0.2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0.53947224673558791</v>
      </c>
      <c r="I46" s="74"/>
      <c r="J46" s="73"/>
      <c r="K46" s="42"/>
    </row>
    <row r="47" spans="1:11" x14ac:dyDescent="0.2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25">
      <c r="A48" s="121"/>
      <c r="B48" s="121"/>
      <c r="C48" s="121"/>
      <c r="D48" s="121"/>
      <c r="E48" s="119" t="s">
        <v>550</v>
      </c>
      <c r="F48" s="122"/>
      <c r="G48" s="123"/>
      <c r="H48" s="124"/>
      <c r="I48" s="125"/>
      <c r="J48" s="121"/>
      <c r="K48" s="126"/>
    </row>
    <row r="49" spans="1:11" x14ac:dyDescent="0.2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0.80805575035169752</v>
      </c>
      <c r="I49" s="74"/>
      <c r="J49" s="73"/>
      <c r="K49" s="42"/>
    </row>
    <row r="50" spans="1:11" x14ac:dyDescent="0.25">
      <c r="A50" s="73"/>
      <c r="B50" s="73"/>
      <c r="C50" s="73"/>
      <c r="D50" s="73"/>
      <c r="E50" s="101"/>
      <c r="F50" s="120" t="s">
        <v>546</v>
      </c>
      <c r="G50" s="115" t="s">
        <v>44</v>
      </c>
      <c r="H50" s="116">
        <f>'EDCM discounts'!K108</f>
        <v>0.67961659955338882</v>
      </c>
      <c r="I50" s="74"/>
      <c r="J50" s="73"/>
      <c r="K50" s="42"/>
    </row>
    <row r="51" spans="1:11" x14ac:dyDescent="0.25">
      <c r="A51" s="73"/>
      <c r="B51" s="73"/>
      <c r="C51" s="73"/>
      <c r="D51" s="73"/>
      <c r="E51" s="101"/>
      <c r="F51" s="120" t="s">
        <v>547</v>
      </c>
      <c r="G51" s="115" t="s">
        <v>44</v>
      </c>
      <c r="H51" s="116">
        <f>'EDCM discounts'!L108</f>
        <v>0.61017207701428944</v>
      </c>
      <c r="I51" s="74"/>
      <c r="J51" s="73"/>
      <c r="K51" s="42"/>
    </row>
    <row r="52" spans="1:11" x14ac:dyDescent="0.2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0.30480067511772763</v>
      </c>
      <c r="I52" s="74"/>
      <c r="J52" s="73"/>
      <c r="K52" s="42"/>
    </row>
    <row r="53" spans="1:11" x14ac:dyDescent="0.2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25">
      <c r="A54" s="121"/>
      <c r="B54" s="121"/>
      <c r="C54" s="121"/>
      <c r="D54" s="121"/>
      <c r="E54" s="119" t="s">
        <v>551</v>
      </c>
      <c r="F54" s="122"/>
      <c r="G54" s="123"/>
      <c r="H54" s="124"/>
      <c r="I54" s="125"/>
      <c r="J54" s="121"/>
      <c r="K54" s="126"/>
    </row>
    <row r="55" spans="1:11" x14ac:dyDescent="0.2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0.7239004084464451</v>
      </c>
      <c r="I55" s="74"/>
      <c r="J55" s="73"/>
      <c r="K55" s="42"/>
    </row>
    <row r="56" spans="1:11" x14ac:dyDescent="0.25">
      <c r="A56" s="73"/>
      <c r="B56" s="73"/>
      <c r="C56" s="73"/>
      <c r="D56" s="73"/>
      <c r="E56" s="101"/>
      <c r="F56" s="120" t="s">
        <v>546</v>
      </c>
      <c r="G56" s="115" t="s">
        <v>44</v>
      </c>
      <c r="H56" s="116">
        <f>'EDCM discounts'!K109</f>
        <v>0.53914886137027529</v>
      </c>
      <c r="I56" s="74"/>
      <c r="J56" s="73"/>
      <c r="K56" s="42"/>
    </row>
    <row r="57" spans="1:11" x14ac:dyDescent="0.25">
      <c r="A57" s="73"/>
      <c r="B57" s="73"/>
      <c r="C57" s="73"/>
      <c r="D57" s="73"/>
      <c r="E57" s="101"/>
      <c r="F57" s="120" t="s">
        <v>547</v>
      </c>
      <c r="G57" s="115" t="s">
        <v>44</v>
      </c>
      <c r="H57" s="116">
        <f>'EDCM discounts'!L109</f>
        <v>0.43925733378448639</v>
      </c>
      <c r="I57" s="74"/>
      <c r="J57" s="73"/>
      <c r="K57" s="42"/>
    </row>
    <row r="58" spans="1:11" x14ac:dyDescent="0.2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2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x14ac:dyDescent="0.2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25">
      <c r="A2" s="70" t="str">
        <f>Cover!D21&amp;" - "&amp;Cover!D23</f>
        <v>Northern Powergrid (Northeast) Ltd - 0.1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25">
      <c r="A3" s="71" t="str">
        <f>Cover!D2&amp;" - "&amp;Cover!D8&amp;" v"&amp;Cover!D10&amp;" - "&amp;Cover!D19</f>
        <v>PCDM charging model - Release for charge setting v3 - 2020/21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25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2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2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2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43389</v>
      </c>
      <c r="I7" s="75"/>
      <c r="J7" s="75"/>
      <c r="K7" s="75"/>
      <c r="L7" s="75"/>
      <c r="M7" s="42"/>
    </row>
    <row r="8" spans="1:13" x14ac:dyDescent="0.2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25">
      <c r="A9" s="75"/>
      <c r="B9" s="75"/>
      <c r="C9" s="75"/>
      <c r="D9" s="75"/>
      <c r="E9" s="75"/>
      <c r="F9" s="75" t="s">
        <v>486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2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25">
      <c r="A11" s="75"/>
      <c r="B11" s="75"/>
      <c r="C11" s="75"/>
      <c r="D11" s="75"/>
      <c r="E11" s="75"/>
      <c r="F11" s="75" t="s">
        <v>755</v>
      </c>
      <c r="G11" s="42"/>
      <c r="H11" s="80">
        <f>LOOKUP(2,1/(H20:H29&lt;&gt;""),H20:H29)</f>
        <v>3</v>
      </c>
      <c r="I11" s="75"/>
      <c r="J11" s="75"/>
      <c r="K11" s="75"/>
      <c r="L11" s="75"/>
      <c r="M11" s="42"/>
    </row>
    <row r="12" spans="1:13" x14ac:dyDescent="0.2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25">
      <c r="A13" s="75"/>
      <c r="B13" s="75"/>
      <c r="C13" s="75"/>
      <c r="D13" s="75"/>
      <c r="E13" s="75"/>
      <c r="F13" s="75" t="s">
        <v>612</v>
      </c>
      <c r="G13" s="42"/>
      <c r="H13" s="81" t="str">
        <f>LOOKUP(2,1/(I20:I29&lt;&gt;""),I20:I29)</f>
        <v>01 April 2020 DCUSA Charging Methodologies Pre-Release (released 09/10/2018)</v>
      </c>
      <c r="I13" s="78"/>
      <c r="J13" s="78"/>
      <c r="K13" s="75"/>
      <c r="L13" s="75"/>
      <c r="M13" s="42"/>
    </row>
    <row r="14" spans="1:13" s="1" customFormat="1" x14ac:dyDescent="0.2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25">
      <c r="A15" s="75"/>
      <c r="B15" s="75"/>
      <c r="C15" s="75"/>
      <c r="D15" s="75"/>
      <c r="E15" s="75"/>
      <c r="F15" s="82" t="s">
        <v>613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2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2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2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2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757</v>
      </c>
      <c r="I19" s="85" t="s">
        <v>609</v>
      </c>
      <c r="J19" s="85" t="s">
        <v>610</v>
      </c>
      <c r="K19" s="85" t="s">
        <v>17</v>
      </c>
      <c r="L19" s="85" t="s">
        <v>18</v>
      </c>
      <c r="M19" s="42"/>
    </row>
    <row r="20" spans="1:13" ht="30" x14ac:dyDescent="0.25">
      <c r="A20" s="75"/>
      <c r="B20" s="75"/>
      <c r="C20" s="75"/>
      <c r="D20" s="75"/>
      <c r="E20" s="75"/>
      <c r="F20" s="18">
        <v>43250</v>
      </c>
      <c r="G20" s="18" t="s">
        <v>727</v>
      </c>
      <c r="H20" s="22">
        <v>1</v>
      </c>
      <c r="I20" s="18" t="s">
        <v>431</v>
      </c>
      <c r="J20" s="18" t="s">
        <v>728</v>
      </c>
      <c r="K20" s="18" t="s">
        <v>565</v>
      </c>
      <c r="L20" s="18" t="s">
        <v>514</v>
      </c>
      <c r="M20" s="42"/>
    </row>
    <row r="21" spans="1:13" ht="30" x14ac:dyDescent="0.25">
      <c r="A21" s="75"/>
      <c r="B21" s="75"/>
      <c r="C21" s="75"/>
      <c r="D21" s="75"/>
      <c r="E21" s="75"/>
      <c r="F21" s="18">
        <v>43301</v>
      </c>
      <c r="G21" s="18" t="s">
        <v>727</v>
      </c>
      <c r="H21" s="22">
        <v>2</v>
      </c>
      <c r="I21" s="18" t="s">
        <v>737</v>
      </c>
      <c r="J21" s="18" t="s">
        <v>728</v>
      </c>
      <c r="K21" s="18" t="s">
        <v>565</v>
      </c>
      <c r="L21" s="18" t="s">
        <v>738</v>
      </c>
      <c r="M21" s="42"/>
    </row>
    <row r="22" spans="1:13" s="1" customFormat="1" ht="30" x14ac:dyDescent="0.25">
      <c r="A22" s="75"/>
      <c r="B22" s="75"/>
      <c r="C22" s="75"/>
      <c r="D22" s="75"/>
      <c r="E22" s="75"/>
      <c r="F22" s="18">
        <v>43341</v>
      </c>
      <c r="G22" s="223" t="s">
        <v>727</v>
      </c>
      <c r="H22" s="22">
        <v>3</v>
      </c>
      <c r="I22" s="223" t="s">
        <v>746</v>
      </c>
      <c r="J22" s="223" t="s">
        <v>728</v>
      </c>
      <c r="K22" s="223" t="s">
        <v>565</v>
      </c>
      <c r="L22" s="223" t="s">
        <v>759</v>
      </c>
      <c r="M22" s="42"/>
    </row>
    <row r="23" spans="1:13" ht="45" x14ac:dyDescent="0.25">
      <c r="A23" s="75"/>
      <c r="B23" s="75"/>
      <c r="C23" s="75"/>
      <c r="D23" s="75"/>
      <c r="E23" s="75"/>
      <c r="F23" s="18">
        <v>43389</v>
      </c>
      <c r="G23" s="18" t="s">
        <v>754</v>
      </c>
      <c r="H23" s="22">
        <v>3</v>
      </c>
      <c r="I23" s="223" t="s">
        <v>756</v>
      </c>
      <c r="J23" s="223" t="s">
        <v>728</v>
      </c>
      <c r="K23" s="223" t="s">
        <v>565</v>
      </c>
      <c r="L23" s="223" t="s">
        <v>758</v>
      </c>
      <c r="M23" s="42"/>
    </row>
    <row r="24" spans="1:13" x14ac:dyDescent="0.25">
      <c r="A24" s="75"/>
      <c r="B24" s="75"/>
      <c r="C24" s="75"/>
      <c r="D24" s="75"/>
      <c r="E24" s="75"/>
      <c r="F24" s="18"/>
      <c r="G24" s="18"/>
      <c r="H24" s="22"/>
      <c r="I24" s="18"/>
      <c r="J24" s="18"/>
      <c r="K24" s="18"/>
      <c r="L24" s="18"/>
      <c r="M24" s="42"/>
    </row>
    <row r="25" spans="1:13" x14ac:dyDescent="0.25">
      <c r="A25" s="75"/>
      <c r="B25" s="75"/>
      <c r="C25" s="75"/>
      <c r="D25" s="75"/>
      <c r="E25" s="75"/>
      <c r="F25" s="18"/>
      <c r="G25" s="18"/>
      <c r="H25" s="22"/>
      <c r="I25" s="18"/>
      <c r="J25" s="18"/>
      <c r="K25" s="18"/>
      <c r="L25" s="18"/>
      <c r="M25" s="42"/>
    </row>
    <row r="26" spans="1:13" x14ac:dyDescent="0.25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2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2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2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MEAV!H145</f>
        <v>0</v>
      </c>
      <c r="I34" s="42"/>
      <c r="J34" s="42"/>
      <c r="K34" s="42"/>
      <c r="L34" s="42"/>
      <c r="M34" s="42"/>
    </row>
    <row r="35" spans="1:13" x14ac:dyDescent="0.2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Expensed!H86</f>
        <v>0</v>
      </c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2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2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2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2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25">
      <c r="A42" s="42"/>
      <c r="B42" s="42"/>
      <c r="C42" s="42"/>
      <c r="D42" s="42"/>
      <c r="E42" s="42"/>
      <c r="F42" s="91" t="s">
        <v>611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 x14ac:dyDescent="0.2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2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25">
      <c r="A48" s="42"/>
      <c r="B48" s="42"/>
      <c r="C48" s="42"/>
      <c r="D48" s="42"/>
      <c r="E48" s="42"/>
      <c r="F48" s="20" t="s">
        <v>608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25">
      <c r="A49" s="42"/>
      <c r="B49" s="42"/>
      <c r="C49" s="42"/>
      <c r="D49" s="42"/>
      <c r="E49" s="42"/>
      <c r="F49" s="20" t="s">
        <v>727</v>
      </c>
      <c r="G49" s="42"/>
      <c r="H49" s="42"/>
      <c r="I49" s="42"/>
      <c r="J49" s="42"/>
      <c r="K49" s="42"/>
      <c r="L49" s="42"/>
      <c r="M49" s="42"/>
    </row>
    <row r="50" spans="1:13" s="1" customFormat="1" ht="30" x14ac:dyDescent="0.25">
      <c r="A50" s="42"/>
      <c r="B50" s="42"/>
      <c r="C50" s="42"/>
      <c r="D50" s="42"/>
      <c r="E50" s="42"/>
      <c r="F50" s="226" t="s">
        <v>754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2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2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2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2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2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2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disablePrompts="1"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2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25">
      <c r="A2" s="94" t="str">
        <f>Cover!D21&amp;" - "&amp;Cover!D23</f>
        <v>Northern Powergrid (Northeast) Ltd - 0.1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25">
      <c r="A3" s="71" t="str">
        <f>Cover!D2&amp;" - "&amp;Cover!D8&amp;" v"&amp;Cover!D10&amp;" - "&amp;Cover!D19</f>
        <v>PCDM charging model - Release for charge setting v3 - 2020/21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2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2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2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2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2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2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2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2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2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2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2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2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2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2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2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2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2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2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2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2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4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x14ac:dyDescent="0.2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25">
      <c r="A2" s="70" t="str">
        <f>Cover!D21&amp;" - "&amp;Cover!D23</f>
        <v>Northern Powergrid (Northeast) Ltd - 0.1</v>
      </c>
      <c r="B2" s="70"/>
      <c r="C2" s="70"/>
      <c r="D2" s="70"/>
      <c r="E2" s="70"/>
      <c r="F2" s="70"/>
      <c r="G2" s="70"/>
      <c r="H2" s="70"/>
    </row>
    <row r="3" spans="1:8" s="4" customFormat="1" x14ac:dyDescent="0.25">
      <c r="A3" s="71" t="str">
        <f>Cover!D2&amp;" - "&amp;Cover!D8&amp;" v"&amp;Cover!D10&amp;" - "&amp;Cover!D19</f>
        <v>PCDM charging model - Release for charge setting v3 - 2020/21</v>
      </c>
      <c r="B3" s="71"/>
      <c r="C3" s="71"/>
      <c r="D3" s="71"/>
      <c r="E3" s="71"/>
      <c r="F3" s="71"/>
      <c r="G3" s="71"/>
      <c r="H3" s="71"/>
    </row>
    <row r="5" spans="1:8" x14ac:dyDescent="0.25">
      <c r="B5" s="2" t="s">
        <v>7</v>
      </c>
      <c r="C5" s="2"/>
      <c r="D5" s="2"/>
      <c r="E5" s="2"/>
      <c r="F5" s="2"/>
      <c r="G5" s="2"/>
    </row>
    <row r="7" spans="1:8" x14ac:dyDescent="0.25">
      <c r="C7" s="5" t="s">
        <v>675</v>
      </c>
    </row>
    <row r="8" spans="1:8" x14ac:dyDescent="0.25">
      <c r="C8" s="5" t="s">
        <v>676</v>
      </c>
    </row>
    <row r="10" spans="1:8" x14ac:dyDescent="0.25">
      <c r="B10" s="2" t="s">
        <v>668</v>
      </c>
      <c r="C10" s="2"/>
      <c r="D10" s="2"/>
      <c r="E10" s="2"/>
      <c r="F10" s="2"/>
      <c r="G10" s="2"/>
    </row>
    <row r="12" spans="1:8" x14ac:dyDescent="0.25">
      <c r="C12" s="5" t="s">
        <v>485</v>
      </c>
    </row>
    <row r="14" spans="1:8" ht="15.75" thickBot="1" x14ac:dyDescent="0.3">
      <c r="F14" s="6" t="s">
        <v>342</v>
      </c>
      <c r="G14" s="15" t="s">
        <v>343</v>
      </c>
    </row>
    <row r="15" spans="1:8" ht="16.5" thickTop="1" thickBot="1" x14ac:dyDescent="0.3">
      <c r="F15" s="8" t="s">
        <v>306</v>
      </c>
    </row>
    <row r="16" spans="1:8" ht="15.75" thickTop="1" x14ac:dyDescent="0.25">
      <c r="F16" s="8" t="s">
        <v>307</v>
      </c>
      <c r="G16" s="7" t="str">
        <f>'Version control'!$B$5</f>
        <v>Model version</v>
      </c>
    </row>
    <row r="17" spans="6:7" x14ac:dyDescent="0.25">
      <c r="F17" s="9" t="s">
        <v>484</v>
      </c>
      <c r="G17" s="7" t="str">
        <f>'Version control'!$B$17</f>
        <v>Version log</v>
      </c>
    </row>
    <row r="18" spans="6:7" x14ac:dyDescent="0.25">
      <c r="F18" s="9" t="s">
        <v>484</v>
      </c>
      <c r="G18" s="7" t="str">
        <f>'Version control'!$B$31</f>
        <v>Model checks</v>
      </c>
    </row>
    <row r="19" spans="6:7" ht="15.75" thickBot="1" x14ac:dyDescent="0.3">
      <c r="F19" s="9" t="s">
        <v>484</v>
      </c>
      <c r="G19" s="7" t="str">
        <f>'Version control'!$B$44</f>
        <v>Version log lists</v>
      </c>
    </row>
    <row r="20" spans="6:7" ht="16.5" thickTop="1" thickBot="1" x14ac:dyDescent="0.3">
      <c r="F20" s="8" t="s">
        <v>308</v>
      </c>
      <c r="G20" s="7" t="str">
        <f>'Model map'!$B$5</f>
        <v>Map</v>
      </c>
    </row>
    <row r="21" spans="6:7" ht="15.75" thickTop="1" x14ac:dyDescent="0.25">
      <c r="F21" s="14" t="s">
        <v>309</v>
      </c>
      <c r="G21" s="7" t="str">
        <f>'Fixed inputs'!$B$11</f>
        <v>Universal values</v>
      </c>
    </row>
    <row r="22" spans="6:7" ht="15.75" thickBot="1" x14ac:dyDescent="0.3">
      <c r="F22" s="16" t="s">
        <v>484</v>
      </c>
      <c r="G22" s="7" t="str">
        <f>'Fixed inputs'!$B$19</f>
        <v>Inputs from DCUSA text</v>
      </c>
    </row>
    <row r="23" spans="6:7" ht="15.75" thickTop="1" x14ac:dyDescent="0.25">
      <c r="F23" s="14" t="s">
        <v>310</v>
      </c>
      <c r="G23" s="7" t="str">
        <f>'DNO inputs'!$B$11</f>
        <v>Nominated Calculation Agent inputs</v>
      </c>
    </row>
    <row r="24" spans="6:7" x14ac:dyDescent="0.25">
      <c r="F24" s="16" t="s">
        <v>484</v>
      </c>
      <c r="G24" s="7" t="str">
        <f>'DNO inputs'!$B$28</f>
        <v>Inputs from other charging models</v>
      </c>
    </row>
    <row r="25" spans="6:7" ht="15.75" thickBot="1" x14ac:dyDescent="0.3">
      <c r="F25" s="16" t="s">
        <v>484</v>
      </c>
      <c r="G25" s="7" t="str">
        <f>'DNO inputs'!$B$51</f>
        <v>Other DNO-specific inputs</v>
      </c>
    </row>
    <row r="26" spans="6:7" ht="15.75" thickTop="1" x14ac:dyDescent="0.25">
      <c r="F26" s="12" t="s">
        <v>22</v>
      </c>
      <c r="G26" s="7" t="str">
        <f>MEAV!$B$13</f>
        <v>MEAV</v>
      </c>
    </row>
    <row r="27" spans="6:7" ht="15.75" thickBot="1" x14ac:dyDescent="0.3">
      <c r="F27" s="13" t="s">
        <v>484</v>
      </c>
      <c r="G27" s="7" t="str">
        <f>MEAV!$B$97</f>
        <v>Adjusted MEAV</v>
      </c>
    </row>
    <row r="28" spans="6:7" ht="15.75" thickTop="1" x14ac:dyDescent="0.25">
      <c r="F28" s="12" t="s">
        <v>23</v>
      </c>
      <c r="G28" s="7" t="str">
        <f>Expenditure!$B$12</f>
        <v>Expenditure allocated based on RRP</v>
      </c>
    </row>
    <row r="29" spans="6:7" x14ac:dyDescent="0.25">
      <c r="F29" s="13" t="s">
        <v>484</v>
      </c>
      <c r="G29" s="7" t="str">
        <f>Expenditure!$B$53</f>
        <v>Expenditure allocated based on MEAV</v>
      </c>
    </row>
    <row r="30" spans="6:7" x14ac:dyDescent="0.25">
      <c r="F30" s="13" t="s">
        <v>484</v>
      </c>
      <c r="G30" s="7" t="str">
        <f>Expenditure!$B$103</f>
        <v>Allocation to LV Services</v>
      </c>
    </row>
    <row r="31" spans="6:7" ht="15.75" thickBot="1" x14ac:dyDescent="0.3">
      <c r="F31" s="13" t="s">
        <v>484</v>
      </c>
      <c r="G31" s="7" t="str">
        <f>Expenditure!$B$121</f>
        <v>Total expenditure allocated</v>
      </c>
    </row>
    <row r="32" spans="6:7" ht="16.5" thickTop="1" thickBot="1" x14ac:dyDescent="0.3">
      <c r="F32" s="12" t="s">
        <v>311</v>
      </c>
      <c r="G32" s="7" t="str">
        <f>Expensed!$B$13</f>
        <v>Expensed proportions</v>
      </c>
    </row>
    <row r="33" spans="2:7" ht="16.5" thickTop="1" thickBot="1" x14ac:dyDescent="0.3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484</v>
      </c>
      <c r="G35" s="7" t="str">
        <f>'Rev allocation'!$B$51</f>
        <v>Revenue by network level</v>
      </c>
    </row>
    <row r="36" spans="2:7" x14ac:dyDescent="0.25">
      <c r="F36" s="13" t="s">
        <v>484</v>
      </c>
      <c r="G36" s="7" t="str">
        <f>'Rev allocation'!$B$86</f>
        <v>Units flowing</v>
      </c>
    </row>
    <row r="37" spans="2:7" ht="15.75" thickBot="1" x14ac:dyDescent="0.3">
      <c r="F37" s="13" t="s">
        <v>484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484</v>
      </c>
      <c r="G40" s="7" t="str">
        <f>'EDCM discounts'!$B$27</f>
        <v>EDCM user discount components</v>
      </c>
    </row>
    <row r="41" spans="2:7" ht="15.75" thickBot="1" x14ac:dyDescent="0.3">
      <c r="F41" s="13" t="s">
        <v>484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513</v>
      </c>
      <c r="G43" s="7" t="str">
        <f>'Output to other models'!$B$11</f>
        <v>DCUSA text outputs</v>
      </c>
    </row>
    <row r="45" spans="2:7" x14ac:dyDescent="0.25">
      <c r="B45" s="2" t="s">
        <v>669</v>
      </c>
      <c r="C45" s="2"/>
      <c r="D45" s="2"/>
      <c r="E45" s="2"/>
      <c r="F45" s="2"/>
      <c r="G45" s="2"/>
    </row>
    <row r="47" spans="2:7" x14ac:dyDescent="0.25">
      <c r="C47" s="5" t="s">
        <v>677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484</v>
      </c>
      <c r="G51" s="7" t="str">
        <f>'Fixed inputs'!$C$23</f>
        <v>Input 401-B: EDCM discount cap</v>
      </c>
    </row>
    <row r="52" spans="6:7" x14ac:dyDescent="0.25">
      <c r="F52" s="16" t="s">
        <v>484</v>
      </c>
      <c r="G52" s="7" t="str">
        <f>'Fixed inputs'!$C$29</f>
        <v>Input 401-C: Network length splits for EDCM</v>
      </c>
    </row>
    <row r="53" spans="6:7" x14ac:dyDescent="0.25">
      <c r="F53" s="16" t="s">
        <v>484</v>
      </c>
      <c r="G53" s="7" t="str">
        <f>'Fixed inputs'!$C$37</f>
        <v>Input 401-D: Allocation rules allocation key</v>
      </c>
    </row>
    <row r="54" spans="6:7" x14ac:dyDescent="0.25">
      <c r="F54" s="16" t="s">
        <v>484</v>
      </c>
      <c r="G54" s="7" t="str">
        <f>'Fixed inputs'!$C$89</f>
        <v>Input 401-E: Allocation rules percentage capitalised</v>
      </c>
    </row>
    <row r="55" spans="6:7" x14ac:dyDescent="0.25">
      <c r="F55" s="16" t="s">
        <v>484</v>
      </c>
      <c r="G55" s="7" t="str">
        <f>'Fixed inputs'!$C$130</f>
        <v>Input 401-F: Allocation rules direct cost indicator</v>
      </c>
    </row>
    <row r="56" spans="6:7" x14ac:dyDescent="0.25">
      <c r="F56" s="16" t="s">
        <v>484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484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484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484</v>
      </c>
      <c r="G59" s="7" t="str">
        <f>'Fixed inputs'!$C$381</f>
        <v>Input 401-J: Losses coefficient for the calculation of adjustment factors for units distributed</v>
      </c>
    </row>
    <row r="60" spans="6:7" ht="15.75" thickBot="1" x14ac:dyDescent="0.3">
      <c r="F60" s="16" t="s">
        <v>484</v>
      </c>
      <c r="G60" s="7" t="str">
        <f>'Fixed inputs'!$C$390</f>
        <v>Input 401-K: Network levels included in the calculation of "S", by user type and network level</v>
      </c>
    </row>
    <row r="61" spans="6:7" ht="15.75" thickTop="1" x14ac:dyDescent="0.25">
      <c r="F61" s="14" t="s">
        <v>310</v>
      </c>
      <c r="G61" s="7" t="str">
        <f>'DNO inputs'!$C$15</f>
        <v>Input 402-A: LV mains split</v>
      </c>
    </row>
    <row r="62" spans="6:7" x14ac:dyDescent="0.25">
      <c r="F62" s="16" t="s">
        <v>484</v>
      </c>
      <c r="G62" s="7" t="str">
        <f>'DNO inputs'!$C$21</f>
        <v>Input 402-B: HV split</v>
      </c>
    </row>
    <row r="63" spans="6:7" x14ac:dyDescent="0.25">
      <c r="F63" s="16" t="s">
        <v>484</v>
      </c>
      <c r="G63" s="7" t="str">
        <f>'DNO inputs'!$C$32</f>
        <v>Input 402-C: CDCM notional asset values</v>
      </c>
    </row>
    <row r="64" spans="6:7" x14ac:dyDescent="0.25">
      <c r="F64" s="16" t="s">
        <v>484</v>
      </c>
      <c r="G64" s="7" t="str">
        <f>'DNO inputs'!$C$44</f>
        <v>Input 402-D: EDCM notional asset value</v>
      </c>
    </row>
    <row r="65" spans="6:7" x14ac:dyDescent="0.25">
      <c r="F65" s="16" t="s">
        <v>484</v>
      </c>
      <c r="G65" s="7" t="str">
        <f>'DNO inputs'!$C$55</f>
        <v>Input 402-E: MEAV asset count</v>
      </c>
    </row>
    <row r="66" spans="6:7" x14ac:dyDescent="0.25">
      <c r="F66" s="16" t="s">
        <v>484</v>
      </c>
      <c r="G66" s="7" t="str">
        <f>'DNO inputs'!$C$147</f>
        <v>Input 402-F: MEAV per unit</v>
      </c>
    </row>
    <row r="67" spans="6:7" x14ac:dyDescent="0.25">
      <c r="F67" s="16" t="s">
        <v>484</v>
      </c>
      <c r="G67" s="7" t="str">
        <f>'DNO inputs'!$C$238</f>
        <v>Input 402-G: 2007/08 RRP expenditure, by cost category</v>
      </c>
    </row>
    <row r="68" spans="6:7" x14ac:dyDescent="0.25">
      <c r="F68" s="16" t="s">
        <v>484</v>
      </c>
      <c r="G68" s="7" t="str">
        <f>'DNO inputs'!$C$279</f>
        <v>Input 402-H: 2007/08 RRP expenditure, by network level and cost category</v>
      </c>
    </row>
    <row r="69" spans="6:7" x14ac:dyDescent="0.25">
      <c r="F69" s="16" t="s">
        <v>484</v>
      </c>
      <c r="G69" s="7" t="str">
        <f>'DNO inputs'!$C$320</f>
        <v>Input 402-I: Adjusted 2007/08 load related new connections &amp; reinforcement (net of contributions)</v>
      </c>
    </row>
    <row r="70" spans="6:7" x14ac:dyDescent="0.25">
      <c r="F70" s="16" t="s">
        <v>484</v>
      </c>
      <c r="G70" s="7" t="str">
        <f>'DNO inputs'!$C$331</f>
        <v>Input 402-J: Net capex (2005/06 to 2014/15)</v>
      </c>
    </row>
    <row r="71" spans="6:7" x14ac:dyDescent="0.25">
      <c r="F71" s="16" t="s">
        <v>484</v>
      </c>
      <c r="G71" s="7" t="str">
        <f>'DNO inputs'!$C$343</f>
        <v>Input 402-K: LV services share of LV net capex</v>
      </c>
    </row>
    <row r="72" spans="6:7" x14ac:dyDescent="0.25">
      <c r="F72" s="16" t="s">
        <v>484</v>
      </c>
      <c r="G72" s="7" t="str">
        <f>'DNO inputs'!$C$350</f>
        <v>Input 402-L: Price control allowed revenue</v>
      </c>
    </row>
    <row r="73" spans="6:7" x14ac:dyDescent="0.25">
      <c r="F73" s="16" t="s">
        <v>484</v>
      </c>
      <c r="G73" s="7" t="str">
        <f>'DNO inputs'!$C$359</f>
        <v>Input 402-M: 2007/08 total allowed revenue</v>
      </c>
    </row>
    <row r="74" spans="6:7" x14ac:dyDescent="0.25">
      <c r="F74" s="16" t="s">
        <v>484</v>
      </c>
      <c r="G74" s="7" t="str">
        <f>'DNO inputs'!$C$365</f>
        <v>Input 402-N: 2007/08 net incentive revenue</v>
      </c>
    </row>
    <row r="75" spans="6:7" x14ac:dyDescent="0.25">
      <c r="F75" s="16" t="s">
        <v>484</v>
      </c>
      <c r="G75" s="7" t="str">
        <f>'DNO inputs'!$C$371</f>
        <v>Input 402-O: Additional DNO revenue</v>
      </c>
    </row>
    <row r="76" spans="6:7" x14ac:dyDescent="0.25">
      <c r="F76" s="16" t="s">
        <v>484</v>
      </c>
      <c r="G76" s="7" t="str">
        <f>'DNO inputs'!$C$378</f>
        <v>Input 402-P: 2007/08 units distributed, by network level</v>
      </c>
    </row>
    <row r="77" spans="6:7" ht="15.75" thickBot="1" x14ac:dyDescent="0.3">
      <c r="F77" s="16" t="s">
        <v>484</v>
      </c>
      <c r="G77" s="7" t="str">
        <f>'DNO inputs'!$C$387</f>
        <v>Input 402-Q: 2007/08 network losses</v>
      </c>
    </row>
    <row r="78" spans="6:7" ht="15.75" thickTop="1" x14ac:dyDescent="0.25">
      <c r="F78" s="12" t="s">
        <v>22</v>
      </c>
      <c r="G78" s="7" t="str">
        <f>MEAV!$C$18</f>
        <v>Section 401-A: MEAV by asset type</v>
      </c>
    </row>
    <row r="79" spans="6:7" x14ac:dyDescent="0.25">
      <c r="F79" s="13" t="s">
        <v>484</v>
      </c>
      <c r="G79" s="7" t="str">
        <f>MEAV!$C$27</f>
        <v>Section 401-B: Mapping of asset types to network levels</v>
      </c>
    </row>
    <row r="80" spans="6:7" x14ac:dyDescent="0.25">
      <c r="F80" s="13" t="s">
        <v>484</v>
      </c>
      <c r="G80" s="7" t="str">
        <f>MEAV!$C$49</f>
        <v>Section 401-C: MEAV shares, by asset type and network level</v>
      </c>
    </row>
    <row r="81" spans="6:7" x14ac:dyDescent="0.25">
      <c r="F81" s="13" t="s">
        <v>484</v>
      </c>
      <c r="G81" s="7" t="str">
        <f>MEAV!$C$78</f>
        <v>Section 401-D: MEAV shares from extended mapping, by asset type and network level</v>
      </c>
    </row>
    <row r="82" spans="6:7" x14ac:dyDescent="0.25">
      <c r="F82" s="13" t="s">
        <v>484</v>
      </c>
      <c r="G82" s="7" t="str">
        <f>MEAV!$C$101</f>
        <v>Section 401-E: EHV reduction ratio</v>
      </c>
    </row>
    <row r="83" spans="6:7" ht="15.75" thickBot="1" x14ac:dyDescent="0.3">
      <c r="F83" s="13" t="s">
        <v>484</v>
      </c>
      <c r="G83" s="7" t="str">
        <f>MEAV!$C$120</f>
        <v>Section 401-F: Adjusted MEAV</v>
      </c>
    </row>
    <row r="84" spans="6:7" ht="15.75" thickTop="1" x14ac:dyDescent="0.25">
      <c r="F84" s="12" t="s">
        <v>23</v>
      </c>
      <c r="G84" s="7" t="str">
        <f>Expenditure!$C$16</f>
        <v>Section 402-A: Expenditure allocated to cost category based on RRP (without LV split)</v>
      </c>
    </row>
    <row r="85" spans="6:7" x14ac:dyDescent="0.25">
      <c r="F85" s="13" t="s">
        <v>484</v>
      </c>
      <c r="G85" s="7" t="str">
        <f>Expenditure!$C$36</f>
        <v>Section 402-B: Expenditure allocated to cost category based on RRP (with LV split)</v>
      </c>
    </row>
    <row r="86" spans="6:7" x14ac:dyDescent="0.25">
      <c r="F86" s="13" t="s">
        <v>484</v>
      </c>
      <c r="G86" s="7" t="str">
        <f>Expenditure!$C$58</f>
        <v>Section 402-C: Expenditure for allocation based on MEAV</v>
      </c>
    </row>
    <row r="87" spans="6:7" x14ac:dyDescent="0.25">
      <c r="F87" s="13" t="s">
        <v>484</v>
      </c>
      <c r="G87" s="7" t="str">
        <f>Expenditure!$C$71</f>
        <v>Section 402-D: MEAV allocation shares</v>
      </c>
    </row>
    <row r="88" spans="6:7" x14ac:dyDescent="0.25">
      <c r="F88" s="13" t="s">
        <v>484</v>
      </c>
      <c r="G88" s="7" t="str">
        <f>Expenditure!$C$87</f>
        <v>Section 402-E: Expenditure allocated based on MEAV</v>
      </c>
    </row>
    <row r="89" spans="6:7" x14ac:dyDescent="0.25">
      <c r="F89" s="13" t="s">
        <v>484</v>
      </c>
      <c r="G89" s="7" t="str">
        <f>Expenditure!$C$107</f>
        <v>Section 402-F: Expenditure allocated to LV Services</v>
      </c>
    </row>
    <row r="90" spans="6:7" ht="15.75" thickBot="1" x14ac:dyDescent="0.3">
      <c r="F90" s="13" t="s">
        <v>484</v>
      </c>
      <c r="G90" s="7" t="str">
        <f>Expenditure!$C$126</f>
        <v>Section 402-G: Total expenditure allocated for discounts</v>
      </c>
    </row>
    <row r="91" spans="6:7" ht="15.75" thickTop="1" x14ac:dyDescent="0.25">
      <c r="F91" s="12" t="s">
        <v>311</v>
      </c>
      <c r="G91" s="7" t="str">
        <f>Expensed!$C$18</f>
        <v>Section 403-A: Total expenditure allocated</v>
      </c>
    </row>
    <row r="92" spans="6:7" x14ac:dyDescent="0.25">
      <c r="F92" s="13" t="s">
        <v>484</v>
      </c>
      <c r="G92" s="7" t="str">
        <f>Expensed!$C$34</f>
        <v>Section 403-B: Share expensed</v>
      </c>
    </row>
    <row r="93" spans="6:7" x14ac:dyDescent="0.25">
      <c r="F93" s="13" t="s">
        <v>484</v>
      </c>
      <c r="G93" s="7" t="str">
        <f>Expensed!$C$40</f>
        <v>Section 403-C: Value expensed</v>
      </c>
    </row>
    <row r="94" spans="6:7" ht="15.75" thickBot="1" x14ac:dyDescent="0.3">
      <c r="F94" s="13" t="s">
        <v>484</v>
      </c>
      <c r="G94" s="7" t="str">
        <f>Expensed!$C$64</f>
        <v>Section 403-D: Expensed proportions</v>
      </c>
    </row>
    <row r="95" spans="6:7" ht="15.75" thickTop="1" x14ac:dyDescent="0.25">
      <c r="F95" s="12" t="s">
        <v>24</v>
      </c>
      <c r="G95" s="7" t="str">
        <f>Capitalised!$C$18</f>
        <v>Section 404-A: Net capex (2005/06 to 2014/15)</v>
      </c>
    </row>
    <row r="96" spans="6:7" x14ac:dyDescent="0.25">
      <c r="F96" s="13" t="s">
        <v>484</v>
      </c>
      <c r="G96" s="7" t="str">
        <f>Capitalised!$C$27</f>
        <v>Section 404-B: Capitalised proportions (EDCM)</v>
      </c>
    </row>
    <row r="97" spans="6:7" ht="15.75" thickBot="1" x14ac:dyDescent="0.3">
      <c r="F97" s="13" t="s">
        <v>484</v>
      </c>
      <c r="G97" s="7" t="str">
        <f>Capitalised!$C$47</f>
        <v>Section 404-C: Capitalised proportions (CDCM)</v>
      </c>
    </row>
    <row r="98" spans="6:7" ht="15.75" thickTop="1" x14ac:dyDescent="0.25">
      <c r="F98" s="12" t="s">
        <v>25</v>
      </c>
      <c r="G98" s="7" t="str">
        <f>'Rev allocation'!$C$16</f>
        <v>Section 405-A: Breakdown of allowed revenue</v>
      </c>
    </row>
    <row r="99" spans="6:7" x14ac:dyDescent="0.25">
      <c r="F99" s="13" t="s">
        <v>484</v>
      </c>
      <c r="G99" s="7" t="str">
        <f>'Rev allocation'!$C$31</f>
        <v>Section 405-B: Share of allowed revenue by network level (EDCM)</v>
      </c>
    </row>
    <row r="100" spans="6:7" x14ac:dyDescent="0.25">
      <c r="F100" s="13" t="s">
        <v>484</v>
      </c>
      <c r="G100" s="7" t="str">
        <f>'Rev allocation'!$C$41</f>
        <v>Section 405-C: Share of allowed revenue by network level (CDCM)</v>
      </c>
    </row>
    <row r="101" spans="6:7" x14ac:dyDescent="0.25">
      <c r="F101" s="13" t="s">
        <v>484</v>
      </c>
      <c r="G101" s="7" t="str">
        <f>'Rev allocation'!$C$56</f>
        <v>Section 405-D: Revenue to share</v>
      </c>
    </row>
    <row r="102" spans="6:7" x14ac:dyDescent="0.25">
      <c r="F102" s="13" t="s">
        <v>484</v>
      </c>
      <c r="G102" s="7" t="str">
        <f>'Rev allocation'!$C$72</f>
        <v>Section 405-E: Additional DNO revenue shares</v>
      </c>
    </row>
    <row r="103" spans="6:7" x14ac:dyDescent="0.25">
      <c r="F103" s="13" t="s">
        <v>484</v>
      </c>
      <c r="G103" s="7" t="str">
        <f>'Rev allocation'!$C$80</f>
        <v>Section 405-F: Revenue allocation</v>
      </c>
    </row>
    <row r="104" spans="6:7" x14ac:dyDescent="0.25">
      <c r="F104" s="13" t="s">
        <v>484</v>
      </c>
      <c r="G104" s="7" t="str">
        <f>'Rev allocation'!$C$90</f>
        <v>Section 405-G: Revenue allocation</v>
      </c>
    </row>
    <row r="105" spans="6:7" x14ac:dyDescent="0.25">
      <c r="F105" s="13" t="s">
        <v>484</v>
      </c>
      <c r="G105" s="7" t="str">
        <f>'Rev allocation'!$C$126</f>
        <v>Section 405-H: Revenue per unit</v>
      </c>
    </row>
    <row r="106" spans="6:7" x14ac:dyDescent="0.25">
      <c r="F106" s="13" t="s">
        <v>484</v>
      </c>
      <c r="G106" s="7" t="str">
        <f>'Rev allocation'!$C$142</f>
        <v>Section 405-I: Shares of revenue per unit</v>
      </c>
    </row>
    <row r="107" spans="6:7" x14ac:dyDescent="0.25">
      <c r="F107" s="13" t="s">
        <v>484</v>
      </c>
      <c r="G107" s="7" t="str">
        <f>'Rev allocation'!$C$156</f>
        <v>Section 405-J: U</v>
      </c>
    </row>
    <row r="108" spans="6:7" ht="15.75" thickBot="1" x14ac:dyDescent="0.3">
      <c r="F108" s="13" t="s">
        <v>484</v>
      </c>
      <c r="G108" s="7" t="str">
        <f>'Rev allocation'!$C$160</f>
        <v>Section 405-K: Extended network level allocation (EDCM only)</v>
      </c>
    </row>
    <row r="109" spans="6:7" ht="15.75" thickTop="1" x14ac:dyDescent="0.25">
      <c r="F109" s="12" t="s">
        <v>312</v>
      </c>
      <c r="G109" s="7" t="str">
        <f>Direct!$C$18</f>
        <v>Section 406-A: Removal of negative expenditure</v>
      </c>
    </row>
    <row r="110" spans="6:7" ht="15.75" thickBot="1" x14ac:dyDescent="0.3">
      <c r="F110" s="13" t="s">
        <v>484</v>
      </c>
      <c r="G110" s="7" t="str">
        <f>Direct!$C$32</f>
        <v>Section 406-B: Direct share of positive expenditure</v>
      </c>
    </row>
    <row r="111" spans="6:7" ht="15.75" thickTop="1" x14ac:dyDescent="0.25">
      <c r="F111" s="12" t="s">
        <v>313</v>
      </c>
      <c r="G111" s="7" t="str">
        <f>'EDCM discounts'!$C$16</f>
        <v>Section 407-A: Allocation percentages</v>
      </c>
    </row>
    <row r="112" spans="6:7" x14ac:dyDescent="0.25">
      <c r="F112" s="13" t="s">
        <v>484</v>
      </c>
      <c r="G112" s="7" t="str">
        <f>'EDCM discounts'!$C$32</f>
        <v>Section 407-B: S</v>
      </c>
    </row>
    <row r="113" spans="2:7" x14ac:dyDescent="0.25">
      <c r="F113" s="13" t="s">
        <v>484</v>
      </c>
      <c r="G113" s="7" t="str">
        <f>'EDCM discounts'!$C$50</f>
        <v>Section 407-C: P</v>
      </c>
    </row>
    <row r="114" spans="2:7" x14ac:dyDescent="0.25">
      <c r="F114" s="13" t="s">
        <v>484</v>
      </c>
      <c r="G114" s="7" t="str">
        <f>'EDCM discounts'!$C$62</f>
        <v>Section 407-D: P adder</v>
      </c>
    </row>
    <row r="115" spans="2:7" x14ac:dyDescent="0.25">
      <c r="F115" s="13" t="s">
        <v>484</v>
      </c>
      <c r="G115" s="7" t="str">
        <f>'EDCM discounts'!$C$79</f>
        <v>Section 407-E: U</v>
      </c>
    </row>
    <row r="116" spans="2:7" x14ac:dyDescent="0.25">
      <c r="F116" s="13" t="s">
        <v>484</v>
      </c>
      <c r="G116" s="7" t="str">
        <f>'EDCM discounts'!$C$91</f>
        <v>Section 407-F: EDCM user discounts (before cap)</v>
      </c>
    </row>
    <row r="117" spans="2:7" ht="15.75" thickBot="1" x14ac:dyDescent="0.3">
      <c r="F117" s="13" t="s">
        <v>484</v>
      </c>
      <c r="G117" s="7" t="str">
        <f>'EDCM discounts'!$C$100</f>
        <v>Section 407-G: EDCM user discounts</v>
      </c>
    </row>
    <row r="118" spans="2:7" ht="15.75" thickTop="1" x14ac:dyDescent="0.25">
      <c r="F118" s="12" t="s">
        <v>26</v>
      </c>
      <c r="G118" s="7" t="str">
        <f>'CDCM discounts'!$C$15</f>
        <v>Section 408-A: Allocation percentages</v>
      </c>
    </row>
    <row r="119" spans="2:7" x14ac:dyDescent="0.25">
      <c r="F119" s="13" t="s">
        <v>484</v>
      </c>
      <c r="G119" s="7" t="str">
        <f>'CDCM discounts'!$C$25</f>
        <v>Section 408-B: Parameters for splitting allocations at circuits levels</v>
      </c>
    </row>
    <row r="120" spans="2:7" ht="15.75" thickBot="1" x14ac:dyDescent="0.3">
      <c r="F120" s="13" t="s">
        <v>484</v>
      </c>
      <c r="G120" s="7" t="str">
        <f>'CDCM discounts'!$C$33</f>
        <v>Section 408-C: PCDM user discounts for CDCM</v>
      </c>
    </row>
    <row r="121" spans="2:7" ht="15.75" thickTop="1" x14ac:dyDescent="0.25">
      <c r="F121" s="10" t="s">
        <v>513</v>
      </c>
      <c r="G121" s="7" t="str">
        <f>'Output to other models'!$C$15</f>
        <v>Output 401-A: PCDM user discount for CDCM</v>
      </c>
    </row>
    <row r="122" spans="2:7" x14ac:dyDescent="0.25">
      <c r="F122" s="11" t="s">
        <v>484</v>
      </c>
      <c r="G122" s="7" t="str">
        <f>'Output to other models'!$C$25</f>
        <v>Output 401-B: PCDM user discount for EDCM</v>
      </c>
    </row>
    <row r="124" spans="2:7" x14ac:dyDescent="0.25">
      <c r="B124" s="2" t="s">
        <v>30</v>
      </c>
      <c r="C124" s="2"/>
      <c r="D124" s="2"/>
      <c r="E124" s="2"/>
      <c r="F124" s="2"/>
      <c r="G124" s="2"/>
    </row>
  </sheetData>
  <sheetProtection sheet="1" objects="1"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7" display="'MEAV'!$B$97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1" location="'DNO inputs'!A4" display="'"/>
    <hyperlink ref="G61" location="'DNO inputs'!$C$15" display="'DNO inputs'!$C$15"/>
    <hyperlink ref="F62" location="'DNO inputs'!A4" display="'"/>
    <hyperlink ref="G62" location="'DNO inputs'!$C$21" display="'DNO inputs'!$C$21"/>
    <hyperlink ref="F63" location="'DNO inputs'!A4" display="'"/>
    <hyperlink ref="G63" location="'DNO inputs'!$C$32" display="'DNO inputs'!$C$32"/>
    <hyperlink ref="F64" location="'DNO inputs'!A4" display="'"/>
    <hyperlink ref="G64" location="'DNO inputs'!$C$44" display="'DNO inputs'!$C$44"/>
    <hyperlink ref="F65" location="'DNO inputs'!A4" display="'"/>
    <hyperlink ref="G65" location="'DNO inputs'!$C$55" display="'DNO inputs'!$C$55"/>
    <hyperlink ref="F66" location="'DNO inputs'!A4" display="'"/>
    <hyperlink ref="G66" location="'DNO inputs'!$C$147" display="'DNO inputs'!$C$147"/>
    <hyperlink ref="F67" location="'DNO inputs'!A4" display="'"/>
    <hyperlink ref="G67" location="'DNO inputs'!$C$238" display="'DNO inputs'!$C$238"/>
    <hyperlink ref="F68" location="'DNO inputs'!A4" display="'"/>
    <hyperlink ref="G68" location="'DNO inputs'!$C$279" display="'DNO inputs'!$C$279"/>
    <hyperlink ref="F69" location="'DNO inputs'!A4" display="'"/>
    <hyperlink ref="G69" location="'DNO inputs'!$C$320" display="'DNO inputs'!$C$320"/>
    <hyperlink ref="F70" location="'DNO inputs'!A4" display="'"/>
    <hyperlink ref="G70" location="'DNO inputs'!$C$331" display="'DNO inputs'!$C$331"/>
    <hyperlink ref="F71" location="'DNO inputs'!A4" display="'"/>
    <hyperlink ref="G71" location="'DNO inputs'!$C$343" display="'DNO inputs'!$C$343"/>
    <hyperlink ref="F72" location="'DNO inputs'!A4" display="'"/>
    <hyperlink ref="G72" location="'DNO inputs'!$C$350" display="'DNO inputs'!$C$350"/>
    <hyperlink ref="F73" location="'DNO inputs'!A4" display="'"/>
    <hyperlink ref="G73" location="'DNO inputs'!$C$359" display="'DNO inputs'!$C$359"/>
    <hyperlink ref="F74" location="'DNO inputs'!A4" display="'"/>
    <hyperlink ref="G74" location="'DNO inputs'!$C$365" display="'DNO inputs'!$C$365"/>
    <hyperlink ref="F75" location="'DNO inputs'!A4" display="'"/>
    <hyperlink ref="G75" location="'DNO inputs'!$C$371" display="'DNO inputs'!$C$371"/>
    <hyperlink ref="F76" location="'DNO inputs'!A4" display="'"/>
    <hyperlink ref="G76" location="'DNO inputs'!$C$378" display="'DNO inputs'!$C$378"/>
    <hyperlink ref="F77" location="'DNO inputs'!A4" display="'"/>
    <hyperlink ref="G77" location="'DNO inputs'!$C$387" display="'DNO inputs'!$C$387"/>
    <hyperlink ref="F78" location="'MEAV'!A4" display="'"/>
    <hyperlink ref="G78" location="'MEAV'!$C$18" display="'MEAV'!$C$18"/>
    <hyperlink ref="F79" location="'MEAV'!A4" display="'"/>
    <hyperlink ref="G79" location="'MEAV'!$C$27" display="'MEAV'!$C$27"/>
    <hyperlink ref="F80" location="'MEAV'!A4" display="'"/>
    <hyperlink ref="G80" location="'MEAV'!$C$49" display="'MEAV'!$C$49"/>
    <hyperlink ref="F81" location="'MEAV'!A4" display="'"/>
    <hyperlink ref="G81" location="'MEAV'!$C$78" display="'MEAV'!$C$78"/>
    <hyperlink ref="F82" location="'MEAV'!A4" display="'"/>
    <hyperlink ref="G82" location="'MEAV'!$C$101" display="'MEAV'!$C$101"/>
    <hyperlink ref="F83" location="'MEAV'!A4" display="'"/>
    <hyperlink ref="G83" location="'MEAV'!$C$120" display="'MEAV'!$C$120"/>
    <hyperlink ref="F84" location="'Expenditure'!A4" display="'"/>
    <hyperlink ref="G84" location="'Expenditure'!$C$16" display="'Expenditure'!$C$16"/>
    <hyperlink ref="F85" location="'Expenditure'!A4" display="'"/>
    <hyperlink ref="G85" location="'Expenditure'!$C$36" display="'Expenditure'!$C$36"/>
    <hyperlink ref="F86" location="'Expenditure'!A4" display="'"/>
    <hyperlink ref="G86" location="'Expenditure'!$C$58" display="'Expenditure'!$C$58"/>
    <hyperlink ref="F87" location="'Expenditure'!A4" display="'"/>
    <hyperlink ref="G87" location="'Expenditure'!$C$71" display="'Expenditure'!$C$71"/>
    <hyperlink ref="F88" location="'Expenditure'!A4" display="'"/>
    <hyperlink ref="G88" location="'Expenditure'!$C$87" display="'Expenditure'!$C$87"/>
    <hyperlink ref="F89" location="'Expenditure'!A4" display="'"/>
    <hyperlink ref="G89" location="'Expenditure'!$C$107" display="'Expenditure'!$C$107"/>
    <hyperlink ref="F90" location="'Expenditure'!A4" display="'"/>
    <hyperlink ref="G90" location="'Expenditure'!$C$126" display="'Expenditure'!$C$126"/>
    <hyperlink ref="F91" location="'Expensed'!A4" display="'"/>
    <hyperlink ref="G91" location="'Expensed'!$C$18" display="'Expensed'!$C$18"/>
    <hyperlink ref="F92" location="'Expensed'!A4" display="'"/>
    <hyperlink ref="G92" location="'Expensed'!$C$34" display="'Expensed'!$C$34"/>
    <hyperlink ref="F93" location="'Expensed'!A4" display="'"/>
    <hyperlink ref="G93" location="'Expensed'!$C$40" display="'Expensed'!$C$40"/>
    <hyperlink ref="F94" location="'Expensed'!A4" display="'"/>
    <hyperlink ref="G94" location="'Expensed'!$C$64" display="'Expensed'!$C$64"/>
    <hyperlink ref="F95" location="'Capitalised'!A4" display="'"/>
    <hyperlink ref="G95" location="'Capitalised'!$C$18" display="'Capitalised'!$C$18"/>
    <hyperlink ref="F96" location="'Capitalised'!A4" display="'"/>
    <hyperlink ref="G96" location="'Capitalised'!$C$27" display="'Capitalised'!$C$27"/>
    <hyperlink ref="F97" location="'Capitalised'!A4" display="'"/>
    <hyperlink ref="G97" location="'Capitalised'!$C$47" display="'Capitalised'!$C$47"/>
    <hyperlink ref="F98" location="'Rev allocation'!A4" display="'"/>
    <hyperlink ref="G98" location="'Rev allocation'!$C$16" display="'Rev allocation'!$C$16"/>
    <hyperlink ref="F99" location="'Rev allocation'!A4" display="'"/>
    <hyperlink ref="G99" location="'Rev allocation'!$C$31" display="'Rev allocation'!$C$31"/>
    <hyperlink ref="F100" location="'Rev allocation'!A4" display="'"/>
    <hyperlink ref="G100" location="'Rev allocation'!$C$41" display="'Rev allocation'!$C$41"/>
    <hyperlink ref="F101" location="'Rev allocation'!A4" display="'"/>
    <hyperlink ref="G101" location="'Rev allocation'!$C$56" display="'Rev allocation'!$C$56"/>
    <hyperlink ref="F102" location="'Rev allocation'!A4" display="'"/>
    <hyperlink ref="G102" location="'Rev allocation'!$C$72" display="'Rev allocation'!$C$72"/>
    <hyperlink ref="F103" location="'Rev allocation'!A4" display="'"/>
    <hyperlink ref="G103" location="'Rev allocation'!$C$80" display="'Rev allocation'!$C$80"/>
    <hyperlink ref="F104" location="'Rev allocation'!A4" display="'"/>
    <hyperlink ref="G104" location="'Rev allocation'!$C$90" display="'Rev allocation'!$C$90"/>
    <hyperlink ref="F105" location="'Rev allocation'!A4" display="'"/>
    <hyperlink ref="G105" location="'Rev allocation'!$C$126" display="'Rev allocation'!$C$126"/>
    <hyperlink ref="F106" location="'Rev allocation'!A4" display="'"/>
    <hyperlink ref="G106" location="'Rev allocation'!$C$142" display="'Rev allocation'!$C$142"/>
    <hyperlink ref="F107" location="'Rev allocation'!A4" display="'"/>
    <hyperlink ref="G107" location="'Rev allocation'!$C$156" display="'Rev allocation'!$C$156"/>
    <hyperlink ref="F108" location="'Rev allocation'!A4" display="'"/>
    <hyperlink ref="G108" location="'Rev allocation'!$C$160" display="'Rev allocation'!$C$160"/>
    <hyperlink ref="F109" location="'Direct'!A4" display="'"/>
    <hyperlink ref="G109" location="'Direct'!$C$18" display="'Direct'!$C$18"/>
    <hyperlink ref="F110" location="'Direct'!A4" display="'"/>
    <hyperlink ref="G110" location="'Direct'!$C$32" display="'Direct'!$C$32"/>
    <hyperlink ref="F111" location="'EDCM discounts'!A4" display="'"/>
    <hyperlink ref="G111" location="'EDCM discounts'!$C$16" display="'EDCM discounts'!$C$16"/>
    <hyperlink ref="F112" location="'EDCM discounts'!A4" display="'"/>
    <hyperlink ref="G112" location="'EDCM discounts'!$C$32" display="'EDCM discounts'!$C$32"/>
    <hyperlink ref="F113" location="'EDCM discounts'!A4" display="'"/>
    <hyperlink ref="G113" location="'EDCM discounts'!$C$50" display="'EDCM discounts'!$C$50"/>
    <hyperlink ref="F114" location="'EDCM discounts'!A4" display="'"/>
    <hyperlink ref="G114" location="'EDCM discounts'!$C$62" display="'EDCM discounts'!$C$62"/>
    <hyperlink ref="F115" location="'EDCM discounts'!A4" display="'"/>
    <hyperlink ref="G115" location="'EDCM discounts'!$C$79" display="'EDCM discounts'!$C$79"/>
    <hyperlink ref="F116" location="'EDCM discounts'!A4" display="'"/>
    <hyperlink ref="G116" location="'EDCM discounts'!$C$91" display="'EDCM discounts'!$C$91"/>
    <hyperlink ref="F117" location="'EDCM discounts'!A4" display="'"/>
    <hyperlink ref="G117" location="'EDCM discounts'!$C$100" display="'EDCM discounts'!$C$100"/>
    <hyperlink ref="F118" location="'CDCM discounts'!A4" display="'"/>
    <hyperlink ref="G118" location="'CDCM discounts'!$C$15" display="'CDCM discounts'!$C$15"/>
    <hyperlink ref="F119" location="'CDCM discounts'!A4" display="'"/>
    <hyperlink ref="G119" location="'CDCM discounts'!$C$25" display="'CDCM discounts'!$C$25"/>
    <hyperlink ref="F120" location="'CDCM discounts'!A4" display="'"/>
    <hyperlink ref="G120" location="'CDCM discounts'!$C$33" display="'CDCM discounts'!$C$33"/>
    <hyperlink ref="F121" location="'Output to other models'!A4" display="'"/>
    <hyperlink ref="G121" location="'Output to other models'!$C$15" display="'Output to other models'!$C$15"/>
    <hyperlink ref="F122" location="'Output to other models'!A4" display="'"/>
    <hyperlink ref="G122" location="'Output to other models'!$C$25" display="'Output to other models'!$C$2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x14ac:dyDescent="0.2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25">
      <c r="A9" s="73"/>
      <c r="B9" s="73"/>
      <c r="C9" s="109" t="s">
        <v>681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2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25">
      <c r="A13" s="73"/>
      <c r="B13" s="73"/>
      <c r="C13" s="109" t="s">
        <v>432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25">
      <c r="A15" s="73"/>
      <c r="B15" s="73"/>
      <c r="C15" s="110" t="s">
        <v>614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25">
      <c r="A17" s="73"/>
      <c r="B17" s="73"/>
      <c r="C17" s="73"/>
      <c r="D17" s="73"/>
      <c r="E17" s="115" t="s">
        <v>487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2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25">
      <c r="A19" s="101"/>
      <c r="B19" s="107" t="s">
        <v>672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2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25">
      <c r="A21" s="73"/>
      <c r="B21" s="73"/>
      <c r="C21" s="109" t="s">
        <v>682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25">
      <c r="A23" s="101"/>
      <c r="B23" s="101"/>
      <c r="C23" s="110" t="s">
        <v>644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2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25">
      <c r="A25" s="73"/>
      <c r="B25" s="73"/>
      <c r="C25" s="109"/>
      <c r="D25" s="109" t="s">
        <v>559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2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566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25">
      <c r="A29" s="101"/>
      <c r="B29" s="101"/>
      <c r="C29" s="110" t="s">
        <v>645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2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25">
      <c r="A31" s="73"/>
      <c r="B31" s="73"/>
      <c r="C31" s="109"/>
      <c r="D31" s="109" t="s">
        <v>557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25">
      <c r="A32" s="73"/>
      <c r="B32" s="73"/>
      <c r="C32" s="109"/>
      <c r="D32" s="109" t="s">
        <v>558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25">
      <c r="A34" s="115"/>
      <c r="B34" s="73"/>
      <c r="C34" s="73"/>
      <c r="D34" s="109"/>
      <c r="E34" s="115" t="s">
        <v>534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566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2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566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25">
      <c r="A37" s="101"/>
      <c r="B37" s="101"/>
      <c r="C37" s="110" t="s">
        <v>646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2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25">
      <c r="A39" s="73"/>
      <c r="B39" s="73"/>
      <c r="C39" s="109"/>
      <c r="D39" s="109" t="s">
        <v>687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25">
      <c r="A40" s="73"/>
      <c r="B40" s="73"/>
      <c r="C40" s="109"/>
      <c r="D40" s="109" t="s">
        <v>556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25">
      <c r="A41" s="73"/>
      <c r="B41" s="73"/>
      <c r="C41" s="73"/>
      <c r="D41" s="109" t="s">
        <v>496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2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2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2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2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25">
      <c r="A46" s="73"/>
      <c r="B46" s="73"/>
      <c r="C46" s="73"/>
      <c r="D46" s="73"/>
      <c r="E46" s="73"/>
      <c r="F46" s="217" t="s">
        <v>184</v>
      </c>
      <c r="G46" s="217" t="s">
        <v>354</v>
      </c>
      <c r="H46" s="219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25">
      <c r="A47" s="73"/>
      <c r="B47" s="73"/>
      <c r="C47" s="73"/>
      <c r="D47" s="73"/>
      <c r="E47" s="73"/>
      <c r="F47" s="218" t="s">
        <v>195</v>
      </c>
      <c r="G47" s="117" t="s">
        <v>354</v>
      </c>
      <c r="H47" s="220" t="s">
        <v>739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2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25">
      <c r="A51" s="73"/>
      <c r="B51" s="73"/>
      <c r="C51" s="73"/>
      <c r="D51" s="73"/>
      <c r="E51" s="217" t="s">
        <v>740</v>
      </c>
      <c r="F51" s="73"/>
      <c r="G51" s="115" t="s">
        <v>181</v>
      </c>
      <c r="H51" s="23" t="s">
        <v>739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2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417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2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2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2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2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2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2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2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2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2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2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2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2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2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2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2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2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2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2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2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2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2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2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2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2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2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2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2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2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2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2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2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2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25">
      <c r="A86" s="73"/>
      <c r="B86" s="73"/>
      <c r="C86" s="73"/>
      <c r="D86" s="73"/>
      <c r="E86" s="73"/>
      <c r="F86" s="217" t="s">
        <v>742</v>
      </c>
      <c r="G86" s="217" t="s">
        <v>354</v>
      </c>
      <c r="H86" s="26" t="s">
        <v>739</v>
      </c>
      <c r="I86" s="136" t="s">
        <v>314</v>
      </c>
      <c r="J86" s="134"/>
      <c r="K86" s="134"/>
      <c r="L86" s="134"/>
      <c r="M86" s="134"/>
      <c r="N86" s="74"/>
      <c r="O86" s="73" t="s">
        <v>752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25">
      <c r="A87" s="73"/>
      <c r="B87" s="73"/>
      <c r="C87" s="73"/>
      <c r="D87" s="73"/>
      <c r="E87" s="73"/>
      <c r="F87" s="218" t="s">
        <v>741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752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25">
      <c r="A89" s="101"/>
      <c r="B89" s="101"/>
      <c r="C89" s="110" t="s">
        <v>615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25">
      <c r="A91" s="73"/>
      <c r="B91" s="73"/>
      <c r="C91" s="109"/>
      <c r="D91" s="109" t="s">
        <v>560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25">
      <c r="A92" s="73"/>
      <c r="B92" s="73"/>
      <c r="C92" s="109"/>
      <c r="D92" s="109" t="s">
        <v>561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2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2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417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2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2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2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2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2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2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2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2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2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2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2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2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2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2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2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2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2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2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2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2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2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2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2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2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2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2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2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2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2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2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2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2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25">
      <c r="A127" s="73"/>
      <c r="B127" s="73"/>
      <c r="C127" s="73"/>
      <c r="D127" s="73"/>
      <c r="E127" s="73"/>
      <c r="F127" s="115" t="s">
        <v>742</v>
      </c>
      <c r="G127" s="217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25">
      <c r="A128" s="73"/>
      <c r="B128" s="73"/>
      <c r="C128" s="73"/>
      <c r="D128" s="73"/>
      <c r="E128" s="73"/>
      <c r="F128" s="117" t="s">
        <v>741</v>
      </c>
      <c r="G128" s="218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2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25">
      <c r="A130" s="101"/>
      <c r="B130" s="101"/>
      <c r="C130" s="110" t="s">
        <v>616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2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25">
      <c r="A132" s="73"/>
      <c r="B132" s="73"/>
      <c r="C132" s="109"/>
      <c r="D132" s="109" t="s">
        <v>562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25">
      <c r="A133" s="73"/>
      <c r="B133" s="73"/>
      <c r="C133" s="109"/>
      <c r="D133" s="109" t="s">
        <v>688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2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2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2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2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2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25">
      <c r="A139" s="115"/>
      <c r="B139" s="73"/>
      <c r="C139" s="73"/>
      <c r="D139" s="73"/>
      <c r="E139" s="112" t="s">
        <v>691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417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2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2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2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2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2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2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2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2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2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2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2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2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2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2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2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2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2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2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2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2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2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2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2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2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2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2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2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2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2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2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2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2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25">
      <c r="A172" s="73"/>
      <c r="B172" s="73"/>
      <c r="C172" s="73"/>
      <c r="D172" s="73"/>
      <c r="E172" s="73"/>
      <c r="F172" s="115" t="s">
        <v>742</v>
      </c>
      <c r="G172" s="217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752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25">
      <c r="A173" s="73"/>
      <c r="B173" s="73"/>
      <c r="C173" s="73"/>
      <c r="D173" s="73"/>
      <c r="E173" s="73"/>
      <c r="F173" s="117" t="s">
        <v>741</v>
      </c>
      <c r="G173" s="218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752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2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25">
      <c r="A175" s="101"/>
      <c r="B175" s="101"/>
      <c r="C175" s="110" t="s">
        <v>678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2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25">
      <c r="A177" s="73"/>
      <c r="B177" s="73"/>
      <c r="C177" s="109"/>
      <c r="D177" s="109" t="s">
        <v>689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2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2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2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2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2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2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2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25">
      <c r="A186" s="115"/>
      <c r="B186" s="73"/>
      <c r="C186" s="73"/>
      <c r="D186" s="73"/>
      <c r="E186" s="112" t="s">
        <v>690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2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2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2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2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2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2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2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2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2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2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2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2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2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2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2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2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2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2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2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2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2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2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2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2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2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2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2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2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2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2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2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2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2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2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2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2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2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2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2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2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2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2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2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2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2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2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2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2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2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2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2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2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2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2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2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2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2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2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2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2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2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2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2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2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2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2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2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2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2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2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2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2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2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2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2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2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2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2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2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2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2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2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2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2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2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2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25">
      <c r="A273" s="101"/>
      <c r="B273" s="101"/>
      <c r="C273" s="110" t="s">
        <v>695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2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25">
      <c r="A275" s="73"/>
      <c r="B275" s="73"/>
      <c r="C275" s="109"/>
      <c r="D275" s="109" t="s">
        <v>692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25">
      <c r="A276" s="73"/>
      <c r="B276" s="73"/>
      <c r="C276" s="109"/>
      <c r="D276" s="109" t="s">
        <v>693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2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25">
      <c r="A278" s="73"/>
      <c r="B278" s="73"/>
      <c r="C278" s="73"/>
      <c r="D278" s="109"/>
      <c r="E278" s="112" t="s">
        <v>563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2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2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2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2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2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514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2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25">
      <c r="A285" s="115"/>
      <c r="B285" s="73"/>
      <c r="C285" s="73"/>
      <c r="D285" s="73"/>
      <c r="E285" s="112" t="s">
        <v>694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2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514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2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514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2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514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2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514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2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514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2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514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2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514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2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514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2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514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2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514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2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514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2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514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2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514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2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514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2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514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2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514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2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514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2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514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2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514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2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514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2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514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2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514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2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2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2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514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2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514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2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514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2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514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2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514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2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2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2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514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2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514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2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514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2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514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2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514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2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514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2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514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2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514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2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514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2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2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2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2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2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2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2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2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2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2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2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2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2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2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2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2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2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2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2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2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2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2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2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2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2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2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2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2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2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2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2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2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2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2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2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2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2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2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2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2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2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2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2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2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514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2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514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2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25">
      <c r="A372" s="101"/>
      <c r="B372" s="101"/>
      <c r="C372" s="110" t="s">
        <v>696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2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25">
      <c r="A374" s="73"/>
      <c r="B374" s="73"/>
      <c r="C374" s="109"/>
      <c r="D374" s="109" t="s">
        <v>697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2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25">
      <c r="A376" s="115"/>
      <c r="B376" s="73"/>
      <c r="C376" s="73"/>
      <c r="D376" s="109"/>
      <c r="E376" s="112" t="s">
        <v>698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567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2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2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2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2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25">
      <c r="A381" s="101"/>
      <c r="B381" s="101"/>
      <c r="C381" s="110" t="s">
        <v>699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2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25">
      <c r="A383" s="73"/>
      <c r="B383" s="73"/>
      <c r="C383" s="109"/>
      <c r="D383" s="109" t="s">
        <v>564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2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25">
      <c r="A385" s="115"/>
      <c r="B385" s="73"/>
      <c r="C385" s="73"/>
      <c r="D385" s="109"/>
      <c r="E385" s="112" t="s">
        <v>700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567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2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2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2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2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25">
      <c r="A390" s="73"/>
      <c r="B390" s="101"/>
      <c r="C390" s="110" t="s">
        <v>617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2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25">
      <c r="A392" s="73"/>
      <c r="B392" s="73"/>
      <c r="C392" s="73"/>
      <c r="D392" s="109" t="s">
        <v>679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25">
      <c r="A393" s="73"/>
      <c r="B393" s="73"/>
      <c r="C393" s="73"/>
      <c r="D393" s="109" t="s">
        <v>680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2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45" x14ac:dyDescent="0.25">
      <c r="A395" s="115"/>
      <c r="B395" s="73"/>
      <c r="C395" s="73"/>
      <c r="D395" s="109"/>
      <c r="E395" s="112" t="s">
        <v>521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566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2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2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2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2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2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2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2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2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x14ac:dyDescent="0.25">
      <c r="A404" s="101"/>
      <c r="B404" s="107" t="s">
        <v>30</v>
      </c>
      <c r="C404" s="107"/>
      <c r="D404" s="107"/>
      <c r="E404" s="107"/>
      <c r="F404" s="107"/>
      <c r="G404" s="107"/>
      <c r="H404" s="108"/>
      <c r="I404" s="108"/>
      <c r="J404" s="108"/>
      <c r="K404" s="108"/>
      <c r="L404" s="108"/>
      <c r="M404" s="108"/>
      <c r="N404" s="108"/>
      <c r="O404" s="107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zoomScale="80" zoomScaleNormal="80" workbookViewId="0">
      <pane xSplit="9" ySplit="5" topLeftCell="J387" activePane="bottomRight" state="frozenSplit"/>
      <selection pane="topRight" activeCell="J1" sqref="J1"/>
      <selection pane="bottomLeft" activeCell="A261" sqref="A261"/>
      <selection pane="bottomRight" activeCell="K386" sqref="K38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436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101"/>
      <c r="B11" s="107" t="s">
        <v>673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435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101"/>
      <c r="B15" s="101"/>
      <c r="C15" s="110" t="s">
        <v>618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25">
      <c r="A17" s="73"/>
      <c r="B17" s="73"/>
      <c r="C17" s="73"/>
      <c r="D17" s="109" t="s">
        <v>537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3.4378309150233391E-2</v>
      </c>
      <c r="I19" s="131" t="s">
        <v>314</v>
      </c>
      <c r="J19" s="135"/>
      <c r="K19" s="135"/>
      <c r="L19" s="135"/>
      <c r="M19" s="135"/>
      <c r="N19" s="74"/>
      <c r="O19" s="115" t="s">
        <v>597</v>
      </c>
      <c r="P19" s="42"/>
    </row>
    <row r="20" spans="1:16" x14ac:dyDescent="0.2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25">
      <c r="A21" s="101"/>
      <c r="B21" s="101"/>
      <c r="C21" s="110" t="s">
        <v>619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25">
      <c r="A23" s="73"/>
      <c r="B23" s="73"/>
      <c r="C23" s="73"/>
      <c r="D23" s="109" t="s">
        <v>462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25">
      <c r="A24" s="73"/>
      <c r="B24" s="73"/>
      <c r="C24" s="73"/>
      <c r="D24" s="109" t="s">
        <v>463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2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2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0.70746430741726707</v>
      </c>
      <c r="I26" s="131" t="s">
        <v>314</v>
      </c>
      <c r="J26" s="135"/>
      <c r="K26" s="135"/>
      <c r="L26" s="135"/>
      <c r="M26" s="135"/>
      <c r="N26" s="74"/>
      <c r="O26" s="115" t="s">
        <v>598</v>
      </c>
      <c r="P26" s="42"/>
    </row>
    <row r="27" spans="1:16" x14ac:dyDescent="0.2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25">
      <c r="A28" s="101"/>
      <c r="B28" s="107" t="s">
        <v>433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437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101"/>
      <c r="B32" s="101"/>
      <c r="C32" s="110" t="s">
        <v>620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419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25">
      <c r="A35" s="73"/>
      <c r="B35" s="73"/>
      <c r="C35" s="73"/>
      <c r="D35" s="109" t="s">
        <v>724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">
        <v>418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599</v>
      </c>
      <c r="P37" s="42"/>
    </row>
    <row r="38" spans="1:16" x14ac:dyDescent="0.25">
      <c r="A38" s="73"/>
      <c r="B38" s="73"/>
      <c r="C38" s="73"/>
      <c r="D38" s="73"/>
      <c r="E38" s="109"/>
      <c r="F38" s="113" t="s">
        <v>35</v>
      </c>
      <c r="G38" s="113" t="s">
        <v>440</v>
      </c>
      <c r="H38" s="36">
        <v>224578634.54250643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">
        <v>36</v>
      </c>
      <c r="G39" s="115" t="s">
        <v>440</v>
      </c>
      <c r="H39" s="37">
        <v>91833380.645991117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">
        <v>37</v>
      </c>
      <c r="G40" s="115" t="s">
        <v>440</v>
      </c>
      <c r="H40" s="37">
        <v>463832302.69312412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">
        <v>38</v>
      </c>
      <c r="G41" s="115" t="s">
        <v>440</v>
      </c>
      <c r="H41" s="37">
        <v>188505546.93630758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7" t="s">
        <v>39</v>
      </c>
      <c r="G42" s="117" t="s">
        <v>440</v>
      </c>
      <c r="H42" s="38">
        <v>0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25">
      <c r="A44" s="101"/>
      <c r="B44" s="101"/>
      <c r="C44" s="110" t="s">
        <v>621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2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73"/>
      <c r="B46" s="73"/>
      <c r="C46" s="73"/>
      <c r="D46" s="109" t="s">
        <v>420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25">
      <c r="A47" s="73"/>
      <c r="B47" s="73"/>
      <c r="C47" s="73"/>
      <c r="D47" s="109" t="s">
        <v>707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2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25">
      <c r="A49" s="115"/>
      <c r="B49" s="73"/>
      <c r="C49" s="73"/>
      <c r="D49" s="73"/>
      <c r="E49" s="115" t="s">
        <v>42</v>
      </c>
      <c r="F49" s="73"/>
      <c r="G49" s="115" t="s">
        <v>440</v>
      </c>
      <c r="H49" s="37">
        <v>116374254.74551004</v>
      </c>
      <c r="I49" s="143" t="s">
        <v>314</v>
      </c>
      <c r="J49" s="130"/>
      <c r="K49" s="130"/>
      <c r="L49" s="130"/>
      <c r="M49" s="130"/>
      <c r="N49" s="74"/>
      <c r="O49" s="144" t="s">
        <v>568</v>
      </c>
      <c r="P49" s="42"/>
    </row>
    <row r="50" spans="1:16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25">
      <c r="A51" s="101"/>
      <c r="B51" s="107" t="s">
        <v>434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109" t="s">
        <v>701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01"/>
      <c r="B55" s="101"/>
      <c r="C55" s="110" t="s">
        <v>622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2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25">
      <c r="A57" s="73"/>
      <c r="B57" s="73"/>
      <c r="C57" s="73"/>
      <c r="D57" s="109" t="s">
        <v>709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25">
      <c r="A58" s="73"/>
      <c r="B58" s="73"/>
      <c r="C58" s="73"/>
      <c r="D58" s="109" t="s">
        <v>702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2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2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569</v>
      </c>
      <c r="P60" s="42"/>
    </row>
    <row r="61" spans="1:16" x14ac:dyDescent="0.2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2564.6932808762817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2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154443.4835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2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73881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2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2215.6937900145213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2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3922.5113724006656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25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9943.389729985478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2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1426435.6500000001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2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1581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2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2359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25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5832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25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9447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25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16239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0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2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5256.3909715199998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2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7.4320000000000004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25">
      <c r="A76" s="73"/>
      <c r="B76" s="73"/>
      <c r="C76" s="73"/>
      <c r="D76" s="73"/>
      <c r="E76" s="73"/>
      <c r="F76" s="115" t="s">
        <v>429</v>
      </c>
      <c r="G76" s="115" t="s">
        <v>48</v>
      </c>
      <c r="H76" s="37">
        <v>5087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25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8.4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63676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25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64455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2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6717.7341742693161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25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1533.6935269704331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2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0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2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564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2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6731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2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53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2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4367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2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5707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25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6942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25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0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25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517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25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1241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25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113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25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575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25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977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6057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8864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8491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7078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2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1663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2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330.39199999999994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2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26.745000000000001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2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375.05500000000001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2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634.36099999999999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2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4056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164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5844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1950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235.97403676948835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180.24196323051169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2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73.972000000000008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2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84.476963230511672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2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367.62103676948828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2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2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0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2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256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2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12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2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20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2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4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2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0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2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124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2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379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2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1058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2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13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2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147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2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169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2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197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2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353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2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8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2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598.01499999999999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2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129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2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1239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2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2478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2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23.527000000000005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2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60.755000000000003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2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5.8369999999999997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2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2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80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2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379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2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79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2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186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2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0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2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365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2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803.35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2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1023.3505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25">
      <c r="A147" s="101"/>
      <c r="B147" s="101"/>
      <c r="C147" s="110" t="s">
        <v>623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2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25">
      <c r="A149" s="73"/>
      <c r="B149" s="73"/>
      <c r="C149" s="73"/>
      <c r="D149" s="109" t="s">
        <v>708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2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2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600</v>
      </c>
      <c r="P151" s="42"/>
    </row>
    <row r="152" spans="1:16" x14ac:dyDescent="0.25">
      <c r="A152" s="73"/>
      <c r="B152" s="73"/>
      <c r="C152" s="73"/>
      <c r="D152" s="73"/>
      <c r="E152" s="109"/>
      <c r="F152" s="113" t="s">
        <v>47</v>
      </c>
      <c r="G152" s="113" t="s">
        <v>438</v>
      </c>
      <c r="H152" s="36">
        <v>28282.769999999997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25">
      <c r="A153" s="73"/>
      <c r="B153" s="73"/>
      <c r="C153" s="73"/>
      <c r="D153" s="73"/>
      <c r="E153" s="73"/>
      <c r="F153" s="115" t="s">
        <v>49</v>
      </c>
      <c r="G153" s="115" t="s">
        <v>438</v>
      </c>
      <c r="H153" s="37">
        <v>1015.8699999999998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25">
      <c r="A154" s="73"/>
      <c r="B154" s="73"/>
      <c r="C154" s="73"/>
      <c r="D154" s="73"/>
      <c r="E154" s="73"/>
      <c r="F154" s="115" t="s">
        <v>50</v>
      </c>
      <c r="G154" s="115" t="s">
        <v>438</v>
      </c>
      <c r="H154" s="37">
        <v>2260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25">
      <c r="A155" s="73"/>
      <c r="B155" s="73"/>
      <c r="C155" s="73"/>
      <c r="D155" s="73"/>
      <c r="E155" s="73"/>
      <c r="F155" s="115" t="s">
        <v>51</v>
      </c>
      <c r="G155" s="115" t="s">
        <v>438</v>
      </c>
      <c r="H155" s="37">
        <v>0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25">
      <c r="A156" s="73"/>
      <c r="B156" s="73"/>
      <c r="C156" s="73"/>
      <c r="D156" s="73"/>
      <c r="E156" s="73"/>
      <c r="F156" s="115" t="s">
        <v>52</v>
      </c>
      <c r="G156" s="115" t="s">
        <v>438</v>
      </c>
      <c r="H156" s="37">
        <v>159241.85999999999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25">
      <c r="A157" s="73"/>
      <c r="B157" s="73"/>
      <c r="C157" s="73"/>
      <c r="D157" s="73"/>
      <c r="E157" s="73"/>
      <c r="F157" s="115" t="s">
        <v>53</v>
      </c>
      <c r="G157" s="115" t="s">
        <v>438</v>
      </c>
      <c r="H157" s="37">
        <v>0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25">
      <c r="A158" s="73"/>
      <c r="B158" s="73"/>
      <c r="C158" s="73"/>
      <c r="D158" s="73"/>
      <c r="E158" s="73"/>
      <c r="F158" s="115" t="s">
        <v>54</v>
      </c>
      <c r="G158" s="115" t="s">
        <v>438</v>
      </c>
      <c r="H158" s="37">
        <v>1572.9599999999996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25">
      <c r="A159" s="73"/>
      <c r="B159" s="73"/>
      <c r="C159" s="73"/>
      <c r="D159" s="73"/>
      <c r="E159" s="73"/>
      <c r="F159" s="115" t="s">
        <v>55</v>
      </c>
      <c r="G159" s="115" t="s">
        <v>438</v>
      </c>
      <c r="H159" s="37">
        <v>9379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25">
      <c r="A160" s="73"/>
      <c r="B160" s="73"/>
      <c r="C160" s="73"/>
      <c r="D160" s="73"/>
      <c r="E160" s="73"/>
      <c r="F160" s="115" t="s">
        <v>56</v>
      </c>
      <c r="G160" s="115" t="s">
        <v>438</v>
      </c>
      <c r="H160" s="37">
        <v>9717.9999999999982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25">
      <c r="A161" s="73"/>
      <c r="B161" s="73"/>
      <c r="C161" s="73"/>
      <c r="D161" s="73"/>
      <c r="E161" s="73"/>
      <c r="F161" s="115" t="s">
        <v>57</v>
      </c>
      <c r="G161" s="115" t="s">
        <v>438</v>
      </c>
      <c r="H161" s="37">
        <v>11977.999999999998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25">
      <c r="A162" s="73"/>
      <c r="B162" s="73"/>
      <c r="C162" s="73"/>
      <c r="D162" s="73"/>
      <c r="E162" s="73"/>
      <c r="F162" s="115" t="s">
        <v>58</v>
      </c>
      <c r="G162" s="115" t="s">
        <v>438</v>
      </c>
      <c r="H162" s="37">
        <v>5243.1999999999989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25">
      <c r="A163" s="73"/>
      <c r="B163" s="73"/>
      <c r="C163" s="73"/>
      <c r="D163" s="73"/>
      <c r="E163" s="73"/>
      <c r="F163" s="115" t="s">
        <v>59</v>
      </c>
      <c r="G163" s="115" t="s">
        <v>438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25">
      <c r="A164" s="73"/>
      <c r="B164" s="73"/>
      <c r="C164" s="73"/>
      <c r="D164" s="73"/>
      <c r="E164" s="73"/>
      <c r="F164" s="115" t="s">
        <v>60</v>
      </c>
      <c r="G164" s="115" t="s">
        <v>438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25">
      <c r="A165" s="73"/>
      <c r="B165" s="73"/>
      <c r="C165" s="73"/>
      <c r="D165" s="73"/>
      <c r="E165" s="73"/>
      <c r="F165" s="115" t="s">
        <v>61</v>
      </c>
      <c r="G165" s="115" t="s">
        <v>438</v>
      </c>
      <c r="H165" s="37">
        <v>35255.999999999993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25">
      <c r="A166" s="73"/>
      <c r="B166" s="73"/>
      <c r="C166" s="73"/>
      <c r="D166" s="73"/>
      <c r="E166" s="73"/>
      <c r="F166" s="115" t="s">
        <v>62</v>
      </c>
      <c r="G166" s="115" t="s">
        <v>438</v>
      </c>
      <c r="H166" s="37">
        <v>0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25">
      <c r="A167" s="73"/>
      <c r="B167" s="73"/>
      <c r="C167" s="73"/>
      <c r="D167" s="73"/>
      <c r="E167" s="73"/>
      <c r="F167" s="115" t="s">
        <v>429</v>
      </c>
      <c r="G167" s="115" t="s">
        <v>438</v>
      </c>
      <c r="H167" s="37">
        <v>35595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25">
      <c r="A168" s="73"/>
      <c r="B168" s="73"/>
      <c r="C168" s="73"/>
      <c r="D168" s="73"/>
      <c r="E168" s="73"/>
      <c r="F168" s="115" t="s">
        <v>63</v>
      </c>
      <c r="G168" s="115" t="s">
        <v>438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25">
      <c r="A169" s="73"/>
      <c r="B169" s="73"/>
      <c r="C169" s="73"/>
      <c r="D169" s="73"/>
      <c r="E169" s="73"/>
      <c r="F169" s="115" t="s">
        <v>64</v>
      </c>
      <c r="G169" s="115" t="s">
        <v>438</v>
      </c>
      <c r="H169" s="37">
        <v>2263.9041499999998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25">
      <c r="A170" s="73"/>
      <c r="B170" s="73"/>
      <c r="C170" s="73"/>
      <c r="D170" s="73"/>
      <c r="E170" s="73"/>
      <c r="F170" s="115" t="s">
        <v>65</v>
      </c>
      <c r="G170" s="115" t="s">
        <v>438</v>
      </c>
      <c r="H170" s="37">
        <v>2263.9041499999998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25">
      <c r="A171" s="73"/>
      <c r="B171" s="73"/>
      <c r="C171" s="73"/>
      <c r="D171" s="73"/>
      <c r="E171" s="73"/>
      <c r="F171" s="115" t="s">
        <v>66</v>
      </c>
      <c r="G171" s="115" t="s">
        <v>438</v>
      </c>
      <c r="H171" s="37">
        <v>83055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25">
      <c r="A172" s="73"/>
      <c r="B172" s="73"/>
      <c r="C172" s="73"/>
      <c r="D172" s="73"/>
      <c r="E172" s="73"/>
      <c r="F172" s="115" t="s">
        <v>67</v>
      </c>
      <c r="G172" s="115" t="s">
        <v>438</v>
      </c>
      <c r="H172" s="37">
        <v>83055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25">
      <c r="A173" s="73"/>
      <c r="B173" s="73"/>
      <c r="C173" s="73"/>
      <c r="D173" s="73"/>
      <c r="E173" s="73"/>
      <c r="F173" s="115" t="s">
        <v>68</v>
      </c>
      <c r="G173" s="115" t="s">
        <v>438</v>
      </c>
      <c r="H173" s="37">
        <v>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25">
      <c r="A174" s="73"/>
      <c r="B174" s="73"/>
      <c r="C174" s="73"/>
      <c r="D174" s="73"/>
      <c r="E174" s="73"/>
      <c r="F174" s="115" t="s">
        <v>69</v>
      </c>
      <c r="G174" s="115" t="s">
        <v>438</v>
      </c>
      <c r="H174" s="37">
        <v>9478.4399999999987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25">
      <c r="A175" s="73"/>
      <c r="B175" s="73"/>
      <c r="C175" s="73"/>
      <c r="D175" s="73"/>
      <c r="E175" s="73"/>
      <c r="F175" s="115" t="s">
        <v>70</v>
      </c>
      <c r="G175" s="115" t="s">
        <v>438</v>
      </c>
      <c r="H175" s="37">
        <v>12459.831999999997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25">
      <c r="A176" s="73"/>
      <c r="B176" s="73"/>
      <c r="C176" s="73"/>
      <c r="D176" s="73"/>
      <c r="E176" s="73"/>
      <c r="F176" s="115" t="s">
        <v>71</v>
      </c>
      <c r="G176" s="115" t="s">
        <v>438</v>
      </c>
      <c r="H176" s="37">
        <v>0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25">
      <c r="A177" s="73"/>
      <c r="B177" s="73"/>
      <c r="C177" s="73"/>
      <c r="D177" s="73"/>
      <c r="E177" s="73"/>
      <c r="F177" s="115" t="s">
        <v>72</v>
      </c>
      <c r="G177" s="115" t="s">
        <v>438</v>
      </c>
      <c r="H177" s="37">
        <v>10170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25">
      <c r="A178" s="73"/>
      <c r="B178" s="73"/>
      <c r="C178" s="73"/>
      <c r="D178" s="73"/>
      <c r="E178" s="73"/>
      <c r="F178" s="115" t="s">
        <v>73</v>
      </c>
      <c r="G178" s="115" t="s">
        <v>438</v>
      </c>
      <c r="H178" s="37">
        <v>15255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25">
      <c r="A179" s="73"/>
      <c r="B179" s="73"/>
      <c r="C179" s="73"/>
      <c r="D179" s="73"/>
      <c r="E179" s="73"/>
      <c r="F179" s="115" t="s">
        <v>74</v>
      </c>
      <c r="G179" s="115" t="s">
        <v>438</v>
      </c>
      <c r="H179" s="37">
        <v>0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25">
      <c r="A180" s="73"/>
      <c r="B180" s="73"/>
      <c r="C180" s="73"/>
      <c r="D180" s="73"/>
      <c r="E180" s="73"/>
      <c r="F180" s="115" t="s">
        <v>75</v>
      </c>
      <c r="G180" s="115" t="s">
        <v>438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25">
      <c r="A181" s="73"/>
      <c r="B181" s="73"/>
      <c r="C181" s="73"/>
      <c r="D181" s="73"/>
      <c r="E181" s="73"/>
      <c r="F181" s="115" t="s">
        <v>76</v>
      </c>
      <c r="G181" s="115" t="s">
        <v>438</v>
      </c>
      <c r="H181" s="37">
        <v>9478.4399999999987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25">
      <c r="A182" s="73"/>
      <c r="B182" s="73"/>
      <c r="C182" s="73"/>
      <c r="D182" s="73"/>
      <c r="E182" s="73"/>
      <c r="F182" s="115" t="s">
        <v>77</v>
      </c>
      <c r="G182" s="115" t="s">
        <v>438</v>
      </c>
      <c r="H182" s="37">
        <v>13560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25">
      <c r="A183" s="73"/>
      <c r="B183" s="73"/>
      <c r="C183" s="73"/>
      <c r="D183" s="73"/>
      <c r="E183" s="73"/>
      <c r="F183" s="115" t="s">
        <v>78</v>
      </c>
      <c r="G183" s="115" t="s">
        <v>438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25">
      <c r="A184" s="73"/>
      <c r="B184" s="73"/>
      <c r="C184" s="73"/>
      <c r="D184" s="73"/>
      <c r="E184" s="73"/>
      <c r="F184" s="115" t="s">
        <v>79</v>
      </c>
      <c r="G184" s="115" t="s">
        <v>438</v>
      </c>
      <c r="H184" s="37">
        <v>11412.999999999998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25">
      <c r="A185" s="73"/>
      <c r="B185" s="73"/>
      <c r="C185" s="73"/>
      <c r="D185" s="73"/>
      <c r="E185" s="73"/>
      <c r="F185" s="115" t="s">
        <v>80</v>
      </c>
      <c r="G185" s="115" t="s">
        <v>438</v>
      </c>
      <c r="H185" s="37">
        <v>16425.905999999999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25">
      <c r="A186" s="73"/>
      <c r="B186" s="73"/>
      <c r="C186" s="73"/>
      <c r="D186" s="73"/>
      <c r="E186" s="73"/>
      <c r="F186" s="115" t="s">
        <v>81</v>
      </c>
      <c r="G186" s="115" t="s">
        <v>438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25">
      <c r="A187" s="73"/>
      <c r="B187" s="73"/>
      <c r="C187" s="73"/>
      <c r="D187" s="73"/>
      <c r="E187" s="73"/>
      <c r="F187" s="115" t="s">
        <v>82</v>
      </c>
      <c r="G187" s="115" t="s">
        <v>438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25">
      <c r="A188" s="73"/>
      <c r="B188" s="73"/>
      <c r="C188" s="73"/>
      <c r="D188" s="73"/>
      <c r="E188" s="73"/>
      <c r="F188" s="115" t="s">
        <v>83</v>
      </c>
      <c r="G188" s="115" t="s">
        <v>438</v>
      </c>
      <c r="H188" s="37">
        <v>5235.2899999999991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25">
      <c r="A189" s="73"/>
      <c r="B189" s="73"/>
      <c r="C189" s="73"/>
      <c r="D189" s="73"/>
      <c r="E189" s="73"/>
      <c r="F189" s="115" t="s">
        <v>84</v>
      </c>
      <c r="G189" s="115" t="s">
        <v>438</v>
      </c>
      <c r="H189" s="37">
        <v>13132.181999999999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25">
      <c r="A190" s="73"/>
      <c r="B190" s="73"/>
      <c r="C190" s="73"/>
      <c r="D190" s="73"/>
      <c r="E190" s="73"/>
      <c r="F190" s="115" t="s">
        <v>85</v>
      </c>
      <c r="G190" s="115" t="s">
        <v>438</v>
      </c>
      <c r="H190" s="37">
        <v>5666.9499999999989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25">
      <c r="A191" s="73"/>
      <c r="B191" s="73"/>
      <c r="C191" s="73"/>
      <c r="D191" s="73"/>
      <c r="E191" s="73"/>
      <c r="F191" s="115" t="s">
        <v>86</v>
      </c>
      <c r="G191" s="115" t="s">
        <v>438</v>
      </c>
      <c r="H191" s="37">
        <v>13934.255999999998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25">
      <c r="A192" s="73"/>
      <c r="B192" s="73"/>
      <c r="C192" s="73"/>
      <c r="D192" s="73"/>
      <c r="E192" s="73"/>
      <c r="F192" s="115" t="s">
        <v>87</v>
      </c>
      <c r="G192" s="115" t="s">
        <v>438</v>
      </c>
      <c r="H192" s="37">
        <v>101700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25">
      <c r="A193" s="73"/>
      <c r="B193" s="73"/>
      <c r="C193" s="73"/>
      <c r="D193" s="73"/>
      <c r="E193" s="73"/>
      <c r="F193" s="115" t="s">
        <v>88</v>
      </c>
      <c r="G193" s="115" t="s">
        <v>438</v>
      </c>
      <c r="H193" s="37">
        <v>0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25">
      <c r="A194" s="73"/>
      <c r="B194" s="73"/>
      <c r="C194" s="73"/>
      <c r="D194" s="73"/>
      <c r="E194" s="73"/>
      <c r="F194" s="115" t="s">
        <v>89</v>
      </c>
      <c r="G194" s="115" t="s">
        <v>438</v>
      </c>
      <c r="H194" s="37">
        <v>101700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25">
      <c r="A195" s="73"/>
      <c r="B195" s="73"/>
      <c r="C195" s="73"/>
      <c r="D195" s="73"/>
      <c r="E195" s="73"/>
      <c r="F195" s="115" t="s">
        <v>90</v>
      </c>
      <c r="G195" s="115" t="s">
        <v>438</v>
      </c>
      <c r="H195" s="37">
        <v>101700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25">
      <c r="A196" s="73"/>
      <c r="B196" s="73"/>
      <c r="C196" s="73"/>
      <c r="D196" s="73"/>
      <c r="E196" s="73"/>
      <c r="F196" s="115" t="s">
        <v>91</v>
      </c>
      <c r="G196" s="115" t="s">
        <v>438</v>
      </c>
      <c r="H196" s="37">
        <v>2498.12687185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25">
      <c r="A197" s="73"/>
      <c r="B197" s="73"/>
      <c r="C197" s="73"/>
      <c r="D197" s="73"/>
      <c r="E197" s="73"/>
      <c r="F197" s="115" t="s">
        <v>92</v>
      </c>
      <c r="G197" s="115" t="s">
        <v>438</v>
      </c>
      <c r="H197" s="37">
        <v>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25">
      <c r="A198" s="73"/>
      <c r="B198" s="73"/>
      <c r="C198" s="73"/>
      <c r="D198" s="73"/>
      <c r="E198" s="73"/>
      <c r="F198" s="115" t="s">
        <v>93</v>
      </c>
      <c r="G198" s="115" t="s">
        <v>438</v>
      </c>
      <c r="H198" s="37">
        <v>2498.12687185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25">
      <c r="A199" s="73"/>
      <c r="B199" s="73"/>
      <c r="C199" s="73"/>
      <c r="D199" s="73"/>
      <c r="E199" s="73"/>
      <c r="F199" s="115" t="s">
        <v>94</v>
      </c>
      <c r="G199" s="115" t="s">
        <v>438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25">
      <c r="A200" s="73"/>
      <c r="B200" s="73"/>
      <c r="C200" s="73"/>
      <c r="D200" s="73"/>
      <c r="E200" s="73"/>
      <c r="F200" s="115" t="s">
        <v>95</v>
      </c>
      <c r="G200" s="115" t="s">
        <v>438</v>
      </c>
      <c r="H200" s="37">
        <v>299450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25">
      <c r="A201" s="73"/>
      <c r="B201" s="73"/>
      <c r="C201" s="73"/>
      <c r="D201" s="73"/>
      <c r="E201" s="73"/>
      <c r="F201" s="115" t="s">
        <v>96</v>
      </c>
      <c r="G201" s="115" t="s">
        <v>438</v>
      </c>
      <c r="H201" s="37">
        <v>0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25">
      <c r="A202" s="73"/>
      <c r="B202" s="73"/>
      <c r="C202" s="73"/>
      <c r="D202" s="73"/>
      <c r="E202" s="73"/>
      <c r="F202" s="115" t="s">
        <v>97</v>
      </c>
      <c r="G202" s="115" t="s">
        <v>438</v>
      </c>
      <c r="H202" s="37">
        <v>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25">
      <c r="A203" s="73"/>
      <c r="B203" s="73"/>
      <c r="C203" s="73"/>
      <c r="D203" s="73"/>
      <c r="E203" s="73"/>
      <c r="F203" s="115" t="s">
        <v>98</v>
      </c>
      <c r="G203" s="115" t="s">
        <v>438</v>
      </c>
      <c r="H203" s="37">
        <v>339000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25">
      <c r="A204" s="73"/>
      <c r="B204" s="73"/>
      <c r="C204" s="73"/>
      <c r="D204" s="73"/>
      <c r="E204" s="73"/>
      <c r="F204" s="115" t="s">
        <v>99</v>
      </c>
      <c r="G204" s="115" t="s">
        <v>438</v>
      </c>
      <c r="H204" s="37">
        <v>0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25">
      <c r="A205" s="73"/>
      <c r="B205" s="73"/>
      <c r="C205" s="73"/>
      <c r="D205" s="73"/>
      <c r="E205" s="73"/>
      <c r="F205" s="115" t="s">
        <v>100</v>
      </c>
      <c r="G205" s="115" t="s">
        <v>438</v>
      </c>
      <c r="H205" s="37">
        <v>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25">
      <c r="A206" s="73"/>
      <c r="B206" s="73"/>
      <c r="C206" s="73"/>
      <c r="D206" s="73"/>
      <c r="E206" s="73"/>
      <c r="F206" s="115" t="s">
        <v>101</v>
      </c>
      <c r="G206" s="115" t="s">
        <v>438</v>
      </c>
      <c r="H206" s="37">
        <v>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25">
      <c r="A207" s="73"/>
      <c r="B207" s="73"/>
      <c r="C207" s="73"/>
      <c r="D207" s="73"/>
      <c r="E207" s="73"/>
      <c r="F207" s="115" t="s">
        <v>102</v>
      </c>
      <c r="G207" s="115" t="s">
        <v>438</v>
      </c>
      <c r="H207" s="37">
        <v>186450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25">
      <c r="A208" s="73"/>
      <c r="B208" s="73"/>
      <c r="C208" s="73"/>
      <c r="D208" s="73"/>
      <c r="E208" s="73"/>
      <c r="F208" s="115" t="s">
        <v>103</v>
      </c>
      <c r="G208" s="115" t="s">
        <v>438</v>
      </c>
      <c r="H208" s="37">
        <v>0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25">
      <c r="A209" s="73"/>
      <c r="B209" s="73"/>
      <c r="C209" s="73"/>
      <c r="D209" s="73"/>
      <c r="E209" s="73"/>
      <c r="F209" s="115" t="s">
        <v>104</v>
      </c>
      <c r="G209" s="115" t="s">
        <v>438</v>
      </c>
      <c r="H209" s="37">
        <v>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25">
      <c r="A210" s="73"/>
      <c r="B210" s="73"/>
      <c r="C210" s="73"/>
      <c r="D210" s="73"/>
      <c r="E210" s="73"/>
      <c r="F210" s="115" t="s">
        <v>105</v>
      </c>
      <c r="G210" s="115" t="s">
        <v>438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25">
      <c r="A211" s="73"/>
      <c r="B211" s="73"/>
      <c r="C211" s="73"/>
      <c r="D211" s="73"/>
      <c r="E211" s="73"/>
      <c r="F211" s="115" t="s">
        <v>106</v>
      </c>
      <c r="G211" s="115" t="s">
        <v>438</v>
      </c>
      <c r="H211" s="37">
        <v>0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25">
      <c r="A212" s="73"/>
      <c r="B212" s="73"/>
      <c r="C212" s="73"/>
      <c r="D212" s="73"/>
      <c r="E212" s="73"/>
      <c r="F212" s="115" t="s">
        <v>107</v>
      </c>
      <c r="G212" s="115" t="s">
        <v>438</v>
      </c>
      <c r="H212" s="37">
        <v>0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25">
      <c r="A213" s="73"/>
      <c r="B213" s="73"/>
      <c r="C213" s="73"/>
      <c r="D213" s="73"/>
      <c r="E213" s="73"/>
      <c r="F213" s="115" t="s">
        <v>108</v>
      </c>
      <c r="G213" s="115" t="s">
        <v>438</v>
      </c>
      <c r="H213" s="37">
        <v>186450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25">
      <c r="A214" s="73"/>
      <c r="B214" s="73"/>
      <c r="C214" s="73"/>
      <c r="D214" s="73"/>
      <c r="E214" s="73"/>
      <c r="F214" s="115" t="s">
        <v>109</v>
      </c>
      <c r="G214" s="115" t="s">
        <v>438</v>
      </c>
      <c r="H214" s="37">
        <v>0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25">
      <c r="A215" s="73"/>
      <c r="B215" s="73"/>
      <c r="C215" s="73"/>
      <c r="D215" s="73"/>
      <c r="E215" s="73"/>
      <c r="F215" s="115" t="s">
        <v>110</v>
      </c>
      <c r="G215" s="115" t="s">
        <v>438</v>
      </c>
      <c r="H215" s="37">
        <v>0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25">
      <c r="A216" s="73"/>
      <c r="B216" s="73"/>
      <c r="C216" s="73"/>
      <c r="D216" s="73"/>
      <c r="E216" s="73"/>
      <c r="F216" s="115" t="s">
        <v>111</v>
      </c>
      <c r="G216" s="115" t="s">
        <v>438</v>
      </c>
      <c r="H216" s="37">
        <v>395500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25">
      <c r="A217" s="73"/>
      <c r="B217" s="73"/>
      <c r="C217" s="73"/>
      <c r="D217" s="73"/>
      <c r="E217" s="73"/>
      <c r="F217" s="115" t="s">
        <v>112</v>
      </c>
      <c r="G217" s="115" t="s">
        <v>438</v>
      </c>
      <c r="H217" s="37">
        <v>0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25">
      <c r="A218" s="73"/>
      <c r="B218" s="73"/>
      <c r="C218" s="73"/>
      <c r="D218" s="73"/>
      <c r="E218" s="73"/>
      <c r="F218" s="115" t="s">
        <v>113</v>
      </c>
      <c r="G218" s="115" t="s">
        <v>438</v>
      </c>
      <c r="H218" s="37">
        <v>429400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25">
      <c r="A219" s="73"/>
      <c r="B219" s="73"/>
      <c r="C219" s="73"/>
      <c r="D219" s="73"/>
      <c r="E219" s="73"/>
      <c r="F219" s="115" t="s">
        <v>114</v>
      </c>
      <c r="G219" s="115" t="s">
        <v>438</v>
      </c>
      <c r="H219" s="37">
        <v>0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25">
      <c r="A220" s="73"/>
      <c r="B220" s="73"/>
      <c r="C220" s="73"/>
      <c r="D220" s="73"/>
      <c r="E220" s="73"/>
      <c r="F220" s="115" t="s">
        <v>115</v>
      </c>
      <c r="G220" s="115" t="s">
        <v>438</v>
      </c>
      <c r="H220" s="37">
        <v>0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25">
      <c r="A221" s="73"/>
      <c r="B221" s="73"/>
      <c r="C221" s="73"/>
      <c r="D221" s="73"/>
      <c r="E221" s="73"/>
      <c r="F221" s="115" t="s">
        <v>116</v>
      </c>
      <c r="G221" s="115" t="s">
        <v>438</v>
      </c>
      <c r="H221" s="37">
        <v>151420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25">
      <c r="A222" s="73"/>
      <c r="B222" s="73"/>
      <c r="C222" s="73"/>
      <c r="D222" s="73"/>
      <c r="E222" s="73"/>
      <c r="F222" s="115" t="s">
        <v>117</v>
      </c>
      <c r="G222" s="115" t="s">
        <v>438</v>
      </c>
      <c r="H222" s="37">
        <v>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25">
      <c r="A223" s="73"/>
      <c r="B223" s="73"/>
      <c r="C223" s="73"/>
      <c r="D223" s="73"/>
      <c r="E223" s="73"/>
      <c r="F223" s="115" t="s">
        <v>118</v>
      </c>
      <c r="G223" s="115" t="s">
        <v>438</v>
      </c>
      <c r="H223" s="37">
        <v>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25">
      <c r="A224" s="73"/>
      <c r="B224" s="73"/>
      <c r="C224" s="73"/>
      <c r="D224" s="73"/>
      <c r="E224" s="73"/>
      <c r="F224" s="115" t="s">
        <v>119</v>
      </c>
      <c r="G224" s="115" t="s">
        <v>438</v>
      </c>
      <c r="H224" s="37">
        <v>7910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25">
      <c r="A225" s="73"/>
      <c r="B225" s="73"/>
      <c r="C225" s="73"/>
      <c r="D225" s="73"/>
      <c r="E225" s="73"/>
      <c r="F225" s="115" t="s">
        <v>120</v>
      </c>
      <c r="G225" s="115" t="s">
        <v>438</v>
      </c>
      <c r="H225" s="37">
        <v>773993.49999999988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25">
      <c r="A226" s="73"/>
      <c r="B226" s="73"/>
      <c r="C226" s="73"/>
      <c r="D226" s="73"/>
      <c r="E226" s="73"/>
      <c r="F226" s="115" t="s">
        <v>121</v>
      </c>
      <c r="G226" s="115" t="s">
        <v>438</v>
      </c>
      <c r="H226" s="37">
        <v>0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25">
      <c r="A227" s="73"/>
      <c r="B227" s="73"/>
      <c r="C227" s="73"/>
      <c r="D227" s="73"/>
      <c r="E227" s="73"/>
      <c r="F227" s="115" t="s">
        <v>122</v>
      </c>
      <c r="G227" s="115" t="s">
        <v>438</v>
      </c>
      <c r="H227" s="37">
        <v>0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25">
      <c r="A228" s="73"/>
      <c r="B228" s="73"/>
      <c r="C228" s="73"/>
      <c r="D228" s="73"/>
      <c r="E228" s="73"/>
      <c r="F228" s="115" t="s">
        <v>123</v>
      </c>
      <c r="G228" s="115" t="s">
        <v>438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25">
      <c r="A229" s="73"/>
      <c r="B229" s="73"/>
      <c r="C229" s="73"/>
      <c r="D229" s="73"/>
      <c r="E229" s="73"/>
      <c r="F229" s="115" t="s">
        <v>124</v>
      </c>
      <c r="G229" s="115" t="s">
        <v>438</v>
      </c>
      <c r="H229" s="37">
        <v>621500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25">
      <c r="A230" s="73"/>
      <c r="B230" s="73"/>
      <c r="C230" s="73"/>
      <c r="D230" s="73"/>
      <c r="E230" s="73"/>
      <c r="F230" s="115" t="s">
        <v>125</v>
      </c>
      <c r="G230" s="115" t="s">
        <v>438</v>
      </c>
      <c r="H230" s="37">
        <v>0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25">
      <c r="A231" s="73"/>
      <c r="B231" s="73"/>
      <c r="C231" s="73"/>
      <c r="D231" s="73"/>
      <c r="E231" s="73"/>
      <c r="F231" s="115" t="s">
        <v>126</v>
      </c>
      <c r="G231" s="115" t="s">
        <v>438</v>
      </c>
      <c r="H231" s="37">
        <v>915300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25">
      <c r="A232" s="73"/>
      <c r="B232" s="73"/>
      <c r="C232" s="73"/>
      <c r="D232" s="73"/>
      <c r="E232" s="73"/>
      <c r="F232" s="115" t="s">
        <v>127</v>
      </c>
      <c r="G232" s="115" t="s">
        <v>438</v>
      </c>
      <c r="H232" s="37">
        <v>0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25">
      <c r="A233" s="73"/>
      <c r="B233" s="73"/>
      <c r="C233" s="73"/>
      <c r="D233" s="73"/>
      <c r="E233" s="73"/>
      <c r="F233" s="115" t="s">
        <v>128</v>
      </c>
      <c r="G233" s="115" t="s">
        <v>438</v>
      </c>
      <c r="H233" s="37">
        <v>0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25">
      <c r="A234" s="73"/>
      <c r="B234" s="73"/>
      <c r="C234" s="73"/>
      <c r="D234" s="73"/>
      <c r="E234" s="73"/>
      <c r="F234" s="115" t="s">
        <v>129</v>
      </c>
      <c r="G234" s="115" t="s">
        <v>438</v>
      </c>
      <c r="H234" s="37">
        <v>0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25">
      <c r="A235" s="73"/>
      <c r="B235" s="73"/>
      <c r="C235" s="73"/>
      <c r="D235" s="73"/>
      <c r="E235" s="73"/>
      <c r="F235" s="115" t="s">
        <v>130</v>
      </c>
      <c r="G235" s="115" t="s">
        <v>438</v>
      </c>
      <c r="H235" s="37">
        <v>0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25">
      <c r="A236" s="73"/>
      <c r="B236" s="73"/>
      <c r="C236" s="73"/>
      <c r="D236" s="73"/>
      <c r="E236" s="73"/>
      <c r="F236" s="117" t="s">
        <v>131</v>
      </c>
      <c r="G236" s="117" t="s">
        <v>438</v>
      </c>
      <c r="H236" s="38">
        <v>0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25">
      <c r="A238" s="101"/>
      <c r="B238" s="101"/>
      <c r="C238" s="110" t="s">
        <v>624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2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25">
      <c r="A240" s="73"/>
      <c r="B240" s="73"/>
      <c r="C240" s="73"/>
      <c r="D240" s="109" t="s">
        <v>500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25">
      <c r="A241" s="73"/>
      <c r="B241" s="73"/>
      <c r="C241" s="73"/>
      <c r="D241" s="109" t="s">
        <v>501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2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2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601</v>
      </c>
      <c r="P243" s="42"/>
    </row>
    <row r="244" spans="1:16" x14ac:dyDescent="0.25">
      <c r="A244" s="73"/>
      <c r="B244" s="73"/>
      <c r="C244" s="73"/>
      <c r="D244" s="73"/>
      <c r="E244" s="109"/>
      <c r="F244" s="113" t="s">
        <v>134</v>
      </c>
      <c r="G244" s="113" t="s">
        <v>439</v>
      </c>
      <c r="H244" s="36">
        <v>15899999.999999996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25">
      <c r="A245" s="73"/>
      <c r="B245" s="73"/>
      <c r="C245" s="73"/>
      <c r="D245" s="73"/>
      <c r="E245" s="73"/>
      <c r="F245" s="115" t="s">
        <v>135</v>
      </c>
      <c r="G245" s="115" t="s">
        <v>439</v>
      </c>
      <c r="H245" s="37">
        <v>37500000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25">
      <c r="A246" s="73"/>
      <c r="B246" s="73"/>
      <c r="C246" s="73"/>
      <c r="D246" s="73"/>
      <c r="E246" s="73"/>
      <c r="F246" s="115" t="s">
        <v>136</v>
      </c>
      <c r="G246" s="115" t="s">
        <v>439</v>
      </c>
      <c r="H246" s="37">
        <v>4199999.9999999991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25">
      <c r="A247" s="73"/>
      <c r="B247" s="73"/>
      <c r="C247" s="73"/>
      <c r="D247" s="73"/>
      <c r="E247" s="73"/>
      <c r="F247" s="115" t="s">
        <v>137</v>
      </c>
      <c r="G247" s="115" t="s">
        <v>439</v>
      </c>
      <c r="H247" s="37">
        <v>17500000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25">
      <c r="A248" s="73"/>
      <c r="B248" s="73"/>
      <c r="C248" s="73"/>
      <c r="D248" s="73"/>
      <c r="E248" s="73"/>
      <c r="F248" s="115" t="s">
        <v>138</v>
      </c>
      <c r="G248" s="115" t="s">
        <v>439</v>
      </c>
      <c r="H248" s="37">
        <v>4800000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25">
      <c r="A249" s="73"/>
      <c r="B249" s="73"/>
      <c r="C249" s="73"/>
      <c r="D249" s="73"/>
      <c r="E249" s="73"/>
      <c r="F249" s="115" t="s">
        <v>139</v>
      </c>
      <c r="G249" s="115" t="s">
        <v>439</v>
      </c>
      <c r="H249" s="37">
        <v>5300000.0000000009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25">
      <c r="A250" s="73"/>
      <c r="B250" s="73"/>
      <c r="C250" s="73"/>
      <c r="D250" s="73"/>
      <c r="E250" s="73"/>
      <c r="F250" s="115" t="s">
        <v>140</v>
      </c>
      <c r="G250" s="115" t="s">
        <v>439</v>
      </c>
      <c r="H250" s="37">
        <v>400000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25">
      <c r="A251" s="73"/>
      <c r="B251" s="73"/>
      <c r="C251" s="73"/>
      <c r="D251" s="73"/>
      <c r="E251" s="73"/>
      <c r="F251" s="115" t="s">
        <v>141</v>
      </c>
      <c r="G251" s="115" t="s">
        <v>439</v>
      </c>
      <c r="H251" s="37">
        <v>4000000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25">
      <c r="A252" s="73"/>
      <c r="B252" s="73"/>
      <c r="C252" s="73"/>
      <c r="D252" s="73"/>
      <c r="E252" s="73"/>
      <c r="F252" s="115" t="s">
        <v>142</v>
      </c>
      <c r="G252" s="115" t="s">
        <v>439</v>
      </c>
      <c r="H252" s="37">
        <v>2600000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25">
      <c r="A253" s="73"/>
      <c r="B253" s="73"/>
      <c r="C253" s="73"/>
      <c r="D253" s="73"/>
      <c r="E253" s="73"/>
      <c r="F253" s="115" t="s">
        <v>143</v>
      </c>
      <c r="G253" s="115" t="s">
        <v>439</v>
      </c>
      <c r="H253" s="37">
        <v>10799999.999999998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25">
      <c r="A254" s="73"/>
      <c r="B254" s="73"/>
      <c r="C254" s="73"/>
      <c r="D254" s="73"/>
      <c r="E254" s="73"/>
      <c r="F254" s="115" t="s">
        <v>144</v>
      </c>
      <c r="G254" s="115" t="s">
        <v>439</v>
      </c>
      <c r="H254" s="37">
        <v>2600000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25">
      <c r="A255" s="73"/>
      <c r="B255" s="73"/>
      <c r="C255" s="73"/>
      <c r="D255" s="73"/>
      <c r="E255" s="73"/>
      <c r="F255" s="115" t="s">
        <v>145</v>
      </c>
      <c r="G255" s="115" t="s">
        <v>439</v>
      </c>
      <c r="H255" s="37">
        <v>1400000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25">
      <c r="A256" s="73"/>
      <c r="B256" s="73"/>
      <c r="C256" s="73"/>
      <c r="D256" s="73"/>
      <c r="E256" s="73"/>
      <c r="F256" s="115" t="s">
        <v>146</v>
      </c>
      <c r="G256" s="115" t="s">
        <v>439</v>
      </c>
      <c r="H256" s="37">
        <v>1200000.0000000002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25">
      <c r="A257" s="73"/>
      <c r="B257" s="73"/>
      <c r="C257" s="73"/>
      <c r="D257" s="73"/>
      <c r="E257" s="73"/>
      <c r="F257" s="115" t="s">
        <v>147</v>
      </c>
      <c r="G257" s="115" t="s">
        <v>439</v>
      </c>
      <c r="H257" s="37">
        <v>700000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25">
      <c r="A258" s="73"/>
      <c r="B258" s="73"/>
      <c r="C258" s="73"/>
      <c r="D258" s="73"/>
      <c r="E258" s="73"/>
      <c r="F258" s="115" t="s">
        <v>148</v>
      </c>
      <c r="G258" s="115" t="s">
        <v>439</v>
      </c>
      <c r="H258" s="37">
        <v>3000000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25">
      <c r="A259" s="73"/>
      <c r="B259" s="73"/>
      <c r="C259" s="73"/>
      <c r="D259" s="73"/>
      <c r="E259" s="73"/>
      <c r="F259" s="115" t="s">
        <v>149</v>
      </c>
      <c r="G259" s="115" t="s">
        <v>439</v>
      </c>
      <c r="H259" s="37">
        <v>6399999.9999999981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25">
      <c r="A260" s="73"/>
      <c r="B260" s="73"/>
      <c r="C260" s="73"/>
      <c r="D260" s="73"/>
      <c r="E260" s="73"/>
      <c r="F260" s="115" t="s">
        <v>150</v>
      </c>
      <c r="G260" s="115" t="s">
        <v>439</v>
      </c>
      <c r="H260" s="37">
        <v>2600000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25">
      <c r="A261" s="73"/>
      <c r="B261" s="73"/>
      <c r="C261" s="73"/>
      <c r="D261" s="73"/>
      <c r="E261" s="73"/>
      <c r="F261" s="115" t="s">
        <v>151</v>
      </c>
      <c r="G261" s="115" t="s">
        <v>439</v>
      </c>
      <c r="H261" s="37">
        <v>1000000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25">
      <c r="A262" s="73"/>
      <c r="B262" s="73"/>
      <c r="C262" s="73"/>
      <c r="D262" s="73"/>
      <c r="E262" s="73"/>
      <c r="F262" s="115" t="s">
        <v>152</v>
      </c>
      <c r="G262" s="115" t="s">
        <v>439</v>
      </c>
      <c r="H262" s="37">
        <v>900000.00000000012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25">
      <c r="A263" s="73"/>
      <c r="B263" s="73"/>
      <c r="C263" s="73"/>
      <c r="D263" s="73"/>
      <c r="E263" s="73"/>
      <c r="F263" s="115" t="s">
        <v>153</v>
      </c>
      <c r="G263" s="115" t="s">
        <v>439</v>
      </c>
      <c r="H263" s="37">
        <v>5900000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25">
      <c r="A264" s="73"/>
      <c r="B264" s="73"/>
      <c r="C264" s="73"/>
      <c r="D264" s="73"/>
      <c r="E264" s="73"/>
      <c r="F264" s="115" t="s">
        <v>154</v>
      </c>
      <c r="G264" s="115" t="s">
        <v>439</v>
      </c>
      <c r="H264" s="37">
        <v>1700000.0000000002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25">
      <c r="A265" s="73"/>
      <c r="B265" s="73"/>
      <c r="C265" s="73"/>
      <c r="D265" s="73"/>
      <c r="E265" s="73"/>
      <c r="F265" s="115" t="s">
        <v>155</v>
      </c>
      <c r="G265" s="115" t="s">
        <v>439</v>
      </c>
      <c r="H265" s="37">
        <v>4100000.0000000005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25">
      <c r="A266" s="73"/>
      <c r="B266" s="73"/>
      <c r="C266" s="73"/>
      <c r="D266" s="73"/>
      <c r="E266" s="73"/>
      <c r="F266" s="115" t="s">
        <v>156</v>
      </c>
      <c r="G266" s="115" t="s">
        <v>439</v>
      </c>
      <c r="H266" s="37">
        <v>22099999.999999996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25">
      <c r="A267" s="73"/>
      <c r="B267" s="73"/>
      <c r="C267" s="73"/>
      <c r="D267" s="73"/>
      <c r="E267" s="73"/>
      <c r="F267" s="115" t="s">
        <v>157</v>
      </c>
      <c r="G267" s="115" t="s">
        <v>439</v>
      </c>
      <c r="H267" s="37">
        <v>2400000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25">
      <c r="A268" s="73"/>
      <c r="B268" s="73"/>
      <c r="C268" s="73"/>
      <c r="D268" s="73"/>
      <c r="E268" s="73"/>
      <c r="F268" s="115" t="s">
        <v>158</v>
      </c>
      <c r="G268" s="115" t="s">
        <v>439</v>
      </c>
      <c r="H268" s="37">
        <v>13400000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25">
      <c r="A269" s="73"/>
      <c r="B269" s="73"/>
      <c r="C269" s="73"/>
      <c r="D269" s="73"/>
      <c r="E269" s="73"/>
      <c r="F269" s="115" t="s">
        <v>159</v>
      </c>
      <c r="G269" s="115" t="s">
        <v>439</v>
      </c>
      <c r="H269" s="37">
        <v>499999.99999999889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25">
      <c r="A270" s="73"/>
      <c r="B270" s="73"/>
      <c r="C270" s="73"/>
      <c r="D270" s="73"/>
      <c r="E270" s="73"/>
      <c r="F270" s="115" t="s">
        <v>160</v>
      </c>
      <c r="G270" s="115" t="s">
        <v>439</v>
      </c>
      <c r="H270" s="37">
        <v>300000.00000000006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25">
      <c r="A271" s="73"/>
      <c r="B271" s="73"/>
      <c r="C271" s="73"/>
      <c r="D271" s="73"/>
      <c r="E271" s="73"/>
      <c r="F271" s="115" t="s">
        <v>161</v>
      </c>
      <c r="G271" s="115" t="s">
        <v>439</v>
      </c>
      <c r="H271" s="37">
        <v>3199999.9999999995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25">
      <c r="A272" s="73"/>
      <c r="B272" s="73"/>
      <c r="C272" s="73"/>
      <c r="D272" s="73"/>
      <c r="E272" s="73"/>
      <c r="F272" s="115" t="s">
        <v>162</v>
      </c>
      <c r="G272" s="115" t="s">
        <v>439</v>
      </c>
      <c r="H272" s="37">
        <v>33100000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25">
      <c r="A273" s="73"/>
      <c r="B273" s="73"/>
      <c r="C273" s="73"/>
      <c r="D273" s="73"/>
      <c r="E273" s="73"/>
      <c r="F273" s="115" t="s">
        <v>163</v>
      </c>
      <c r="G273" s="115" t="s">
        <v>439</v>
      </c>
      <c r="H273" s="37">
        <v>14100000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25">
      <c r="A274" s="73"/>
      <c r="B274" s="73"/>
      <c r="C274" s="73"/>
      <c r="D274" s="73"/>
      <c r="E274" s="73"/>
      <c r="F274" s="115" t="s">
        <v>164</v>
      </c>
      <c r="G274" s="115" t="s">
        <v>439</v>
      </c>
      <c r="H274" s="37">
        <v>4300000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25">
      <c r="A275" s="73"/>
      <c r="B275" s="73"/>
      <c r="C275" s="73"/>
      <c r="D275" s="73"/>
      <c r="E275" s="73"/>
      <c r="F275" s="115" t="s">
        <v>189</v>
      </c>
      <c r="G275" s="115" t="s">
        <v>439</v>
      </c>
      <c r="H275" s="37">
        <v>-200000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25">
      <c r="A276" s="73"/>
      <c r="B276" s="73"/>
      <c r="C276" s="73"/>
      <c r="D276" s="73"/>
      <c r="E276" s="73"/>
      <c r="F276" s="115" t="s">
        <v>742</v>
      </c>
      <c r="G276" s="115" t="s">
        <v>439</v>
      </c>
      <c r="H276" s="37">
        <v>900000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25">
      <c r="A277" s="73"/>
      <c r="B277" s="73"/>
      <c r="C277" s="73"/>
      <c r="D277" s="73"/>
      <c r="E277" s="73"/>
      <c r="F277" s="117" t="s">
        <v>741</v>
      </c>
      <c r="G277" s="117" t="s">
        <v>439</v>
      </c>
      <c r="H277" s="38">
        <v>-3699999.9999999544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25">
      <c r="A279" s="101"/>
      <c r="B279" s="101"/>
      <c r="C279" s="110" t="s">
        <v>625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2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25">
      <c r="A281" s="73"/>
      <c r="B281" s="73"/>
      <c r="C281" s="73"/>
      <c r="D281" s="109" t="s">
        <v>703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25">
      <c r="A282" s="73"/>
      <c r="B282" s="73"/>
      <c r="C282" s="73"/>
      <c r="D282" s="109" t="s">
        <v>704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2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2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602</v>
      </c>
      <c r="P284" s="42"/>
    </row>
    <row r="285" spans="1:16" x14ac:dyDescent="0.25">
      <c r="A285" s="73"/>
      <c r="B285" s="73"/>
      <c r="C285" s="73"/>
      <c r="D285" s="73"/>
      <c r="E285" s="109"/>
      <c r="F285" s="113" t="s">
        <v>134</v>
      </c>
      <c r="G285" s="113" t="s">
        <v>439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25">
      <c r="A286" s="73"/>
      <c r="B286" s="73"/>
      <c r="C286" s="73"/>
      <c r="D286" s="73"/>
      <c r="E286" s="73"/>
      <c r="F286" s="115" t="s">
        <v>135</v>
      </c>
      <c r="G286" s="115" t="s">
        <v>439</v>
      </c>
      <c r="H286" s="130"/>
      <c r="I286" s="130"/>
      <c r="J286" s="37">
        <v>11000000</v>
      </c>
      <c r="K286" s="37">
        <v>6199999.9999999991</v>
      </c>
      <c r="L286" s="37">
        <v>11300000</v>
      </c>
      <c r="M286" s="37">
        <v>9000000.0000000019</v>
      </c>
      <c r="N286" s="74"/>
      <c r="O286" s="73"/>
      <c r="P286" s="42"/>
    </row>
    <row r="287" spans="1:16" x14ac:dyDescent="0.25">
      <c r="A287" s="73"/>
      <c r="B287" s="73"/>
      <c r="C287" s="73"/>
      <c r="D287" s="73"/>
      <c r="E287" s="73"/>
      <c r="F287" s="115" t="s">
        <v>136</v>
      </c>
      <c r="G287" s="115" t="s">
        <v>439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25">
      <c r="A288" s="73"/>
      <c r="B288" s="73"/>
      <c r="C288" s="73"/>
      <c r="D288" s="73"/>
      <c r="E288" s="73"/>
      <c r="F288" s="115" t="s">
        <v>137</v>
      </c>
      <c r="G288" s="115" t="s">
        <v>439</v>
      </c>
      <c r="H288" s="130"/>
      <c r="I288" s="130"/>
      <c r="J288" s="37">
        <v>9899999.9999999981</v>
      </c>
      <c r="K288" s="37">
        <v>500000</v>
      </c>
      <c r="L288" s="37">
        <v>4400000</v>
      </c>
      <c r="M288" s="37">
        <v>1600000</v>
      </c>
      <c r="N288" s="74"/>
      <c r="O288" s="73"/>
      <c r="P288" s="42"/>
    </row>
    <row r="289" spans="1:16" x14ac:dyDescent="0.25">
      <c r="A289" s="73"/>
      <c r="B289" s="73"/>
      <c r="C289" s="73"/>
      <c r="D289" s="73"/>
      <c r="E289" s="73"/>
      <c r="F289" s="115" t="s">
        <v>138</v>
      </c>
      <c r="G289" s="115" t="s">
        <v>439</v>
      </c>
      <c r="H289" s="130"/>
      <c r="I289" s="130"/>
      <c r="J289" s="37">
        <v>500000</v>
      </c>
      <c r="K289" s="37">
        <v>1700000</v>
      </c>
      <c r="L289" s="37">
        <v>200000</v>
      </c>
      <c r="M289" s="37">
        <v>2000000</v>
      </c>
      <c r="N289" s="74"/>
      <c r="O289" s="73"/>
      <c r="P289" s="42"/>
    </row>
    <row r="290" spans="1:16" x14ac:dyDescent="0.25">
      <c r="A290" s="73"/>
      <c r="B290" s="73"/>
      <c r="C290" s="73"/>
      <c r="D290" s="73"/>
      <c r="E290" s="73"/>
      <c r="F290" s="115" t="s">
        <v>139</v>
      </c>
      <c r="G290" s="115" t="s">
        <v>439</v>
      </c>
      <c r="H290" s="130"/>
      <c r="I290" s="130"/>
      <c r="J290" s="37">
        <v>3100000</v>
      </c>
      <c r="K290" s="37">
        <v>0</v>
      </c>
      <c r="L290" s="37">
        <v>1900000</v>
      </c>
      <c r="M290" s="37">
        <v>300000</v>
      </c>
      <c r="N290" s="74"/>
      <c r="O290" s="73"/>
      <c r="P290" s="42"/>
    </row>
    <row r="291" spans="1:16" x14ac:dyDescent="0.25">
      <c r="A291" s="73"/>
      <c r="B291" s="73"/>
      <c r="C291" s="73"/>
      <c r="D291" s="73"/>
      <c r="E291" s="73"/>
      <c r="F291" s="115" t="s">
        <v>140</v>
      </c>
      <c r="G291" s="115" t="s">
        <v>439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25">
      <c r="A292" s="73"/>
      <c r="B292" s="73"/>
      <c r="C292" s="73"/>
      <c r="D292" s="73"/>
      <c r="E292" s="73"/>
      <c r="F292" s="115" t="s">
        <v>141</v>
      </c>
      <c r="G292" s="115" t="s">
        <v>439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25">
      <c r="A293" s="73"/>
      <c r="B293" s="73"/>
      <c r="C293" s="73"/>
      <c r="D293" s="73"/>
      <c r="E293" s="73"/>
      <c r="F293" s="115" t="s">
        <v>142</v>
      </c>
      <c r="G293" s="115" t="s">
        <v>439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25">
      <c r="A294" s="73"/>
      <c r="B294" s="73"/>
      <c r="C294" s="73"/>
      <c r="D294" s="73"/>
      <c r="E294" s="73"/>
      <c r="F294" s="115" t="s">
        <v>143</v>
      </c>
      <c r="G294" s="115" t="s">
        <v>439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25">
      <c r="A295" s="73"/>
      <c r="B295" s="73"/>
      <c r="C295" s="73"/>
      <c r="D295" s="73"/>
      <c r="E295" s="73"/>
      <c r="F295" s="115" t="s">
        <v>144</v>
      </c>
      <c r="G295" s="115" t="s">
        <v>439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25">
      <c r="A296" s="73"/>
      <c r="B296" s="73"/>
      <c r="C296" s="73"/>
      <c r="D296" s="73"/>
      <c r="E296" s="73"/>
      <c r="F296" s="115" t="s">
        <v>145</v>
      </c>
      <c r="G296" s="115" t="s">
        <v>439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25">
      <c r="A297" s="73"/>
      <c r="B297" s="73"/>
      <c r="C297" s="73"/>
      <c r="D297" s="73"/>
      <c r="E297" s="73"/>
      <c r="F297" s="115" t="s">
        <v>146</v>
      </c>
      <c r="G297" s="115" t="s">
        <v>439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25">
      <c r="A298" s="73"/>
      <c r="B298" s="73"/>
      <c r="C298" s="73"/>
      <c r="D298" s="73"/>
      <c r="E298" s="73"/>
      <c r="F298" s="115" t="s">
        <v>147</v>
      </c>
      <c r="G298" s="115" t="s">
        <v>439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25">
      <c r="A299" s="73"/>
      <c r="B299" s="73"/>
      <c r="C299" s="73"/>
      <c r="D299" s="73"/>
      <c r="E299" s="73"/>
      <c r="F299" s="115" t="s">
        <v>148</v>
      </c>
      <c r="G299" s="115" t="s">
        <v>439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25">
      <c r="A300" s="73"/>
      <c r="B300" s="73"/>
      <c r="C300" s="73"/>
      <c r="D300" s="73"/>
      <c r="E300" s="73"/>
      <c r="F300" s="115" t="s">
        <v>149</v>
      </c>
      <c r="G300" s="115" t="s">
        <v>439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25">
      <c r="A301" s="73"/>
      <c r="B301" s="73"/>
      <c r="C301" s="73"/>
      <c r="D301" s="73"/>
      <c r="E301" s="73"/>
      <c r="F301" s="115" t="s">
        <v>150</v>
      </c>
      <c r="G301" s="115" t="s">
        <v>439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25">
      <c r="A302" s="73"/>
      <c r="B302" s="73"/>
      <c r="C302" s="73"/>
      <c r="D302" s="73"/>
      <c r="E302" s="73"/>
      <c r="F302" s="115" t="s">
        <v>151</v>
      </c>
      <c r="G302" s="115" t="s">
        <v>439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25">
      <c r="A303" s="73"/>
      <c r="B303" s="73"/>
      <c r="C303" s="73"/>
      <c r="D303" s="73"/>
      <c r="E303" s="73"/>
      <c r="F303" s="115" t="s">
        <v>152</v>
      </c>
      <c r="G303" s="115" t="s">
        <v>439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25">
      <c r="A304" s="73"/>
      <c r="B304" s="73"/>
      <c r="C304" s="73"/>
      <c r="D304" s="73"/>
      <c r="E304" s="73"/>
      <c r="F304" s="115" t="s">
        <v>153</v>
      </c>
      <c r="G304" s="115" t="s">
        <v>439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25">
      <c r="A305" s="73"/>
      <c r="B305" s="73"/>
      <c r="C305" s="73"/>
      <c r="D305" s="73"/>
      <c r="E305" s="73"/>
      <c r="F305" s="115" t="s">
        <v>154</v>
      </c>
      <c r="G305" s="115" t="s">
        <v>439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25">
      <c r="A306" s="73"/>
      <c r="B306" s="73"/>
      <c r="C306" s="73"/>
      <c r="D306" s="73"/>
      <c r="E306" s="73"/>
      <c r="F306" s="115" t="s">
        <v>155</v>
      </c>
      <c r="G306" s="115" t="s">
        <v>439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25">
      <c r="A307" s="73"/>
      <c r="B307" s="73"/>
      <c r="C307" s="73"/>
      <c r="D307" s="73"/>
      <c r="E307" s="73"/>
      <c r="F307" s="115" t="s">
        <v>156</v>
      </c>
      <c r="G307" s="115" t="s">
        <v>439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25">
      <c r="A308" s="73"/>
      <c r="B308" s="73"/>
      <c r="C308" s="73"/>
      <c r="D308" s="73"/>
      <c r="E308" s="73"/>
      <c r="F308" s="115" t="s">
        <v>157</v>
      </c>
      <c r="G308" s="115" t="s">
        <v>439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25">
      <c r="A309" s="73"/>
      <c r="B309" s="73"/>
      <c r="C309" s="73"/>
      <c r="D309" s="73"/>
      <c r="E309" s="73"/>
      <c r="F309" s="115" t="s">
        <v>158</v>
      </c>
      <c r="G309" s="115" t="s">
        <v>439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25">
      <c r="A310" s="73"/>
      <c r="B310" s="73"/>
      <c r="C310" s="73"/>
      <c r="D310" s="73"/>
      <c r="E310" s="73"/>
      <c r="F310" s="115" t="s">
        <v>159</v>
      </c>
      <c r="G310" s="115" t="s">
        <v>439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25">
      <c r="A311" s="73"/>
      <c r="B311" s="73"/>
      <c r="C311" s="73"/>
      <c r="D311" s="73"/>
      <c r="E311" s="73"/>
      <c r="F311" s="115" t="s">
        <v>160</v>
      </c>
      <c r="G311" s="115" t="s">
        <v>439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25">
      <c r="A312" s="73"/>
      <c r="B312" s="73"/>
      <c r="C312" s="73"/>
      <c r="D312" s="73"/>
      <c r="E312" s="73"/>
      <c r="F312" s="115" t="s">
        <v>161</v>
      </c>
      <c r="G312" s="115" t="s">
        <v>439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25">
      <c r="A313" s="73"/>
      <c r="B313" s="73"/>
      <c r="C313" s="73"/>
      <c r="D313" s="73"/>
      <c r="E313" s="73"/>
      <c r="F313" s="115" t="s">
        <v>162</v>
      </c>
      <c r="G313" s="115" t="s">
        <v>439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25">
      <c r="A314" s="73"/>
      <c r="B314" s="73"/>
      <c r="C314" s="73"/>
      <c r="D314" s="73"/>
      <c r="E314" s="73"/>
      <c r="F314" s="115" t="s">
        <v>163</v>
      </c>
      <c r="G314" s="115" t="s">
        <v>439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25">
      <c r="A315" s="73"/>
      <c r="B315" s="73"/>
      <c r="C315" s="73"/>
      <c r="D315" s="73"/>
      <c r="E315" s="73"/>
      <c r="F315" s="115" t="s">
        <v>164</v>
      </c>
      <c r="G315" s="115" t="s">
        <v>439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25">
      <c r="A316" s="73"/>
      <c r="B316" s="73"/>
      <c r="C316" s="73"/>
      <c r="D316" s="73"/>
      <c r="E316" s="73"/>
      <c r="F316" s="115" t="s">
        <v>189</v>
      </c>
      <c r="G316" s="115" t="s">
        <v>439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25">
      <c r="A317" s="73"/>
      <c r="B317" s="73"/>
      <c r="C317" s="73"/>
      <c r="D317" s="73"/>
      <c r="E317" s="73"/>
      <c r="F317" s="115" t="s">
        <v>742</v>
      </c>
      <c r="G317" s="115" t="s">
        <v>439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25">
      <c r="A318" s="73"/>
      <c r="B318" s="73"/>
      <c r="C318" s="73"/>
      <c r="D318" s="73"/>
      <c r="E318" s="73"/>
      <c r="F318" s="117" t="s">
        <v>741</v>
      </c>
      <c r="G318" s="117" t="s">
        <v>439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25">
      <c r="A320" s="101"/>
      <c r="B320" s="101"/>
      <c r="C320" s="110" t="s">
        <v>626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2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25">
      <c r="A322" s="73"/>
      <c r="B322" s="73"/>
      <c r="C322" s="73"/>
      <c r="D322" s="109" t="s">
        <v>464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25">
      <c r="A323" s="73"/>
      <c r="B323" s="73"/>
      <c r="C323" s="73"/>
      <c r="D323" s="109" t="s">
        <v>465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2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2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603</v>
      </c>
      <c r="P325" s="42"/>
    </row>
    <row r="326" spans="1:16" x14ac:dyDescent="0.25">
      <c r="A326" s="73"/>
      <c r="B326" s="73"/>
      <c r="C326" s="73"/>
      <c r="D326" s="73"/>
      <c r="E326" s="109"/>
      <c r="F326" s="113" t="s">
        <v>165</v>
      </c>
      <c r="G326" s="113" t="s">
        <v>439</v>
      </c>
      <c r="H326" s="36">
        <v>2097795.2788739572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25">
      <c r="A327" s="73"/>
      <c r="B327" s="73"/>
      <c r="C327" s="73"/>
      <c r="D327" s="73"/>
      <c r="E327" s="73"/>
      <c r="F327" s="115" t="s">
        <v>41</v>
      </c>
      <c r="G327" s="115" t="s">
        <v>439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25">
      <c r="A328" s="73"/>
      <c r="B328" s="73"/>
      <c r="C328" s="73"/>
      <c r="D328" s="73"/>
      <c r="E328" s="73"/>
      <c r="F328" s="115" t="s">
        <v>40</v>
      </c>
      <c r="G328" s="115" t="s">
        <v>439</v>
      </c>
      <c r="H328" s="37">
        <v>3704076.4857794475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25">
      <c r="A329" s="73"/>
      <c r="B329" s="73"/>
      <c r="C329" s="73"/>
      <c r="D329" s="73"/>
      <c r="E329" s="73"/>
      <c r="F329" s="117" t="s">
        <v>166</v>
      </c>
      <c r="G329" s="117" t="s">
        <v>439</v>
      </c>
      <c r="H329" s="38">
        <v>14622655.718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2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25">
      <c r="A331" s="101"/>
      <c r="B331" s="101"/>
      <c r="C331" s="110" t="s">
        <v>627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2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25">
      <c r="A333" s="73"/>
      <c r="B333" s="73"/>
      <c r="C333" s="73"/>
      <c r="D333" s="109" t="s">
        <v>466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25">
      <c r="A334" s="73"/>
      <c r="B334" s="73"/>
      <c r="C334" s="73"/>
      <c r="D334" s="109" t="s">
        <v>683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2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25">
      <c r="A336" s="115"/>
      <c r="B336" s="73"/>
      <c r="C336" s="73"/>
      <c r="D336" s="109"/>
      <c r="E336" s="112" t="s">
        <v>428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593</v>
      </c>
      <c r="P336" s="42"/>
    </row>
    <row r="337" spans="1:16" x14ac:dyDescent="0.25">
      <c r="A337" s="73"/>
      <c r="B337" s="73"/>
      <c r="C337" s="73"/>
      <c r="D337" s="73"/>
      <c r="E337" s="109"/>
      <c r="F337" s="113" t="s">
        <v>165</v>
      </c>
      <c r="G337" s="113" t="s">
        <v>440</v>
      </c>
      <c r="H337" s="36">
        <v>131123358.14493619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25">
      <c r="A338" s="73"/>
      <c r="B338" s="73"/>
      <c r="C338" s="73"/>
      <c r="D338" s="73"/>
      <c r="E338" s="73"/>
      <c r="F338" s="115" t="s">
        <v>168</v>
      </c>
      <c r="G338" s="115" t="s">
        <v>440</v>
      </c>
      <c r="H338" s="37">
        <v>61909550.484972529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25">
      <c r="A339" s="73"/>
      <c r="B339" s="73"/>
      <c r="C339" s="73"/>
      <c r="D339" s="73"/>
      <c r="E339" s="73"/>
      <c r="F339" s="115" t="s">
        <v>40</v>
      </c>
      <c r="G339" s="115" t="s">
        <v>440</v>
      </c>
      <c r="H339" s="37">
        <v>141503564.51721618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25">
      <c r="A340" s="73"/>
      <c r="B340" s="73"/>
      <c r="C340" s="73"/>
      <c r="D340" s="73"/>
      <c r="E340" s="73"/>
      <c r="F340" s="115" t="s">
        <v>37</v>
      </c>
      <c r="G340" s="115" t="s">
        <v>440</v>
      </c>
      <c r="H340" s="37">
        <v>165103515.04249856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25">
      <c r="A341" s="73"/>
      <c r="B341" s="73"/>
      <c r="C341" s="73"/>
      <c r="D341" s="73"/>
      <c r="E341" s="73"/>
      <c r="F341" s="117" t="s">
        <v>35</v>
      </c>
      <c r="G341" s="117" t="s">
        <v>440</v>
      </c>
      <c r="H341" s="38">
        <v>94263818.13901563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2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25">
      <c r="A343" s="101"/>
      <c r="B343" s="101"/>
      <c r="C343" s="110" t="s">
        <v>628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2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25">
      <c r="A345" s="73"/>
      <c r="B345" s="73"/>
      <c r="C345" s="73"/>
      <c r="D345" s="109" t="s">
        <v>467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25">
      <c r="A346" s="73"/>
      <c r="B346" s="73"/>
      <c r="C346" s="73"/>
      <c r="D346" s="109" t="s">
        <v>468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2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2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0.24559695400706771</v>
      </c>
      <c r="I348" s="131" t="s">
        <v>314</v>
      </c>
      <c r="J348" s="135"/>
      <c r="K348" s="135"/>
      <c r="L348" s="135"/>
      <c r="M348" s="135"/>
      <c r="N348" s="74"/>
      <c r="O348" s="115" t="s">
        <v>570</v>
      </c>
      <c r="P348" s="42"/>
    </row>
    <row r="349" spans="1:16" x14ac:dyDescent="0.2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25">
      <c r="A350" s="101"/>
      <c r="B350" s="101"/>
      <c r="C350" s="110" t="s">
        <v>705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2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25">
      <c r="A352" s="73"/>
      <c r="B352" s="73"/>
      <c r="C352" s="73"/>
      <c r="D352" s="109" t="s">
        <v>423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2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2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594</v>
      </c>
      <c r="P354" s="42"/>
    </row>
    <row r="355" spans="1:16" x14ac:dyDescent="0.25">
      <c r="A355" s="73"/>
      <c r="B355" s="73"/>
      <c r="C355" s="73"/>
      <c r="D355" s="73"/>
      <c r="E355" s="109"/>
      <c r="F355" s="113" t="s">
        <v>171</v>
      </c>
      <c r="G355" s="113" t="s">
        <v>440</v>
      </c>
      <c r="H355" s="36">
        <v>253469463.34865454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25">
      <c r="A356" s="73"/>
      <c r="B356" s="73"/>
      <c r="C356" s="73"/>
      <c r="D356" s="73"/>
      <c r="E356" s="73"/>
      <c r="F356" s="115" t="s">
        <v>172</v>
      </c>
      <c r="G356" s="115" t="s">
        <v>440</v>
      </c>
      <c r="H356" s="37">
        <v>258000000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25">
      <c r="A357" s="73"/>
      <c r="B357" s="73"/>
      <c r="C357" s="73"/>
      <c r="D357" s="73"/>
      <c r="E357" s="73"/>
      <c r="F357" s="117" t="s">
        <v>173</v>
      </c>
      <c r="G357" s="117" t="s">
        <v>440</v>
      </c>
      <c r="H357" s="38">
        <v>273335500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2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25">
      <c r="A359" s="101"/>
      <c r="B359" s="101"/>
      <c r="C359" s="110" t="s">
        <v>629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2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25">
      <c r="A361" s="73"/>
      <c r="B361" s="73"/>
      <c r="C361" s="73"/>
      <c r="D361" s="109" t="s">
        <v>424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2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25">
      <c r="A363" s="115"/>
      <c r="B363" s="73"/>
      <c r="C363" s="73"/>
      <c r="D363" s="73"/>
      <c r="E363" s="115" t="s">
        <v>174</v>
      </c>
      <c r="F363" s="73"/>
      <c r="G363" s="115" t="s">
        <v>439</v>
      </c>
      <c r="H363" s="37">
        <v>186776200</v>
      </c>
      <c r="I363" s="143" t="s">
        <v>314</v>
      </c>
      <c r="J363" s="130"/>
      <c r="K363" s="130"/>
      <c r="L363" s="130"/>
      <c r="M363" s="130"/>
      <c r="N363" s="74"/>
      <c r="O363" s="115" t="s">
        <v>571</v>
      </c>
      <c r="P363" s="42"/>
    </row>
    <row r="364" spans="1:16" x14ac:dyDescent="0.2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25">
      <c r="A365" s="101"/>
      <c r="B365" s="101"/>
      <c r="C365" s="110" t="s">
        <v>630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2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25">
      <c r="A367" s="73"/>
      <c r="B367" s="73"/>
      <c r="C367" s="73"/>
      <c r="D367" s="109" t="s">
        <v>723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2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25">
      <c r="A369" s="115"/>
      <c r="B369" s="73"/>
      <c r="C369" s="73"/>
      <c r="D369" s="73"/>
      <c r="E369" s="115" t="s">
        <v>175</v>
      </c>
      <c r="F369" s="73"/>
      <c r="G369" s="115" t="s">
        <v>439</v>
      </c>
      <c r="H369" s="37">
        <v>565082</v>
      </c>
      <c r="I369" s="143" t="s">
        <v>314</v>
      </c>
      <c r="J369" s="130"/>
      <c r="K369" s="130"/>
      <c r="L369" s="130"/>
      <c r="M369" s="130"/>
      <c r="N369" s="74"/>
      <c r="O369" s="115" t="s">
        <v>571</v>
      </c>
      <c r="P369" s="42"/>
    </row>
    <row r="370" spans="1:16" x14ac:dyDescent="0.2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25">
      <c r="A371" s="101"/>
      <c r="B371" s="101"/>
      <c r="C371" s="110" t="s">
        <v>631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2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25">
      <c r="A373" s="73"/>
      <c r="B373" s="73"/>
      <c r="C373" s="73"/>
      <c r="D373" s="109" t="s">
        <v>469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25">
      <c r="A374" s="73"/>
      <c r="B374" s="73"/>
      <c r="C374" s="73"/>
      <c r="D374" s="109" t="s">
        <v>470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2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25">
      <c r="A376" s="115"/>
      <c r="B376" s="73"/>
      <c r="C376" s="73"/>
      <c r="D376" s="73"/>
      <c r="E376" s="115" t="s">
        <v>347</v>
      </c>
      <c r="F376" s="73"/>
      <c r="G376" s="115" t="s">
        <v>439</v>
      </c>
      <c r="H376" s="37">
        <v>7581974.9255074672</v>
      </c>
      <c r="I376" s="143" t="s">
        <v>314</v>
      </c>
      <c r="J376" s="130"/>
      <c r="K376" s="130"/>
      <c r="L376" s="130"/>
      <c r="M376" s="130"/>
      <c r="N376" s="74"/>
      <c r="O376" s="115" t="s">
        <v>595</v>
      </c>
      <c r="P376" s="42"/>
    </row>
    <row r="377" spans="1:16" x14ac:dyDescent="0.2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25">
      <c r="A378" s="101"/>
      <c r="B378" s="101"/>
      <c r="C378" s="110" t="s">
        <v>632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2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25">
      <c r="A380" s="73"/>
      <c r="B380" s="73"/>
      <c r="C380" s="73"/>
      <c r="D380" s="109" t="s">
        <v>426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2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2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596</v>
      </c>
      <c r="P382" s="42"/>
    </row>
    <row r="383" spans="1:16" x14ac:dyDescent="0.2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2243.4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2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3311.5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2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11379.3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2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25">
      <c r="A387" s="73"/>
      <c r="B387" s="101"/>
      <c r="C387" s="110" t="s">
        <v>633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2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25">
      <c r="A389" s="73"/>
      <c r="B389" s="73"/>
      <c r="C389" s="73"/>
      <c r="D389" s="109" t="s">
        <v>427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2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25">
      <c r="A391" s="73"/>
      <c r="B391" s="73"/>
      <c r="C391" s="73"/>
      <c r="D391" s="73"/>
      <c r="E391" s="115" t="s">
        <v>425</v>
      </c>
      <c r="F391" s="73"/>
      <c r="G391" s="115" t="s">
        <v>177</v>
      </c>
      <c r="H391" s="37">
        <v>891.2</v>
      </c>
      <c r="I391" s="143" t="s">
        <v>314</v>
      </c>
      <c r="J391" s="130"/>
      <c r="K391" s="130"/>
      <c r="L391" s="130"/>
      <c r="M391" s="130"/>
      <c r="N391" s="74"/>
      <c r="O391" s="148" t="s">
        <v>567</v>
      </c>
      <c r="P391" s="42"/>
    </row>
    <row r="392" spans="1:16" x14ac:dyDescent="0.2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2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sheet="1" objects="1"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allowBlank="1" showInputMessage="1" showErrorMessage="1" errorTitle="LV mains split" error="Insert value greater than or equal to 0%" promptTitle="LV mains split" prompt="Minimum value 0%" sqref="H19"/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7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x14ac:dyDescent="0.2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25">
      <c r="A4" s="72" t="str">
        <f>H145 &amp; IF(H145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5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25">
      <c r="A9" s="73"/>
      <c r="B9" s="73"/>
      <c r="C9" s="109" t="s">
        <v>460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25">
      <c r="A10" s="73"/>
      <c r="B10" s="73"/>
      <c r="C10" s="109" t="s">
        <v>461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25">
      <c r="A11" s="73"/>
      <c r="B11" s="73"/>
      <c r="C11" s="109" t="s">
        <v>729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2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25">
      <c r="A15" s="73"/>
      <c r="B15" s="73"/>
      <c r="C15" s="109" t="s">
        <v>502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25">
      <c r="A16" s="73"/>
      <c r="B16" s="73"/>
      <c r="C16" s="109" t="s">
        <v>684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25">
      <c r="A18" s="73"/>
      <c r="B18" s="101"/>
      <c r="C18" s="110" t="s">
        <v>636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2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2564.6932808762817</v>
      </c>
      <c r="K20" s="152">
        <f>'DNO inputs'!H62</f>
        <v>154443.4835</v>
      </c>
      <c r="L20" s="152">
        <f>'DNO inputs'!H63</f>
        <v>73881</v>
      </c>
      <c r="M20" s="152">
        <f>'DNO inputs'!H64</f>
        <v>2215.6937900145213</v>
      </c>
      <c r="N20" s="152">
        <f>'DNO inputs'!H65</f>
        <v>3922.5113724006656</v>
      </c>
      <c r="O20" s="152">
        <f>'DNO inputs'!H66</f>
        <v>9943.389729985478</v>
      </c>
      <c r="P20" s="152">
        <f>'DNO inputs'!H67</f>
        <v>1426435.6500000001</v>
      </c>
      <c r="Q20" s="152">
        <f>'DNO inputs'!H68</f>
        <v>1581</v>
      </c>
      <c r="R20" s="152">
        <f>'DNO inputs'!H69</f>
        <v>2359</v>
      </c>
      <c r="S20" s="152">
        <f>'DNO inputs'!H70</f>
        <v>5832</v>
      </c>
      <c r="T20" s="152">
        <f>'DNO inputs'!H71</f>
        <v>9447</v>
      </c>
      <c r="U20" s="152">
        <f>'DNO inputs'!H72</f>
        <v>16239</v>
      </c>
      <c r="V20" s="152">
        <f>'DNO inputs'!H73</f>
        <v>0</v>
      </c>
      <c r="W20" s="152">
        <f>'DNO inputs'!H74</f>
        <v>5256.3909715199998</v>
      </c>
      <c r="X20" s="152">
        <f>'DNO inputs'!H75</f>
        <v>7.4320000000000004</v>
      </c>
      <c r="Y20" s="152">
        <f>'DNO inputs'!H76</f>
        <v>5087</v>
      </c>
      <c r="Z20" s="152">
        <f>'DNO inputs'!H77</f>
        <v>8.4</v>
      </c>
      <c r="AA20" s="152">
        <f>'DNO inputs'!H78</f>
        <v>63676</v>
      </c>
      <c r="AB20" s="152">
        <f>'DNO inputs'!H79</f>
        <v>64455</v>
      </c>
      <c r="AC20" s="152">
        <f>'DNO inputs'!H80</f>
        <v>6717.7341742693161</v>
      </c>
      <c r="AD20" s="152">
        <f>'DNO inputs'!H81</f>
        <v>1533.6935269704331</v>
      </c>
      <c r="AE20" s="152">
        <f>'DNO inputs'!H82</f>
        <v>0</v>
      </c>
      <c r="AF20" s="152">
        <f>'DNO inputs'!H83</f>
        <v>564</v>
      </c>
      <c r="AG20" s="152">
        <f>'DNO inputs'!H84</f>
        <v>6731</v>
      </c>
      <c r="AH20" s="152">
        <f>'DNO inputs'!H85</f>
        <v>53</v>
      </c>
      <c r="AI20" s="152">
        <f>'DNO inputs'!H86</f>
        <v>4367</v>
      </c>
      <c r="AJ20" s="152">
        <f>'DNO inputs'!H87</f>
        <v>5707</v>
      </c>
      <c r="AK20" s="152">
        <f>'DNO inputs'!H88</f>
        <v>6942</v>
      </c>
      <c r="AL20" s="152">
        <f>'DNO inputs'!H89</f>
        <v>0</v>
      </c>
      <c r="AM20" s="152">
        <f>'DNO inputs'!H90</f>
        <v>517</v>
      </c>
      <c r="AN20" s="152">
        <f>'DNO inputs'!H91</f>
        <v>1241</v>
      </c>
      <c r="AO20" s="152">
        <f>'DNO inputs'!H92</f>
        <v>113</v>
      </c>
      <c r="AP20" s="152">
        <f>'DNO inputs'!H93</f>
        <v>575</v>
      </c>
      <c r="AQ20" s="152">
        <f>'DNO inputs'!H94</f>
        <v>977</v>
      </c>
      <c r="AR20" s="152">
        <f>'DNO inputs'!H95</f>
        <v>6057</v>
      </c>
      <c r="AS20" s="152">
        <f>'DNO inputs'!H96</f>
        <v>0</v>
      </c>
      <c r="AT20" s="152">
        <f>'DNO inputs'!H97</f>
        <v>8864</v>
      </c>
      <c r="AU20" s="152">
        <f>'DNO inputs'!H98</f>
        <v>8491</v>
      </c>
      <c r="AV20" s="152">
        <f>'DNO inputs'!H99</f>
        <v>7078</v>
      </c>
      <c r="AW20" s="152">
        <f>'DNO inputs'!H100</f>
        <v>1663</v>
      </c>
      <c r="AX20" s="152">
        <f>'DNO inputs'!H101</f>
        <v>330.39199999999994</v>
      </c>
      <c r="AY20" s="152">
        <f>'DNO inputs'!H102</f>
        <v>26.745000000000001</v>
      </c>
      <c r="AZ20" s="152">
        <f>'DNO inputs'!H103</f>
        <v>375.05500000000001</v>
      </c>
      <c r="BA20" s="152">
        <f>'DNO inputs'!H104</f>
        <v>634.36099999999999</v>
      </c>
      <c r="BB20" s="152">
        <f>'DNO inputs'!H105</f>
        <v>4056</v>
      </c>
      <c r="BC20" s="152">
        <f>'DNO inputs'!H106</f>
        <v>164</v>
      </c>
      <c r="BD20" s="152">
        <f>'DNO inputs'!H107</f>
        <v>5844</v>
      </c>
      <c r="BE20" s="152">
        <f>'DNO inputs'!H108</f>
        <v>1950</v>
      </c>
      <c r="BF20" s="152">
        <f>'DNO inputs'!H109</f>
        <v>235.97403676948835</v>
      </c>
      <c r="BG20" s="152">
        <f>'DNO inputs'!H110</f>
        <v>180.24196323051169</v>
      </c>
      <c r="BH20" s="152">
        <f>'DNO inputs'!H111</f>
        <v>73.972000000000008</v>
      </c>
      <c r="BI20" s="152">
        <f>'DNO inputs'!H112</f>
        <v>84.476963230511672</v>
      </c>
      <c r="BJ20" s="152">
        <f>'DNO inputs'!H113</f>
        <v>367.62103676948828</v>
      </c>
      <c r="BK20" s="152">
        <f>'DNO inputs'!H114</f>
        <v>0</v>
      </c>
      <c r="BL20" s="152">
        <f>'DNO inputs'!H115</f>
        <v>0</v>
      </c>
      <c r="BM20" s="152">
        <f>'DNO inputs'!H116</f>
        <v>256</v>
      </c>
      <c r="BN20" s="152">
        <f>'DNO inputs'!H117</f>
        <v>12</v>
      </c>
      <c r="BO20" s="152">
        <f>'DNO inputs'!H118</f>
        <v>20</v>
      </c>
      <c r="BP20" s="152">
        <f>'DNO inputs'!H119</f>
        <v>4</v>
      </c>
      <c r="BQ20" s="152">
        <f>'DNO inputs'!H120</f>
        <v>0</v>
      </c>
      <c r="BR20" s="152">
        <f>'DNO inputs'!H121</f>
        <v>124</v>
      </c>
      <c r="BS20" s="152">
        <f>'DNO inputs'!H122</f>
        <v>379</v>
      </c>
      <c r="BT20" s="152">
        <f>'DNO inputs'!H123</f>
        <v>1058</v>
      </c>
      <c r="BU20" s="152">
        <f>'DNO inputs'!H124</f>
        <v>13</v>
      </c>
      <c r="BV20" s="152">
        <f>'DNO inputs'!H125</f>
        <v>147</v>
      </c>
      <c r="BW20" s="152">
        <f>'DNO inputs'!H126</f>
        <v>169</v>
      </c>
      <c r="BX20" s="152">
        <f>'DNO inputs'!H127</f>
        <v>197</v>
      </c>
      <c r="BY20" s="152">
        <f>'DNO inputs'!H128</f>
        <v>353</v>
      </c>
      <c r="BZ20" s="152">
        <f>'DNO inputs'!H129</f>
        <v>8</v>
      </c>
      <c r="CA20" s="152">
        <f>'DNO inputs'!H130</f>
        <v>598.01499999999999</v>
      </c>
      <c r="CB20" s="152">
        <f>'DNO inputs'!H131</f>
        <v>129</v>
      </c>
      <c r="CC20" s="152">
        <f>'DNO inputs'!H132</f>
        <v>1239</v>
      </c>
      <c r="CD20" s="152">
        <f>'DNO inputs'!H133</f>
        <v>2478</v>
      </c>
      <c r="CE20" s="152">
        <f>'DNO inputs'!H134</f>
        <v>23.527000000000005</v>
      </c>
      <c r="CF20" s="152">
        <f>'DNO inputs'!H135</f>
        <v>60.755000000000003</v>
      </c>
      <c r="CG20" s="152">
        <f>'DNO inputs'!H136</f>
        <v>5.8369999999999997</v>
      </c>
      <c r="CH20" s="152">
        <f>'DNO inputs'!H137</f>
        <v>0</v>
      </c>
      <c r="CI20" s="152">
        <f>'DNO inputs'!H138</f>
        <v>80</v>
      </c>
      <c r="CJ20" s="152">
        <f>'DNO inputs'!H139</f>
        <v>379</v>
      </c>
      <c r="CK20" s="152">
        <f>'DNO inputs'!H140</f>
        <v>79</v>
      </c>
      <c r="CL20" s="152">
        <f>'DNO inputs'!H141</f>
        <v>186</v>
      </c>
      <c r="CM20" s="152">
        <f>'DNO inputs'!H142</f>
        <v>0</v>
      </c>
      <c r="CN20" s="152">
        <f>'DNO inputs'!H143</f>
        <v>365</v>
      </c>
      <c r="CO20" s="152">
        <f>'DNO inputs'!H144</f>
        <v>803.35</v>
      </c>
      <c r="CP20" s="152">
        <f>'DNO inputs'!H145</f>
        <v>1023.3505</v>
      </c>
      <c r="CQ20" s="74"/>
      <c r="CR20" s="73"/>
      <c r="CS20" s="42"/>
    </row>
    <row r="21" spans="1:97" x14ac:dyDescent="0.2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28282.769999999997</v>
      </c>
      <c r="K21" s="152">
        <f>'DNO inputs'!H153</f>
        <v>1015.8699999999998</v>
      </c>
      <c r="L21" s="152">
        <f>'DNO inputs'!H154</f>
        <v>2260</v>
      </c>
      <c r="M21" s="152">
        <f>'DNO inputs'!H155</f>
        <v>0</v>
      </c>
      <c r="N21" s="152">
        <f>'DNO inputs'!H156</f>
        <v>159241.85999999999</v>
      </c>
      <c r="O21" s="152">
        <f>'DNO inputs'!H157</f>
        <v>0</v>
      </c>
      <c r="P21" s="152">
        <f>'DNO inputs'!H158</f>
        <v>1572.9599999999996</v>
      </c>
      <c r="Q21" s="152">
        <f>'DNO inputs'!H159</f>
        <v>9379</v>
      </c>
      <c r="R21" s="152">
        <f>'DNO inputs'!H160</f>
        <v>9717.9999999999982</v>
      </c>
      <c r="S21" s="152">
        <f>'DNO inputs'!H161</f>
        <v>11977.999999999998</v>
      </c>
      <c r="T21" s="152">
        <f>'DNO inputs'!H162</f>
        <v>5243.1999999999989</v>
      </c>
      <c r="U21" s="152">
        <f>'DNO inputs'!H163</f>
        <v>0</v>
      </c>
      <c r="V21" s="152">
        <f>'DNO inputs'!H164</f>
        <v>0</v>
      </c>
      <c r="W21" s="152">
        <f>'DNO inputs'!H165</f>
        <v>35255.999999999993</v>
      </c>
      <c r="X21" s="152">
        <f>'DNO inputs'!H166</f>
        <v>0</v>
      </c>
      <c r="Y21" s="152">
        <f>'DNO inputs'!H167</f>
        <v>35595</v>
      </c>
      <c r="Z21" s="152">
        <f>'DNO inputs'!H168</f>
        <v>0</v>
      </c>
      <c r="AA21" s="152">
        <f>'DNO inputs'!H169</f>
        <v>2263.9041499999998</v>
      </c>
      <c r="AB21" s="152">
        <f>'DNO inputs'!H170</f>
        <v>2263.9041499999998</v>
      </c>
      <c r="AC21" s="152">
        <f>'DNO inputs'!H171</f>
        <v>83055</v>
      </c>
      <c r="AD21" s="152">
        <f>'DNO inputs'!H172</f>
        <v>83055</v>
      </c>
      <c r="AE21" s="152">
        <f>'DNO inputs'!H173</f>
        <v>0</v>
      </c>
      <c r="AF21" s="152">
        <f>'DNO inputs'!H174</f>
        <v>9478.4399999999987</v>
      </c>
      <c r="AG21" s="152">
        <f>'DNO inputs'!H175</f>
        <v>12459.831999999997</v>
      </c>
      <c r="AH21" s="152">
        <f>'DNO inputs'!H176</f>
        <v>0</v>
      </c>
      <c r="AI21" s="152">
        <f>'DNO inputs'!H177</f>
        <v>10170</v>
      </c>
      <c r="AJ21" s="152">
        <f>'DNO inputs'!H178</f>
        <v>15255</v>
      </c>
      <c r="AK21" s="152">
        <f>'DNO inputs'!H179</f>
        <v>0</v>
      </c>
      <c r="AL21" s="152">
        <f>'DNO inputs'!H180</f>
        <v>0</v>
      </c>
      <c r="AM21" s="152">
        <f>'DNO inputs'!H181</f>
        <v>9478.4399999999987</v>
      </c>
      <c r="AN21" s="152">
        <f>'DNO inputs'!H182</f>
        <v>13560</v>
      </c>
      <c r="AO21" s="152">
        <f>'DNO inputs'!H183</f>
        <v>0</v>
      </c>
      <c r="AP21" s="152">
        <f>'DNO inputs'!H184</f>
        <v>11412.999999999998</v>
      </c>
      <c r="AQ21" s="152">
        <f>'DNO inputs'!H185</f>
        <v>16425.905999999999</v>
      </c>
      <c r="AR21" s="152">
        <f>'DNO inputs'!H186</f>
        <v>0</v>
      </c>
      <c r="AS21" s="152">
        <f>'DNO inputs'!H187</f>
        <v>0</v>
      </c>
      <c r="AT21" s="152">
        <f>'DNO inputs'!H188</f>
        <v>5235.2899999999991</v>
      </c>
      <c r="AU21" s="152">
        <f>'DNO inputs'!H189</f>
        <v>13132.181999999999</v>
      </c>
      <c r="AV21" s="152">
        <f>'DNO inputs'!H190</f>
        <v>5666.9499999999989</v>
      </c>
      <c r="AW21" s="152">
        <f>'DNO inputs'!H191</f>
        <v>13934.255999999998</v>
      </c>
      <c r="AX21" s="152">
        <f>'DNO inputs'!H192</f>
        <v>101700</v>
      </c>
      <c r="AY21" s="152">
        <f>'DNO inputs'!H193</f>
        <v>0</v>
      </c>
      <c r="AZ21" s="152">
        <f>'DNO inputs'!H194</f>
        <v>101700</v>
      </c>
      <c r="BA21" s="152">
        <f>'DNO inputs'!H195</f>
        <v>101700</v>
      </c>
      <c r="BB21" s="152">
        <f>'DNO inputs'!H196</f>
        <v>2498.12687185</v>
      </c>
      <c r="BC21" s="152">
        <f>'DNO inputs'!H197</f>
        <v>0</v>
      </c>
      <c r="BD21" s="152">
        <f>'DNO inputs'!H198</f>
        <v>2498.12687185</v>
      </c>
      <c r="BE21" s="152">
        <f>'DNO inputs'!H199</f>
        <v>0</v>
      </c>
      <c r="BF21" s="152">
        <f>'DNO inputs'!H200</f>
        <v>299450</v>
      </c>
      <c r="BG21" s="152">
        <f>'DNO inputs'!H201</f>
        <v>0</v>
      </c>
      <c r="BH21" s="152">
        <f>'DNO inputs'!H202</f>
        <v>0</v>
      </c>
      <c r="BI21" s="152">
        <f>'DNO inputs'!H203</f>
        <v>339000</v>
      </c>
      <c r="BJ21" s="152">
        <f>'DNO inputs'!H204</f>
        <v>0</v>
      </c>
      <c r="BK21" s="152">
        <f>'DNO inputs'!H205</f>
        <v>0</v>
      </c>
      <c r="BL21" s="152">
        <f>'DNO inputs'!H206</f>
        <v>0</v>
      </c>
      <c r="BM21" s="152">
        <f>'DNO inputs'!H207</f>
        <v>186450</v>
      </c>
      <c r="BN21" s="152">
        <f>'DNO inputs'!H208</f>
        <v>0</v>
      </c>
      <c r="BO21" s="152">
        <f>'DNO inputs'!H209</f>
        <v>0</v>
      </c>
      <c r="BP21" s="152">
        <f>'DNO inputs'!H210</f>
        <v>0</v>
      </c>
      <c r="BQ21" s="152">
        <f>'DNO inputs'!H211</f>
        <v>0</v>
      </c>
      <c r="BR21" s="152">
        <f>'DNO inputs'!H212</f>
        <v>0</v>
      </c>
      <c r="BS21" s="152">
        <f>'DNO inputs'!H213</f>
        <v>186450</v>
      </c>
      <c r="BT21" s="152">
        <f>'DNO inputs'!H214</f>
        <v>0</v>
      </c>
      <c r="BU21" s="152">
        <f>'DNO inputs'!H215</f>
        <v>0</v>
      </c>
      <c r="BV21" s="152">
        <f>'DNO inputs'!H216</f>
        <v>395500</v>
      </c>
      <c r="BW21" s="152">
        <f>'DNO inputs'!H217</f>
        <v>0</v>
      </c>
      <c r="BX21" s="152">
        <f>'DNO inputs'!H218</f>
        <v>429400</v>
      </c>
      <c r="BY21" s="152">
        <f>'DNO inputs'!H219</f>
        <v>0</v>
      </c>
      <c r="BZ21" s="152">
        <f>'DNO inputs'!H220</f>
        <v>0</v>
      </c>
      <c r="CA21" s="152">
        <f>'DNO inputs'!H221</f>
        <v>151420</v>
      </c>
      <c r="CB21" s="152">
        <f>'DNO inputs'!H222</f>
        <v>0</v>
      </c>
      <c r="CC21" s="152">
        <f>'DNO inputs'!H223</f>
        <v>0</v>
      </c>
      <c r="CD21" s="152">
        <f>'DNO inputs'!H224</f>
        <v>7910</v>
      </c>
      <c r="CE21" s="152">
        <f>'DNO inputs'!H225</f>
        <v>773993.49999999988</v>
      </c>
      <c r="CF21" s="152">
        <f>'DNO inputs'!H226</f>
        <v>0</v>
      </c>
      <c r="CG21" s="152">
        <f>'DNO inputs'!H227</f>
        <v>0</v>
      </c>
      <c r="CH21" s="152">
        <f>'DNO inputs'!H228</f>
        <v>0</v>
      </c>
      <c r="CI21" s="152">
        <f>'DNO inputs'!H229</f>
        <v>621500</v>
      </c>
      <c r="CJ21" s="152">
        <f>'DNO inputs'!H230</f>
        <v>0</v>
      </c>
      <c r="CK21" s="152">
        <f>'DNO inputs'!H231</f>
        <v>915300</v>
      </c>
      <c r="CL21" s="152">
        <f>'DNO inputs'!H232</f>
        <v>0</v>
      </c>
      <c r="CM21" s="152">
        <f>'DNO inputs'!H233</f>
        <v>0</v>
      </c>
      <c r="CN21" s="152">
        <f>'DNO inputs'!H234</f>
        <v>0</v>
      </c>
      <c r="CO21" s="152">
        <f>'DNO inputs'!H235</f>
        <v>0</v>
      </c>
      <c r="CP21" s="152">
        <f>'DNO inputs'!H236</f>
        <v>0</v>
      </c>
      <c r="CQ21" s="74"/>
      <c r="CR21" s="73"/>
      <c r="CS21" s="42"/>
    </row>
    <row r="22" spans="1:97" x14ac:dyDescent="0.2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2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25">
      <c r="A24" s="115"/>
      <c r="B24" s="73"/>
      <c r="C24" s="73"/>
      <c r="D24" s="73"/>
      <c r="E24" s="115" t="s">
        <v>277</v>
      </c>
      <c r="F24" s="73"/>
      <c r="G24" s="115" t="s">
        <v>441</v>
      </c>
      <c r="H24" s="130"/>
      <c r="I24" s="143" t="s">
        <v>314</v>
      </c>
      <c r="J24" s="130">
        <f>J20 * J21 / $H22</f>
        <v>72.536630183569272</v>
      </c>
      <c r="K24" s="130">
        <f t="shared" ref="K24:BV24" si="0">K20 * K21 / $H22</f>
        <v>156.89450158314497</v>
      </c>
      <c r="L24" s="130">
        <f t="shared" si="0"/>
        <v>166.97105999999999</v>
      </c>
      <c r="M24" s="130">
        <f t="shared" si="0"/>
        <v>0</v>
      </c>
      <c r="N24" s="130">
        <f t="shared" si="0"/>
        <v>624.62800681223462</v>
      </c>
      <c r="O24" s="130">
        <f t="shared" si="0"/>
        <v>0</v>
      </c>
      <c r="P24" s="130">
        <f t="shared" si="0"/>
        <v>2243.7262200239998</v>
      </c>
      <c r="Q24" s="130">
        <f t="shared" si="0"/>
        <v>14.828199</v>
      </c>
      <c r="R24" s="130">
        <f t="shared" si="0"/>
        <v>22.924761999999998</v>
      </c>
      <c r="S24" s="130">
        <f t="shared" si="0"/>
        <v>69.85569599999998</v>
      </c>
      <c r="T24" s="130">
        <f t="shared" si="0"/>
        <v>49.532510399999993</v>
      </c>
      <c r="U24" s="130">
        <f t="shared" si="0"/>
        <v>0</v>
      </c>
      <c r="V24" s="130">
        <f t="shared" si="0"/>
        <v>0</v>
      </c>
      <c r="W24" s="130">
        <f t="shared" si="0"/>
        <v>185.31932009190908</v>
      </c>
      <c r="X24" s="130">
        <f t="shared" si="0"/>
        <v>0</v>
      </c>
      <c r="Y24" s="130">
        <f t="shared" si="0"/>
        <v>181.071765</v>
      </c>
      <c r="Z24" s="130">
        <f t="shared" si="0"/>
        <v>0</v>
      </c>
      <c r="AA24" s="130">
        <f t="shared" si="0"/>
        <v>144.15636065539996</v>
      </c>
      <c r="AB24" s="130">
        <f t="shared" si="0"/>
        <v>145.91994198824997</v>
      </c>
      <c r="AC24" s="130">
        <f t="shared" si="0"/>
        <v>557.941411843938</v>
      </c>
      <c r="AD24" s="130">
        <f t="shared" si="0"/>
        <v>127.38091588252932</v>
      </c>
      <c r="AE24" s="130">
        <f t="shared" si="0"/>
        <v>0</v>
      </c>
      <c r="AF24" s="130">
        <f t="shared" si="0"/>
        <v>5.345840159999999</v>
      </c>
      <c r="AG24" s="130">
        <f t="shared" si="0"/>
        <v>83.867129191999979</v>
      </c>
      <c r="AH24" s="130">
        <f t="shared" si="0"/>
        <v>0</v>
      </c>
      <c r="AI24" s="130">
        <f t="shared" si="0"/>
        <v>44.412390000000002</v>
      </c>
      <c r="AJ24" s="130">
        <f t="shared" si="0"/>
        <v>87.060284999999993</v>
      </c>
      <c r="AK24" s="130">
        <f t="shared" si="0"/>
        <v>0</v>
      </c>
      <c r="AL24" s="130">
        <f t="shared" si="0"/>
        <v>0</v>
      </c>
      <c r="AM24" s="130">
        <f t="shared" si="0"/>
        <v>4.9003534799999997</v>
      </c>
      <c r="AN24" s="130">
        <f t="shared" si="0"/>
        <v>16.827960000000001</v>
      </c>
      <c r="AO24" s="130">
        <f t="shared" si="0"/>
        <v>0</v>
      </c>
      <c r="AP24" s="130">
        <f t="shared" si="0"/>
        <v>6.5624749999999992</v>
      </c>
      <c r="AQ24" s="130">
        <f t="shared" si="0"/>
        <v>16.048110161999997</v>
      </c>
      <c r="AR24" s="130">
        <f t="shared" si="0"/>
        <v>0</v>
      </c>
      <c r="AS24" s="130">
        <f t="shared" si="0"/>
        <v>0</v>
      </c>
      <c r="AT24" s="130">
        <f t="shared" si="0"/>
        <v>46.405610559999992</v>
      </c>
      <c r="AU24" s="130">
        <f t="shared" si="0"/>
        <v>111.50535736199998</v>
      </c>
      <c r="AV24" s="130">
        <f t="shared" si="0"/>
        <v>40.110672099999995</v>
      </c>
      <c r="AW24" s="130">
        <f t="shared" si="0"/>
        <v>23.172667727999997</v>
      </c>
      <c r="AX24" s="130">
        <f t="shared" si="0"/>
        <v>33.600866399999994</v>
      </c>
      <c r="AY24" s="130">
        <f t="shared" si="0"/>
        <v>0</v>
      </c>
      <c r="AZ24" s="130">
        <f t="shared" si="0"/>
        <v>38.143093499999999</v>
      </c>
      <c r="BA24" s="130">
        <f t="shared" si="0"/>
        <v>64.514513699999995</v>
      </c>
      <c r="BB24" s="130">
        <f t="shared" si="0"/>
        <v>10.132402592223599</v>
      </c>
      <c r="BC24" s="130">
        <f t="shared" si="0"/>
        <v>0</v>
      </c>
      <c r="BD24" s="130">
        <f t="shared" si="0"/>
        <v>14.599053439091401</v>
      </c>
      <c r="BE24" s="130">
        <f t="shared" si="0"/>
        <v>0</v>
      </c>
      <c r="BF24" s="130">
        <f t="shared" si="0"/>
        <v>70.662425310623291</v>
      </c>
      <c r="BG24" s="130">
        <f t="shared" si="0"/>
        <v>0</v>
      </c>
      <c r="BH24" s="130">
        <f t="shared" si="0"/>
        <v>0</v>
      </c>
      <c r="BI24" s="130">
        <f t="shared" si="0"/>
        <v>28.637690535143456</v>
      </c>
      <c r="BJ24" s="130">
        <f t="shared" si="0"/>
        <v>0</v>
      </c>
      <c r="BK24" s="130">
        <f t="shared" si="0"/>
        <v>0</v>
      </c>
      <c r="BL24" s="130">
        <f t="shared" si="0"/>
        <v>0</v>
      </c>
      <c r="BM24" s="130">
        <f t="shared" si="0"/>
        <v>47.731200000000001</v>
      </c>
      <c r="BN24" s="130">
        <f t="shared" si="0"/>
        <v>0</v>
      </c>
      <c r="BO24" s="130">
        <f t="shared" si="0"/>
        <v>0</v>
      </c>
      <c r="BP24" s="130">
        <f t="shared" si="0"/>
        <v>0</v>
      </c>
      <c r="BQ24" s="130">
        <f t="shared" si="0"/>
        <v>0</v>
      </c>
      <c r="BR24" s="130">
        <f t="shared" si="0"/>
        <v>0</v>
      </c>
      <c r="BS24" s="130">
        <f t="shared" si="0"/>
        <v>70.664550000000006</v>
      </c>
      <c r="BT24" s="130">
        <f t="shared" si="0"/>
        <v>0</v>
      </c>
      <c r="BU24" s="130">
        <f t="shared" si="0"/>
        <v>0</v>
      </c>
      <c r="BV24" s="130">
        <f t="shared" si="0"/>
        <v>58.138500000000001</v>
      </c>
      <c r="BW24" s="130">
        <f t="shared" ref="BW24:CP24" si="1">BW20 * BW21 / $H22</f>
        <v>0</v>
      </c>
      <c r="BX24" s="130">
        <f t="shared" si="1"/>
        <v>84.591800000000006</v>
      </c>
      <c r="BY24" s="130">
        <f t="shared" si="1"/>
        <v>0</v>
      </c>
      <c r="BZ24" s="130">
        <f t="shared" si="1"/>
        <v>0</v>
      </c>
      <c r="CA24" s="130">
        <f t="shared" si="1"/>
        <v>90.55143129999999</v>
      </c>
      <c r="CB24" s="130">
        <f t="shared" si="1"/>
        <v>0</v>
      </c>
      <c r="CC24" s="130">
        <f t="shared" si="1"/>
        <v>0</v>
      </c>
      <c r="CD24" s="130">
        <f t="shared" si="1"/>
        <v>19.60098</v>
      </c>
      <c r="CE24" s="130">
        <f t="shared" si="1"/>
        <v>18.209745074500002</v>
      </c>
      <c r="CF24" s="130">
        <f t="shared" si="1"/>
        <v>0</v>
      </c>
      <c r="CG24" s="130">
        <f t="shared" si="1"/>
        <v>0</v>
      </c>
      <c r="CH24" s="130">
        <f t="shared" si="1"/>
        <v>0</v>
      </c>
      <c r="CI24" s="130">
        <f t="shared" si="1"/>
        <v>49.72</v>
      </c>
      <c r="CJ24" s="130">
        <f t="shared" si="1"/>
        <v>0</v>
      </c>
      <c r="CK24" s="130">
        <f t="shared" si="1"/>
        <v>72.308700000000002</v>
      </c>
      <c r="CL24" s="130">
        <f t="shared" si="1"/>
        <v>0</v>
      </c>
      <c r="CM24" s="130">
        <f t="shared" si="1"/>
        <v>0</v>
      </c>
      <c r="CN24" s="130">
        <f t="shared" si="1"/>
        <v>0</v>
      </c>
      <c r="CO24" s="130">
        <f t="shared" si="1"/>
        <v>0</v>
      </c>
      <c r="CP24" s="130">
        <f t="shared" si="1"/>
        <v>0</v>
      </c>
      <c r="CQ24" s="74"/>
      <c r="CR24" s="115" t="s">
        <v>569</v>
      </c>
      <c r="CS24" s="42"/>
    </row>
    <row r="25" spans="1:97" x14ac:dyDescent="0.25">
      <c r="A25" s="73"/>
      <c r="B25" s="73"/>
      <c r="C25" s="73"/>
      <c r="D25" s="73"/>
      <c r="E25" s="115" t="s">
        <v>276</v>
      </c>
      <c r="F25" s="73"/>
      <c r="G25" s="115" t="s">
        <v>441</v>
      </c>
      <c r="H25" s="130">
        <f>SUM(J24:CP24)</f>
        <v>6021.7131040605573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25">
      <c r="A27" s="73"/>
      <c r="B27" s="101"/>
      <c r="C27" s="110" t="s">
        <v>670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2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2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2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569</v>
      </c>
      <c r="CS31" s="42"/>
    </row>
    <row r="32" spans="1:97" x14ac:dyDescent="0.2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2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2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2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2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2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25">
      <c r="A38" s="73"/>
      <c r="B38" s="73"/>
      <c r="C38" s="73"/>
      <c r="D38" s="73"/>
      <c r="E38" s="115" t="s">
        <v>526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2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2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2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2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572</v>
      </c>
      <c r="CS43" s="42"/>
    </row>
    <row r="44" spans="1:97" x14ac:dyDescent="0.2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2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2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2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25">
      <c r="A49" s="73"/>
      <c r="B49" s="101"/>
      <c r="C49" s="110" t="s">
        <v>712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2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2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569</v>
      </c>
      <c r="CS51" s="42"/>
    </row>
    <row r="52" spans="1:97" x14ac:dyDescent="0.2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2400.6207216071448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2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1021.2768643958038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2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375.27756791199994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2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1452.7309982940264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2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771.80695185158186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2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6021.7131040605573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25">
      <c r="A59" s="73"/>
      <c r="B59" s="73"/>
      <c r="C59" s="73"/>
      <c r="D59" s="73"/>
      <c r="E59" s="115" t="s">
        <v>515</v>
      </c>
      <c r="F59" s="73"/>
      <c r="G59" s="115" t="s">
        <v>471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25">
      <c r="A60" s="73"/>
      <c r="B60" s="73"/>
      <c r="C60" s="73"/>
      <c r="D60" s="73"/>
      <c r="E60" s="115" t="s">
        <v>516</v>
      </c>
      <c r="F60" s="73"/>
      <c r="G60" s="115" t="s">
        <v>471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x14ac:dyDescent="0.25">
      <c r="A61" s="73"/>
      <c r="B61" s="73"/>
      <c r="C61" s="73"/>
      <c r="D61" s="73"/>
      <c r="E61" s="115" t="s">
        <v>527</v>
      </c>
      <c r="F61" s="73"/>
      <c r="G61" s="115" t="s">
        <v>231</v>
      </c>
      <c r="H61" s="136">
        <f>IF(H58 = H25, 0, 1)</f>
        <v>0</v>
      </c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6"/>
      <c r="BJ61" s="136"/>
      <c r="BK61" s="136"/>
      <c r="BL61" s="136"/>
      <c r="BM61" s="136"/>
      <c r="BN61" s="136"/>
      <c r="BO61" s="136"/>
      <c r="BP61" s="136"/>
      <c r="BQ61" s="136"/>
      <c r="BR61" s="136"/>
      <c r="BS61" s="136"/>
      <c r="BT61" s="136"/>
      <c r="BU61" s="136"/>
      <c r="BV61" s="136"/>
      <c r="BW61" s="136"/>
      <c r="BX61" s="136"/>
      <c r="BY61" s="136"/>
      <c r="BZ61" s="136"/>
      <c r="CA61" s="136"/>
      <c r="CB61" s="136"/>
      <c r="CC61" s="136"/>
      <c r="CD61" s="136"/>
      <c r="CE61" s="136"/>
      <c r="CF61" s="136"/>
      <c r="CG61" s="136"/>
      <c r="CH61" s="136"/>
      <c r="CI61" s="136"/>
      <c r="CJ61" s="136"/>
      <c r="CK61" s="136"/>
      <c r="CL61" s="136"/>
      <c r="CM61" s="136"/>
      <c r="CN61" s="136"/>
      <c r="CO61" s="136"/>
      <c r="CP61" s="136"/>
      <c r="CQ61" s="74"/>
      <c r="CR61" s="73"/>
      <c r="CS61" s="42"/>
    </row>
    <row r="62" spans="1:97" x14ac:dyDescent="0.25">
      <c r="A62" s="73"/>
      <c r="B62" s="73"/>
      <c r="C62" s="73"/>
      <c r="D62" s="73"/>
      <c r="E62" s="109"/>
      <c r="F62" s="73"/>
      <c r="G62" s="73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3"/>
      <c r="CS62" s="42"/>
    </row>
    <row r="63" spans="1:97" x14ac:dyDescent="0.25">
      <c r="A63" s="115"/>
      <c r="B63" s="73"/>
      <c r="C63" s="73"/>
      <c r="D63" s="73"/>
      <c r="E63" s="112" t="s">
        <v>338</v>
      </c>
      <c r="F63" s="73"/>
      <c r="G63" s="73"/>
      <c r="H63" s="74"/>
      <c r="I63" s="132" t="s">
        <v>314</v>
      </c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115" t="s">
        <v>569</v>
      </c>
      <c r="CS63" s="42"/>
    </row>
    <row r="64" spans="1:97" x14ac:dyDescent="0.25">
      <c r="A64" s="73"/>
      <c r="B64" s="73"/>
      <c r="C64" s="73"/>
      <c r="D64" s="73"/>
      <c r="E64" s="73"/>
      <c r="F64" s="113" t="s">
        <v>193</v>
      </c>
      <c r="G64" s="113" t="s">
        <v>44</v>
      </c>
      <c r="H64" s="153">
        <f>IF(H$60, H52 / H$58, 0)</f>
        <v>0.39866075984064403</v>
      </c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  <c r="BN64" s="135"/>
      <c r="BO64" s="135"/>
      <c r="BP64" s="135"/>
      <c r="BQ64" s="135"/>
      <c r="BR64" s="135"/>
      <c r="BS64" s="135"/>
      <c r="BT64" s="135"/>
      <c r="BU64" s="135"/>
      <c r="BV64" s="135"/>
      <c r="BW64" s="135"/>
      <c r="BX64" s="135"/>
      <c r="BY64" s="135"/>
      <c r="BZ64" s="135"/>
      <c r="CA64" s="135"/>
      <c r="CB64" s="135"/>
      <c r="CC64" s="135"/>
      <c r="CD64" s="135"/>
      <c r="CE64" s="135"/>
      <c r="CF64" s="135"/>
      <c r="CG64" s="135"/>
      <c r="CH64" s="135"/>
      <c r="CI64" s="135"/>
      <c r="CJ64" s="135"/>
      <c r="CK64" s="135"/>
      <c r="CL64" s="135"/>
      <c r="CM64" s="135"/>
      <c r="CN64" s="135"/>
      <c r="CO64" s="135"/>
      <c r="CP64" s="135"/>
      <c r="CQ64" s="74"/>
      <c r="CR64" s="73"/>
      <c r="CS64" s="42"/>
    </row>
    <row r="65" spans="1:97" x14ac:dyDescent="0.25">
      <c r="A65" s="73"/>
      <c r="B65" s="73"/>
      <c r="C65" s="73"/>
      <c r="D65" s="73"/>
      <c r="E65" s="73"/>
      <c r="F65" s="115" t="s">
        <v>194</v>
      </c>
      <c r="G65" s="115" t="s">
        <v>44</v>
      </c>
      <c r="H65" s="154">
        <f>IF(H$60, H53 / H$58, 0)</f>
        <v>0.16959905707017778</v>
      </c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5"/>
      <c r="BN65" s="135"/>
      <c r="BO65" s="135"/>
      <c r="BP65" s="135"/>
      <c r="BQ65" s="135"/>
      <c r="BR65" s="135"/>
      <c r="BS65" s="135"/>
      <c r="BT65" s="135"/>
      <c r="BU65" s="135"/>
      <c r="BV65" s="135"/>
      <c r="BW65" s="135"/>
      <c r="BX65" s="135"/>
      <c r="BY65" s="135"/>
      <c r="BZ65" s="135"/>
      <c r="CA65" s="135"/>
      <c r="CB65" s="135"/>
      <c r="CC65" s="135"/>
      <c r="CD65" s="135"/>
      <c r="CE65" s="135"/>
      <c r="CF65" s="135"/>
      <c r="CG65" s="135"/>
      <c r="CH65" s="135"/>
      <c r="CI65" s="135"/>
      <c r="CJ65" s="135"/>
      <c r="CK65" s="135"/>
      <c r="CL65" s="135"/>
      <c r="CM65" s="135"/>
      <c r="CN65" s="135"/>
      <c r="CO65" s="135"/>
      <c r="CP65" s="135"/>
      <c r="CQ65" s="74"/>
      <c r="CR65" s="73"/>
      <c r="CS65" s="42"/>
    </row>
    <row r="66" spans="1:97" x14ac:dyDescent="0.25">
      <c r="A66" s="73"/>
      <c r="B66" s="73"/>
      <c r="C66" s="73"/>
      <c r="D66" s="73"/>
      <c r="E66" s="73"/>
      <c r="F66" s="115" t="s">
        <v>41</v>
      </c>
      <c r="G66" s="115" t="s">
        <v>44</v>
      </c>
      <c r="H66" s="154">
        <f>IF(H$60, H54 / H$58, 0)</f>
        <v>6.232073189586914E-2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25">
      <c r="A67" s="73"/>
      <c r="B67" s="73"/>
      <c r="C67" s="73"/>
      <c r="D67" s="73"/>
      <c r="E67" s="73"/>
      <c r="F67" s="115" t="s">
        <v>40</v>
      </c>
      <c r="G67" s="115" t="s">
        <v>44</v>
      </c>
      <c r="H67" s="154">
        <f>IF(H$60, H55 / H$58, 0)</f>
        <v>0.24124878970311986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25">
      <c r="A68" s="73"/>
      <c r="B68" s="73"/>
      <c r="C68" s="73"/>
      <c r="D68" s="73"/>
      <c r="E68" s="73"/>
      <c r="F68" s="117" t="s">
        <v>166</v>
      </c>
      <c r="G68" s="117" t="s">
        <v>44</v>
      </c>
      <c r="H68" s="155">
        <f>IF(H$60, H56 / H$58, 0)</f>
        <v>0.12817066149018916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25">
      <c r="A69" s="73"/>
      <c r="B69" s="73"/>
      <c r="C69" s="73"/>
      <c r="D69" s="73"/>
      <c r="E69" s="73"/>
      <c r="F69" s="73"/>
      <c r="G69" s="73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3"/>
      <c r="CS69" s="42"/>
    </row>
    <row r="70" spans="1:97" x14ac:dyDescent="0.25">
      <c r="A70" s="73"/>
      <c r="B70" s="73"/>
      <c r="C70" s="73"/>
      <c r="D70" s="73"/>
      <c r="E70" s="115" t="s">
        <v>239</v>
      </c>
      <c r="F70" s="73"/>
      <c r="G70" s="115" t="s">
        <v>231</v>
      </c>
      <c r="H70" s="136">
        <f>IF(SUM(H64:H68)= 1, 0, 1)</f>
        <v>0</v>
      </c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6"/>
      <c r="BG70" s="136"/>
      <c r="BH70" s="136"/>
      <c r="BI70" s="136"/>
      <c r="BJ70" s="136"/>
      <c r="BK70" s="136"/>
      <c r="BL70" s="136"/>
      <c r="BM70" s="136"/>
      <c r="BN70" s="136"/>
      <c r="BO70" s="136"/>
      <c r="BP70" s="136"/>
      <c r="BQ70" s="136"/>
      <c r="BR70" s="136"/>
      <c r="BS70" s="136"/>
      <c r="BT70" s="136"/>
      <c r="BU70" s="136"/>
      <c r="BV70" s="136"/>
      <c r="BW70" s="136"/>
      <c r="BX70" s="136"/>
      <c r="BY70" s="136"/>
      <c r="BZ70" s="136"/>
      <c r="CA70" s="136"/>
      <c r="CB70" s="136"/>
      <c r="CC70" s="136"/>
      <c r="CD70" s="136"/>
      <c r="CE70" s="136"/>
      <c r="CF70" s="136"/>
      <c r="CG70" s="136"/>
      <c r="CH70" s="136"/>
      <c r="CI70" s="136"/>
      <c r="CJ70" s="136"/>
      <c r="CK70" s="136"/>
      <c r="CL70" s="136"/>
      <c r="CM70" s="136"/>
      <c r="CN70" s="136"/>
      <c r="CO70" s="136"/>
      <c r="CP70" s="136"/>
      <c r="CQ70" s="74"/>
      <c r="CR70" s="73"/>
      <c r="CS70" s="42"/>
    </row>
    <row r="71" spans="1:97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25">
      <c r="A72" s="115"/>
      <c r="B72" s="73"/>
      <c r="C72" s="73"/>
      <c r="D72" s="73"/>
      <c r="E72" s="112" t="s">
        <v>339</v>
      </c>
      <c r="F72" s="73"/>
      <c r="G72" s="73"/>
      <c r="H72" s="74"/>
      <c r="I72" s="132" t="s">
        <v>314</v>
      </c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115" t="s">
        <v>357</v>
      </c>
      <c r="CS72" s="42"/>
    </row>
    <row r="73" spans="1:97" x14ac:dyDescent="0.25">
      <c r="A73" s="73"/>
      <c r="B73" s="73"/>
      <c r="C73" s="73"/>
      <c r="D73" s="73"/>
      <c r="E73" s="73"/>
      <c r="F73" s="113" t="s">
        <v>240</v>
      </c>
      <c r="G73" s="113" t="s">
        <v>44</v>
      </c>
      <c r="H73" s="153">
        <f>IF(H$59, H64 / (H$64 + H$65), 0)</f>
        <v>0.7015466305674164</v>
      </c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135"/>
      <c r="BP73" s="135"/>
      <c r="BQ73" s="135"/>
      <c r="BR73" s="135"/>
      <c r="BS73" s="135"/>
      <c r="BT73" s="135"/>
      <c r="BU73" s="135"/>
      <c r="BV73" s="135"/>
      <c r="BW73" s="135"/>
      <c r="BX73" s="135"/>
      <c r="BY73" s="135"/>
      <c r="BZ73" s="135"/>
      <c r="CA73" s="135"/>
      <c r="CB73" s="135"/>
      <c r="CC73" s="135"/>
      <c r="CD73" s="135"/>
      <c r="CE73" s="135"/>
      <c r="CF73" s="135"/>
      <c r="CG73" s="135"/>
      <c r="CH73" s="135"/>
      <c r="CI73" s="135"/>
      <c r="CJ73" s="135"/>
      <c r="CK73" s="135"/>
      <c r="CL73" s="135"/>
      <c r="CM73" s="135"/>
      <c r="CN73" s="135"/>
      <c r="CO73" s="135"/>
      <c r="CP73" s="135"/>
      <c r="CQ73" s="74"/>
      <c r="CR73" s="73"/>
      <c r="CS73" s="42"/>
    </row>
    <row r="74" spans="1:97" x14ac:dyDescent="0.25">
      <c r="A74" s="73"/>
      <c r="B74" s="73"/>
      <c r="C74" s="73"/>
      <c r="D74" s="73"/>
      <c r="E74" s="73"/>
      <c r="F74" s="117" t="s">
        <v>241</v>
      </c>
      <c r="G74" s="117" t="s">
        <v>44</v>
      </c>
      <c r="H74" s="150">
        <f>IF(H$59, H65 / (H$64 + H$65), 0)</f>
        <v>0.29845336943258349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135"/>
      <c r="BU74" s="135"/>
      <c r="BV74" s="135"/>
      <c r="BW74" s="135"/>
      <c r="BX74" s="135"/>
      <c r="BY74" s="135"/>
      <c r="BZ74" s="135"/>
      <c r="CA74" s="135"/>
      <c r="CB74" s="135"/>
      <c r="CC74" s="135"/>
      <c r="CD74" s="135"/>
      <c r="CE74" s="135"/>
      <c r="CF74" s="135"/>
      <c r="CG74" s="135"/>
      <c r="CH74" s="135"/>
      <c r="CI74" s="135"/>
      <c r="CJ74" s="135"/>
      <c r="CK74" s="135"/>
      <c r="CL74" s="135"/>
      <c r="CM74" s="135"/>
      <c r="CN74" s="135"/>
      <c r="CO74" s="135"/>
      <c r="CP74" s="135"/>
      <c r="CQ74" s="74"/>
      <c r="CR74" s="73"/>
      <c r="CS74" s="42"/>
    </row>
    <row r="75" spans="1:97" x14ac:dyDescent="0.25">
      <c r="A75" s="73"/>
      <c r="B75" s="73"/>
      <c r="C75" s="73"/>
      <c r="D75" s="73"/>
      <c r="E75" s="73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3"/>
      <c r="CS75" s="42"/>
    </row>
    <row r="76" spans="1:97" x14ac:dyDescent="0.25">
      <c r="A76" s="73"/>
      <c r="B76" s="73"/>
      <c r="C76" s="73"/>
      <c r="D76" s="73"/>
      <c r="E76" s="115" t="s">
        <v>239</v>
      </c>
      <c r="F76" s="73"/>
      <c r="G76" s="115" t="s">
        <v>231</v>
      </c>
      <c r="H76" s="136">
        <f>IF(SUM(H73:H74)= 1, 0, 1)</f>
        <v>0</v>
      </c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  <c r="BS76" s="136"/>
      <c r="BT76" s="136"/>
      <c r="BU76" s="136"/>
      <c r="BV76" s="136"/>
      <c r="BW76" s="136"/>
      <c r="BX76" s="136"/>
      <c r="BY76" s="136"/>
      <c r="BZ76" s="136"/>
      <c r="CA76" s="136"/>
      <c r="CB76" s="136"/>
      <c r="CC76" s="136"/>
      <c r="CD76" s="136"/>
      <c r="CE76" s="136"/>
      <c r="CF76" s="136"/>
      <c r="CG76" s="136"/>
      <c r="CH76" s="136"/>
      <c r="CI76" s="136"/>
      <c r="CJ76" s="136"/>
      <c r="CK76" s="136"/>
      <c r="CL76" s="136"/>
      <c r="CM76" s="136"/>
      <c r="CN76" s="136"/>
      <c r="CO76" s="136"/>
      <c r="CP76" s="136"/>
      <c r="CQ76" s="74"/>
      <c r="CR76" s="73"/>
      <c r="CS76" s="42"/>
    </row>
    <row r="77" spans="1:97" x14ac:dyDescent="0.25">
      <c r="A77" s="73"/>
      <c r="B77" s="73"/>
      <c r="C77" s="73"/>
      <c r="D77" s="73"/>
      <c r="E77" s="109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s="17" customFormat="1" x14ac:dyDescent="0.25">
      <c r="A78" s="73"/>
      <c r="B78" s="101"/>
      <c r="C78" s="110" t="s">
        <v>713</v>
      </c>
      <c r="D78" s="110"/>
      <c r="E78" s="110"/>
      <c r="F78" s="110"/>
      <c r="G78" s="110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0"/>
      <c r="CS78" s="42"/>
    </row>
    <row r="79" spans="1:97" s="17" customFormat="1" x14ac:dyDescent="0.25">
      <c r="A79" s="73"/>
      <c r="B79" s="73"/>
      <c r="C79" s="109"/>
      <c r="D79" s="109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x14ac:dyDescent="0.25">
      <c r="A80" s="115"/>
      <c r="B80" s="73"/>
      <c r="C80" s="73"/>
      <c r="D80" s="73"/>
      <c r="E80" s="112" t="s">
        <v>322</v>
      </c>
      <c r="F80" s="73"/>
      <c r="G80" s="73"/>
      <c r="H80" s="74"/>
      <c r="I80" s="132" t="s">
        <v>314</v>
      </c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115" t="s">
        <v>604</v>
      </c>
      <c r="CS80" s="42"/>
    </row>
    <row r="81" spans="1:97" x14ac:dyDescent="0.25">
      <c r="A81" s="73"/>
      <c r="B81" s="73"/>
      <c r="C81" s="73"/>
      <c r="D81" s="73"/>
      <c r="E81" s="73"/>
      <c r="F81" s="113" t="s">
        <v>38</v>
      </c>
      <c r="G81" s="113" t="str">
        <f>G$24</f>
        <v>£m</v>
      </c>
      <c r="H81" s="145">
        <f>SUMPRODUCT(J44:CP44, J$24:CP$24)</f>
        <v>253.67158283199998</v>
      </c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/>
      <c r="CB81" s="130"/>
      <c r="CC81" s="130"/>
      <c r="CD81" s="130"/>
      <c r="CE81" s="130"/>
      <c r="CF81" s="130"/>
      <c r="CG81" s="130"/>
      <c r="CH81" s="130"/>
      <c r="CI81" s="130"/>
      <c r="CJ81" s="130"/>
      <c r="CK81" s="130"/>
      <c r="CL81" s="130"/>
      <c r="CM81" s="130"/>
      <c r="CN81" s="130"/>
      <c r="CO81" s="130"/>
      <c r="CP81" s="130"/>
      <c r="CQ81" s="74"/>
      <c r="CR81" s="73"/>
      <c r="CS81" s="42"/>
    </row>
    <row r="82" spans="1:97" x14ac:dyDescent="0.25">
      <c r="A82" s="73"/>
      <c r="B82" s="73"/>
      <c r="C82" s="73"/>
      <c r="D82" s="73"/>
      <c r="E82" s="73"/>
      <c r="F82" s="115" t="s">
        <v>37</v>
      </c>
      <c r="G82" s="115" t="str">
        <f>G$24</f>
        <v>£m</v>
      </c>
      <c r="H82" s="130">
        <f>SUMPRODUCT(J45:CP45, J$24:CP$24)</f>
        <v>260.29004547708172</v>
      </c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0"/>
      <c r="BS82" s="130"/>
      <c r="BT82" s="130"/>
      <c r="BU82" s="130"/>
      <c r="BV82" s="130"/>
      <c r="BW82" s="130"/>
      <c r="BX82" s="130"/>
      <c r="BY82" s="130"/>
      <c r="BZ82" s="130"/>
      <c r="CA82" s="130"/>
      <c r="CB82" s="130"/>
      <c r="CC82" s="130"/>
      <c r="CD82" s="130"/>
      <c r="CE82" s="130"/>
      <c r="CF82" s="130"/>
      <c r="CG82" s="130"/>
      <c r="CH82" s="130"/>
      <c r="CI82" s="130"/>
      <c r="CJ82" s="130"/>
      <c r="CK82" s="130"/>
      <c r="CL82" s="130"/>
      <c r="CM82" s="130"/>
      <c r="CN82" s="130"/>
      <c r="CO82" s="130"/>
      <c r="CP82" s="130"/>
      <c r="CQ82" s="74"/>
      <c r="CR82" s="73"/>
      <c r="CS82" s="42"/>
    </row>
    <row r="83" spans="1:97" x14ac:dyDescent="0.25">
      <c r="A83" s="73"/>
      <c r="B83" s="73"/>
      <c r="C83" s="73"/>
      <c r="D83" s="73"/>
      <c r="E83" s="73"/>
      <c r="F83" s="115" t="s">
        <v>36</v>
      </c>
      <c r="G83" s="115" t="str">
        <f>G$24</f>
        <v>£m</v>
      </c>
      <c r="H83" s="130">
        <f>SUMPRODUCT(J46:CP46, J$24:CP$24)</f>
        <v>190.70445000000001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25">
      <c r="A84" s="73"/>
      <c r="B84" s="73"/>
      <c r="C84" s="73"/>
      <c r="D84" s="73"/>
      <c r="E84" s="73"/>
      <c r="F84" s="117" t="s">
        <v>35</v>
      </c>
      <c r="G84" s="117" t="str">
        <f>G$24</f>
        <v>£m</v>
      </c>
      <c r="H84" s="146">
        <f>SUMPRODUCT(J47:CP47, J$24:CP$24)</f>
        <v>178.08215637449999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74"/>
      <c r="CI85" s="74"/>
      <c r="CJ85" s="74"/>
      <c r="CK85" s="74"/>
      <c r="CL85" s="74"/>
      <c r="CM85" s="74"/>
      <c r="CN85" s="74"/>
      <c r="CO85" s="74"/>
      <c r="CP85" s="74"/>
      <c r="CQ85" s="74"/>
      <c r="CR85" s="73"/>
      <c r="CS85" s="42"/>
    </row>
    <row r="86" spans="1:97" x14ac:dyDescent="0.25">
      <c r="A86" s="115"/>
      <c r="B86" s="73"/>
      <c r="C86" s="73"/>
      <c r="D86" s="73"/>
      <c r="E86" s="115" t="s">
        <v>278</v>
      </c>
      <c r="F86" s="73"/>
      <c r="G86" s="115" t="str">
        <f>G$24</f>
        <v>£m</v>
      </c>
      <c r="H86" s="130">
        <f>SUM(H81:H84)</f>
        <v>882.7482346835817</v>
      </c>
      <c r="I86" s="143" t="s">
        <v>314</v>
      </c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115" t="s">
        <v>604</v>
      </c>
      <c r="CS86" s="42"/>
    </row>
    <row r="87" spans="1:97" x14ac:dyDescent="0.25">
      <c r="A87" s="73"/>
      <c r="B87" s="73"/>
      <c r="C87" s="73"/>
      <c r="D87" s="73"/>
      <c r="E87" s="115" t="s">
        <v>517</v>
      </c>
      <c r="F87" s="73"/>
      <c r="G87" s="115" t="s">
        <v>471</v>
      </c>
      <c r="H87" s="130" t="b">
        <f>H86 &gt; 0</f>
        <v>1</v>
      </c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/>
      <c r="CB87" s="130"/>
      <c r="CC87" s="130"/>
      <c r="CD87" s="130"/>
      <c r="CE87" s="130"/>
      <c r="CF87" s="130"/>
      <c r="CG87" s="130"/>
      <c r="CH87" s="130"/>
      <c r="CI87" s="130"/>
      <c r="CJ87" s="130"/>
      <c r="CK87" s="130"/>
      <c r="CL87" s="130"/>
      <c r="CM87" s="130"/>
      <c r="CN87" s="130"/>
      <c r="CO87" s="130"/>
      <c r="CP87" s="130"/>
      <c r="CQ87" s="74"/>
      <c r="CR87" s="73"/>
      <c r="CS87" s="42"/>
    </row>
    <row r="88" spans="1:97" x14ac:dyDescent="0.2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  <c r="BX88" s="74"/>
      <c r="BY88" s="74"/>
      <c r="BZ88" s="74"/>
      <c r="CA88" s="74"/>
      <c r="CB88" s="74"/>
      <c r="CC88" s="74"/>
      <c r="CD88" s="74"/>
      <c r="CE88" s="74"/>
      <c r="CF88" s="74"/>
      <c r="CG88" s="74"/>
      <c r="CH88" s="74"/>
      <c r="CI88" s="74"/>
      <c r="CJ88" s="74"/>
      <c r="CK88" s="74"/>
      <c r="CL88" s="74"/>
      <c r="CM88" s="74"/>
      <c r="CN88" s="74"/>
      <c r="CO88" s="74"/>
      <c r="CP88" s="74"/>
      <c r="CQ88" s="74"/>
      <c r="CR88" s="73"/>
      <c r="CS88" s="42"/>
    </row>
    <row r="89" spans="1:97" x14ac:dyDescent="0.25">
      <c r="A89" s="115"/>
      <c r="B89" s="73"/>
      <c r="C89" s="73"/>
      <c r="D89" s="73"/>
      <c r="E89" s="112" t="s">
        <v>322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74"/>
      <c r="CK89" s="74"/>
      <c r="CL89" s="74"/>
      <c r="CM89" s="74"/>
      <c r="CN89" s="74"/>
      <c r="CO89" s="74"/>
      <c r="CP89" s="74"/>
      <c r="CQ89" s="74"/>
      <c r="CR89" s="115" t="s">
        <v>604</v>
      </c>
      <c r="CS89" s="42"/>
    </row>
    <row r="90" spans="1:97" x14ac:dyDescent="0.25">
      <c r="A90" s="73"/>
      <c r="B90" s="73"/>
      <c r="C90" s="73"/>
      <c r="D90" s="73"/>
      <c r="E90" s="73"/>
      <c r="F90" s="113" t="s">
        <v>38</v>
      </c>
      <c r="G90" s="113" t="s">
        <v>44</v>
      </c>
      <c r="H90" s="153">
        <f>IF(H$87, H81 / H$86, 0)</f>
        <v>0.28736572089881068</v>
      </c>
      <c r="I90" s="131" t="s">
        <v>314</v>
      </c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  <c r="BI90" s="135"/>
      <c r="BJ90" s="135"/>
      <c r="BK90" s="135"/>
      <c r="BL90" s="135"/>
      <c r="BM90" s="135"/>
      <c r="BN90" s="135"/>
      <c r="BO90" s="135"/>
      <c r="BP90" s="135"/>
      <c r="BQ90" s="135"/>
      <c r="BR90" s="135"/>
      <c r="BS90" s="135"/>
      <c r="BT90" s="135"/>
      <c r="BU90" s="135"/>
      <c r="BV90" s="135"/>
      <c r="BW90" s="135"/>
      <c r="BX90" s="135"/>
      <c r="BY90" s="135"/>
      <c r="BZ90" s="135"/>
      <c r="CA90" s="135"/>
      <c r="CB90" s="135"/>
      <c r="CC90" s="135"/>
      <c r="CD90" s="135"/>
      <c r="CE90" s="135"/>
      <c r="CF90" s="135"/>
      <c r="CG90" s="135"/>
      <c r="CH90" s="135"/>
      <c r="CI90" s="135"/>
      <c r="CJ90" s="135"/>
      <c r="CK90" s="135"/>
      <c r="CL90" s="135"/>
      <c r="CM90" s="135"/>
      <c r="CN90" s="135"/>
      <c r="CO90" s="135"/>
      <c r="CP90" s="135"/>
      <c r="CQ90" s="74"/>
      <c r="CR90" s="115" t="s">
        <v>538</v>
      </c>
      <c r="CS90" s="42"/>
    </row>
    <row r="91" spans="1:97" x14ac:dyDescent="0.25">
      <c r="A91" s="73"/>
      <c r="B91" s="73"/>
      <c r="C91" s="73"/>
      <c r="D91" s="73"/>
      <c r="E91" s="73"/>
      <c r="F91" s="115" t="s">
        <v>37</v>
      </c>
      <c r="G91" s="115" t="s">
        <v>44</v>
      </c>
      <c r="H91" s="154">
        <f>IF(H$87, H82 / H$86, 0)</f>
        <v>0.29486328632577991</v>
      </c>
      <c r="I91" s="131" t="s">
        <v>314</v>
      </c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  <c r="BL91" s="135"/>
      <c r="BM91" s="135"/>
      <c r="BN91" s="135"/>
      <c r="BO91" s="135"/>
      <c r="BP91" s="135"/>
      <c r="BQ91" s="135"/>
      <c r="BR91" s="135"/>
      <c r="BS91" s="135"/>
      <c r="BT91" s="135"/>
      <c r="BU91" s="135"/>
      <c r="BV91" s="135"/>
      <c r="BW91" s="135"/>
      <c r="BX91" s="135"/>
      <c r="BY91" s="135"/>
      <c r="BZ91" s="135"/>
      <c r="CA91" s="135"/>
      <c r="CB91" s="135"/>
      <c r="CC91" s="135"/>
      <c r="CD91" s="135"/>
      <c r="CE91" s="135"/>
      <c r="CF91" s="135"/>
      <c r="CG91" s="135"/>
      <c r="CH91" s="135"/>
      <c r="CI91" s="135"/>
      <c r="CJ91" s="135"/>
      <c r="CK91" s="135"/>
      <c r="CL91" s="135"/>
      <c r="CM91" s="135"/>
      <c r="CN91" s="135"/>
      <c r="CO91" s="135"/>
      <c r="CP91" s="135"/>
      <c r="CQ91" s="74"/>
      <c r="CR91" s="115" t="s">
        <v>539</v>
      </c>
      <c r="CS91" s="42"/>
    </row>
    <row r="92" spans="1:97" x14ac:dyDescent="0.25">
      <c r="A92" s="73"/>
      <c r="B92" s="73"/>
      <c r="C92" s="73"/>
      <c r="D92" s="73"/>
      <c r="E92" s="73"/>
      <c r="F92" s="115" t="s">
        <v>36</v>
      </c>
      <c r="G92" s="115" t="s">
        <v>44</v>
      </c>
      <c r="H92" s="154">
        <f>IF(H$87, H83 / H$86, 0)</f>
        <v>0.2160349265024103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541</v>
      </c>
      <c r="CS92" s="42"/>
    </row>
    <row r="93" spans="1:97" x14ac:dyDescent="0.25">
      <c r="A93" s="73"/>
      <c r="B93" s="73"/>
      <c r="C93" s="73"/>
      <c r="D93" s="73"/>
      <c r="E93" s="73"/>
      <c r="F93" s="117" t="s">
        <v>35</v>
      </c>
      <c r="G93" s="117" t="s">
        <v>44</v>
      </c>
      <c r="H93" s="155">
        <f>IF(H$87, H84 / H$86, 0)</f>
        <v>0.20173606627299909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540</v>
      </c>
      <c r="CS93" s="42"/>
    </row>
    <row r="94" spans="1:97" x14ac:dyDescent="0.25">
      <c r="A94" s="73"/>
      <c r="B94" s="73"/>
      <c r="C94" s="73"/>
      <c r="D94" s="73"/>
      <c r="E94" s="73"/>
      <c r="F94" s="73"/>
      <c r="G94" s="73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  <c r="BX94" s="74"/>
      <c r="BY94" s="74"/>
      <c r="BZ94" s="74"/>
      <c r="CA94" s="74"/>
      <c r="CB94" s="74"/>
      <c r="CC94" s="74"/>
      <c r="CD94" s="74"/>
      <c r="CE94" s="74"/>
      <c r="CF94" s="74"/>
      <c r="CG94" s="74"/>
      <c r="CH94" s="74"/>
      <c r="CI94" s="74"/>
      <c r="CJ94" s="74"/>
      <c r="CK94" s="74"/>
      <c r="CL94" s="74"/>
      <c r="CM94" s="74"/>
      <c r="CN94" s="74"/>
      <c r="CO94" s="74"/>
      <c r="CP94" s="74"/>
      <c r="CQ94" s="74"/>
      <c r="CR94" s="101"/>
      <c r="CS94" s="42"/>
    </row>
    <row r="95" spans="1:97" x14ac:dyDescent="0.25">
      <c r="A95" s="73"/>
      <c r="B95" s="73"/>
      <c r="C95" s="73"/>
      <c r="D95" s="73"/>
      <c r="E95" s="115" t="s">
        <v>239</v>
      </c>
      <c r="F95" s="73"/>
      <c r="G95" s="115" t="s">
        <v>231</v>
      </c>
      <c r="H95" s="136">
        <f>IF(SUM(H90:H93) = 1, 0, 1)</f>
        <v>0</v>
      </c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36"/>
      <c r="BR95" s="136"/>
      <c r="BS95" s="136"/>
      <c r="BT95" s="136"/>
      <c r="BU95" s="136"/>
      <c r="BV95" s="136"/>
      <c r="BW95" s="136"/>
      <c r="BX95" s="136"/>
      <c r="BY95" s="136"/>
      <c r="BZ95" s="136"/>
      <c r="CA95" s="136"/>
      <c r="CB95" s="136"/>
      <c r="CC95" s="136"/>
      <c r="CD95" s="136"/>
      <c r="CE95" s="136"/>
      <c r="CF95" s="136"/>
      <c r="CG95" s="136"/>
      <c r="CH95" s="136"/>
      <c r="CI95" s="136"/>
      <c r="CJ95" s="136"/>
      <c r="CK95" s="136"/>
      <c r="CL95" s="136"/>
      <c r="CM95" s="136"/>
      <c r="CN95" s="136"/>
      <c r="CO95" s="136"/>
      <c r="CP95" s="136"/>
      <c r="CQ95" s="74"/>
      <c r="CR95" s="73"/>
      <c r="CS95" s="42"/>
    </row>
    <row r="96" spans="1:97" x14ac:dyDescent="0.25">
      <c r="A96" s="73"/>
      <c r="B96" s="73"/>
      <c r="C96" s="73"/>
      <c r="D96" s="73"/>
      <c r="E96" s="109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73"/>
      <c r="CS96" s="42"/>
    </row>
    <row r="97" spans="1:97" x14ac:dyDescent="0.25">
      <c r="A97" s="73"/>
      <c r="B97" s="107" t="s">
        <v>237</v>
      </c>
      <c r="C97" s="107"/>
      <c r="D97" s="107"/>
      <c r="E97" s="107"/>
      <c r="F97" s="107"/>
      <c r="G97" s="107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8"/>
      <c r="BJ97" s="108"/>
      <c r="BK97" s="108"/>
      <c r="BL97" s="108"/>
      <c r="BM97" s="108"/>
      <c r="BN97" s="108"/>
      <c r="BO97" s="108"/>
      <c r="BP97" s="108"/>
      <c r="BQ97" s="108"/>
      <c r="BR97" s="108"/>
      <c r="BS97" s="108"/>
      <c r="BT97" s="108"/>
      <c r="BU97" s="108"/>
      <c r="BV97" s="108"/>
      <c r="BW97" s="108"/>
      <c r="BX97" s="108"/>
      <c r="BY97" s="108"/>
      <c r="BZ97" s="108"/>
      <c r="CA97" s="108"/>
      <c r="CB97" s="108"/>
      <c r="CC97" s="108"/>
      <c r="CD97" s="108"/>
      <c r="CE97" s="108"/>
      <c r="CF97" s="108"/>
      <c r="CG97" s="108"/>
      <c r="CH97" s="108"/>
      <c r="CI97" s="108"/>
      <c r="CJ97" s="108"/>
      <c r="CK97" s="108"/>
      <c r="CL97" s="108"/>
      <c r="CM97" s="108"/>
      <c r="CN97" s="108"/>
      <c r="CO97" s="108"/>
      <c r="CP97" s="108"/>
      <c r="CQ97" s="108"/>
      <c r="CR97" s="107"/>
      <c r="CS97" s="42"/>
    </row>
    <row r="98" spans="1:97" x14ac:dyDescent="0.25">
      <c r="A98" s="73"/>
      <c r="B98" s="73"/>
      <c r="C98" s="73"/>
      <c r="D98" s="73"/>
      <c r="E98" s="73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25">
      <c r="A99" s="73"/>
      <c r="B99" s="73"/>
      <c r="C99" s="109" t="s">
        <v>396</v>
      </c>
      <c r="D99" s="109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  <c r="BX99" s="74"/>
      <c r="BY99" s="74"/>
      <c r="BZ99" s="74"/>
      <c r="CA99" s="74"/>
      <c r="CB99" s="74"/>
      <c r="CC99" s="74"/>
      <c r="CD99" s="74"/>
      <c r="CE99" s="74"/>
      <c r="CF99" s="74"/>
      <c r="CG99" s="74"/>
      <c r="CH99" s="74"/>
      <c r="CI99" s="74"/>
      <c r="CJ99" s="74"/>
      <c r="CK99" s="74"/>
      <c r="CL99" s="74"/>
      <c r="CM99" s="74"/>
      <c r="CN99" s="74"/>
      <c r="CO99" s="74"/>
      <c r="CP99" s="74"/>
      <c r="CQ99" s="74"/>
      <c r="CR99" s="73"/>
      <c r="CS99" s="42"/>
    </row>
    <row r="100" spans="1:97" x14ac:dyDescent="0.25">
      <c r="A100" s="73"/>
      <c r="B100" s="73"/>
      <c r="C100" s="109"/>
      <c r="D100" s="109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25">
      <c r="A101" s="73"/>
      <c r="B101" s="101"/>
      <c r="C101" s="110" t="s">
        <v>710</v>
      </c>
      <c r="D101" s="110"/>
      <c r="E101" s="110"/>
      <c r="F101" s="110"/>
      <c r="G101" s="110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0"/>
      <c r="CS101" s="42"/>
    </row>
    <row r="102" spans="1:97" x14ac:dyDescent="0.2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25">
      <c r="A103" s="73"/>
      <c r="B103" s="73"/>
      <c r="C103" s="73"/>
      <c r="D103" s="109"/>
      <c r="E103" s="115" t="s">
        <v>233</v>
      </c>
      <c r="F103" s="73"/>
      <c r="G103" s="115" t="str">
        <f>G56</f>
        <v>£m</v>
      </c>
      <c r="H103" s="130">
        <f>H56</f>
        <v>771.80695185158186</v>
      </c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  <c r="BR103" s="130"/>
      <c r="BS103" s="130"/>
      <c r="BT103" s="130"/>
      <c r="BU103" s="130"/>
      <c r="BV103" s="130"/>
      <c r="BW103" s="130"/>
      <c r="BX103" s="130"/>
      <c r="BY103" s="130"/>
      <c r="BZ103" s="130"/>
      <c r="CA103" s="130"/>
      <c r="CB103" s="130"/>
      <c r="CC103" s="130"/>
      <c r="CD103" s="130"/>
      <c r="CE103" s="130"/>
      <c r="CF103" s="130"/>
      <c r="CG103" s="130"/>
      <c r="CH103" s="130"/>
      <c r="CI103" s="130"/>
      <c r="CJ103" s="130"/>
      <c r="CK103" s="130"/>
      <c r="CL103" s="130"/>
      <c r="CM103" s="130"/>
      <c r="CN103" s="130"/>
      <c r="CO103" s="130"/>
      <c r="CP103" s="130"/>
      <c r="CQ103" s="74"/>
      <c r="CR103" s="73"/>
      <c r="CS103" s="42"/>
    </row>
    <row r="104" spans="1:97" x14ac:dyDescent="0.25">
      <c r="A104" s="73"/>
      <c r="B104" s="73"/>
      <c r="C104" s="73"/>
      <c r="D104" s="73"/>
      <c r="E104" s="109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25">
      <c r="A105" s="73"/>
      <c r="B105" s="73"/>
      <c r="C105" s="73"/>
      <c r="D105" s="73"/>
      <c r="E105" s="112" t="str">
        <f>'DNO inputs'!E37</f>
        <v>CDCM notional EHV asset values</v>
      </c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  <c r="BX105" s="74"/>
      <c r="BY105" s="74"/>
      <c r="BZ105" s="74"/>
      <c r="CA105" s="74"/>
      <c r="CB105" s="74"/>
      <c r="CC105" s="74"/>
      <c r="CD105" s="74"/>
      <c r="CE105" s="74"/>
      <c r="CF105" s="74"/>
      <c r="CG105" s="74"/>
      <c r="CH105" s="74"/>
      <c r="CI105" s="74"/>
      <c r="CJ105" s="74"/>
      <c r="CK105" s="74"/>
      <c r="CL105" s="74"/>
      <c r="CM105" s="74"/>
      <c r="CN105" s="74"/>
      <c r="CO105" s="74"/>
      <c r="CP105" s="74"/>
      <c r="CQ105" s="74"/>
      <c r="CR105" s="73"/>
      <c r="CS105" s="42"/>
    </row>
    <row r="106" spans="1:97" x14ac:dyDescent="0.25">
      <c r="A106" s="73"/>
      <c r="B106" s="73"/>
      <c r="C106" s="73"/>
      <c r="D106" s="73"/>
      <c r="E106" s="73"/>
      <c r="F106" s="113" t="str">
        <f>'DNO inputs'!F38</f>
        <v>132kV</v>
      </c>
      <c r="G106" s="113" t="str">
        <f>'DNO inputs'!G38</f>
        <v>£</v>
      </c>
      <c r="H106" s="156">
        <f>'DNO inputs'!H38</f>
        <v>224578634.54250643</v>
      </c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  <c r="BR106" s="130"/>
      <c r="BS106" s="130"/>
      <c r="BT106" s="130"/>
      <c r="BU106" s="130"/>
      <c r="BV106" s="130"/>
      <c r="BW106" s="130"/>
      <c r="BX106" s="130"/>
      <c r="BY106" s="130"/>
      <c r="BZ106" s="130"/>
      <c r="CA106" s="130"/>
      <c r="CB106" s="130"/>
      <c r="CC106" s="130"/>
      <c r="CD106" s="130"/>
      <c r="CE106" s="130"/>
      <c r="CF106" s="130"/>
      <c r="CG106" s="130"/>
      <c r="CH106" s="130"/>
      <c r="CI106" s="130"/>
      <c r="CJ106" s="130"/>
      <c r="CK106" s="130"/>
      <c r="CL106" s="130"/>
      <c r="CM106" s="130"/>
      <c r="CN106" s="130"/>
      <c r="CO106" s="130"/>
      <c r="CP106" s="130"/>
      <c r="CQ106" s="74"/>
      <c r="CR106" s="73"/>
      <c r="CS106" s="42"/>
    </row>
    <row r="107" spans="1:97" x14ac:dyDescent="0.25">
      <c r="A107" s="73"/>
      <c r="B107" s="73"/>
      <c r="C107" s="73"/>
      <c r="D107" s="73"/>
      <c r="E107" s="73"/>
      <c r="F107" s="115" t="str">
        <f>'DNO inputs'!F39</f>
        <v>132kV/EHV</v>
      </c>
      <c r="G107" s="115" t="str">
        <f>'DNO inputs'!G39</f>
        <v>£</v>
      </c>
      <c r="H107" s="152">
        <f>'DNO inputs'!H39</f>
        <v>91833380.645991117</v>
      </c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  <c r="BR107" s="130"/>
      <c r="BS107" s="130"/>
      <c r="BT107" s="130"/>
      <c r="BU107" s="130"/>
      <c r="BV107" s="130"/>
      <c r="BW107" s="130"/>
      <c r="BX107" s="130"/>
      <c r="BY107" s="130"/>
      <c r="BZ107" s="130"/>
      <c r="CA107" s="130"/>
      <c r="CB107" s="130"/>
      <c r="CC107" s="130"/>
      <c r="CD107" s="130"/>
      <c r="CE107" s="130"/>
      <c r="CF107" s="130"/>
      <c r="CG107" s="130"/>
      <c r="CH107" s="130"/>
      <c r="CI107" s="130"/>
      <c r="CJ107" s="130"/>
      <c r="CK107" s="130"/>
      <c r="CL107" s="130"/>
      <c r="CM107" s="130"/>
      <c r="CN107" s="130"/>
      <c r="CO107" s="130"/>
      <c r="CP107" s="130"/>
      <c r="CQ107" s="74"/>
      <c r="CR107" s="73"/>
      <c r="CS107" s="42"/>
    </row>
    <row r="108" spans="1:97" x14ac:dyDescent="0.25">
      <c r="A108" s="73"/>
      <c r="B108" s="73"/>
      <c r="C108" s="73"/>
      <c r="D108" s="73"/>
      <c r="E108" s="73"/>
      <c r="F108" s="115" t="str">
        <f>'DNO inputs'!F40</f>
        <v>EHV</v>
      </c>
      <c r="G108" s="115" t="str">
        <f>'DNO inputs'!G40</f>
        <v>£</v>
      </c>
      <c r="H108" s="152">
        <f>'DNO inputs'!H40</f>
        <v>463832302.69312412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25">
      <c r="A109" s="73"/>
      <c r="B109" s="73"/>
      <c r="C109" s="73"/>
      <c r="D109" s="73"/>
      <c r="E109" s="73"/>
      <c r="F109" s="115" t="str">
        <f>'DNO inputs'!F41</f>
        <v>EHV/HV</v>
      </c>
      <c r="G109" s="115" t="str">
        <f>'DNO inputs'!G41</f>
        <v>£</v>
      </c>
      <c r="H109" s="152">
        <f>'DNO inputs'!H41</f>
        <v>188505546.93630758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25">
      <c r="A110" s="73"/>
      <c r="B110" s="73"/>
      <c r="C110" s="73"/>
      <c r="D110" s="73"/>
      <c r="E110" s="73"/>
      <c r="F110" s="117" t="str">
        <f>'DNO inputs'!F42</f>
        <v>132kV/HV</v>
      </c>
      <c r="G110" s="117" t="str">
        <f>'DNO inputs'!G42</f>
        <v>£</v>
      </c>
      <c r="H110" s="157">
        <f>'DNO inputs'!H42</f>
        <v>0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25">
      <c r="A111" s="73"/>
      <c r="B111" s="73"/>
      <c r="C111" s="73"/>
      <c r="D111" s="73"/>
      <c r="E111" s="73"/>
      <c r="F111" s="73"/>
      <c r="G111" s="73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  <c r="BY111" s="74"/>
      <c r="BZ111" s="74"/>
      <c r="CA111" s="74"/>
      <c r="CB111" s="74"/>
      <c r="CC111" s="74"/>
      <c r="CD111" s="74"/>
      <c r="CE111" s="74"/>
      <c r="CF111" s="74"/>
      <c r="CG111" s="74"/>
      <c r="CH111" s="74"/>
      <c r="CI111" s="74"/>
      <c r="CJ111" s="74"/>
      <c r="CK111" s="74"/>
      <c r="CL111" s="74"/>
      <c r="CM111" s="74"/>
      <c r="CN111" s="74"/>
      <c r="CO111" s="74"/>
      <c r="CP111" s="74"/>
      <c r="CQ111" s="74"/>
      <c r="CR111" s="73"/>
      <c r="CS111" s="42"/>
    </row>
    <row r="112" spans="1:97" x14ac:dyDescent="0.25">
      <c r="A112" s="115"/>
      <c r="B112" s="73"/>
      <c r="C112" s="73"/>
      <c r="D112" s="73"/>
      <c r="E112" s="115" t="s">
        <v>234</v>
      </c>
      <c r="F112" s="73"/>
      <c r="G112" s="115" t="s">
        <v>440</v>
      </c>
      <c r="H112" s="130">
        <f>SUM(H106:H110)</f>
        <v>968749864.81792915</v>
      </c>
      <c r="I112" s="143" t="s">
        <v>314</v>
      </c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115" t="s">
        <v>573</v>
      </c>
      <c r="CS112" s="42"/>
    </row>
    <row r="113" spans="1:97" x14ac:dyDescent="0.25">
      <c r="A113" s="73"/>
      <c r="B113" s="73"/>
      <c r="C113" s="73"/>
      <c r="D113" s="73"/>
      <c r="E113" s="109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25">
      <c r="A114" s="73"/>
      <c r="B114" s="73"/>
      <c r="C114" s="73"/>
      <c r="D114" s="73"/>
      <c r="E114" s="115" t="str">
        <f>'DNO inputs'!E49</f>
        <v>EDCM notional asset value, total</v>
      </c>
      <c r="F114" s="73"/>
      <c r="G114" s="115" t="str">
        <f>'DNO inputs'!G49</f>
        <v>£</v>
      </c>
      <c r="H114" s="152">
        <f>'DNO inputs'!H49</f>
        <v>116374254.74551004</v>
      </c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73"/>
      <c r="CS114" s="42"/>
    </row>
    <row r="115" spans="1:97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25">
      <c r="A116" s="73"/>
      <c r="B116" s="73"/>
      <c r="C116" s="73"/>
      <c r="D116" s="73"/>
      <c r="E116" s="115" t="s">
        <v>518</v>
      </c>
      <c r="F116" s="73"/>
      <c r="G116" s="115" t="s">
        <v>471</v>
      </c>
      <c r="H116" s="130" t="b">
        <f>H112 + H114 &gt; 0</f>
        <v>1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2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25">
      <c r="A118" s="115"/>
      <c r="B118" s="73"/>
      <c r="C118" s="73"/>
      <c r="D118" s="73"/>
      <c r="E118" s="115" t="s">
        <v>235</v>
      </c>
      <c r="F118" s="73"/>
      <c r="G118" s="115" t="s">
        <v>44</v>
      </c>
      <c r="H118" s="154">
        <f>IF(H116, H112 / (H112 + H114), 1)</f>
        <v>0.89275489075634129</v>
      </c>
      <c r="I118" s="131" t="s">
        <v>314</v>
      </c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35"/>
      <c r="AM118" s="135"/>
      <c r="AN118" s="135"/>
      <c r="AO118" s="135"/>
      <c r="AP118" s="135"/>
      <c r="AQ118" s="135"/>
      <c r="AR118" s="135"/>
      <c r="AS118" s="135"/>
      <c r="AT118" s="135"/>
      <c r="AU118" s="135"/>
      <c r="AV118" s="135"/>
      <c r="AW118" s="135"/>
      <c r="AX118" s="135"/>
      <c r="AY118" s="135"/>
      <c r="AZ118" s="135"/>
      <c r="BA118" s="135"/>
      <c r="BB118" s="135"/>
      <c r="BC118" s="135"/>
      <c r="BD118" s="135"/>
      <c r="BE118" s="135"/>
      <c r="BF118" s="135"/>
      <c r="BG118" s="135"/>
      <c r="BH118" s="135"/>
      <c r="BI118" s="135"/>
      <c r="BJ118" s="135"/>
      <c r="BK118" s="135"/>
      <c r="BL118" s="135"/>
      <c r="BM118" s="135"/>
      <c r="BN118" s="135"/>
      <c r="BO118" s="135"/>
      <c r="BP118" s="135"/>
      <c r="BQ118" s="135"/>
      <c r="BR118" s="135"/>
      <c r="BS118" s="135"/>
      <c r="BT118" s="135"/>
      <c r="BU118" s="135"/>
      <c r="BV118" s="135"/>
      <c r="BW118" s="135"/>
      <c r="BX118" s="135"/>
      <c r="BY118" s="135"/>
      <c r="BZ118" s="135"/>
      <c r="CA118" s="135"/>
      <c r="CB118" s="135"/>
      <c r="CC118" s="135"/>
      <c r="CD118" s="135"/>
      <c r="CE118" s="135"/>
      <c r="CF118" s="135"/>
      <c r="CG118" s="135"/>
      <c r="CH118" s="135"/>
      <c r="CI118" s="135"/>
      <c r="CJ118" s="135"/>
      <c r="CK118" s="135"/>
      <c r="CL118" s="135"/>
      <c r="CM118" s="135"/>
      <c r="CN118" s="135"/>
      <c r="CO118" s="135"/>
      <c r="CP118" s="135"/>
      <c r="CQ118" s="74"/>
      <c r="CR118" s="115" t="s">
        <v>573</v>
      </c>
      <c r="CS118" s="42"/>
    </row>
    <row r="119" spans="1:9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25">
      <c r="A120" s="73"/>
      <c r="B120" s="101"/>
      <c r="C120" s="110" t="s">
        <v>711</v>
      </c>
      <c r="D120" s="110"/>
      <c r="E120" s="110"/>
      <c r="F120" s="110"/>
      <c r="G120" s="110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111"/>
      <c r="BY120" s="111"/>
      <c r="BZ120" s="111"/>
      <c r="CA120" s="111"/>
      <c r="CB120" s="111"/>
      <c r="CC120" s="111"/>
      <c r="CD120" s="111"/>
      <c r="CE120" s="111"/>
      <c r="CF120" s="111"/>
      <c r="CG120" s="111"/>
      <c r="CH120" s="111"/>
      <c r="CI120" s="111"/>
      <c r="CJ120" s="111"/>
      <c r="CK120" s="111"/>
      <c r="CL120" s="111"/>
      <c r="CM120" s="111"/>
      <c r="CN120" s="111"/>
      <c r="CO120" s="111"/>
      <c r="CP120" s="111"/>
      <c r="CQ120" s="111"/>
      <c r="CR120" s="110"/>
      <c r="CS120" s="42"/>
    </row>
    <row r="121" spans="1:97" x14ac:dyDescent="0.25">
      <c r="A121" s="73"/>
      <c r="B121" s="73"/>
      <c r="C121" s="109"/>
      <c r="D121" s="109"/>
      <c r="E121" s="73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25">
      <c r="A122" s="115"/>
      <c r="B122" s="73"/>
      <c r="C122" s="73"/>
      <c r="D122" s="73"/>
      <c r="E122" s="115" t="s">
        <v>236</v>
      </c>
      <c r="F122" s="73"/>
      <c r="G122" s="115" t="str">
        <f>G112</f>
        <v>£</v>
      </c>
      <c r="H122" s="130">
        <f>H103 * H118</f>
        <v>689.03443098524372</v>
      </c>
      <c r="I122" s="143" t="s">
        <v>314</v>
      </c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  <c r="AV122" s="130"/>
      <c r="AW122" s="130"/>
      <c r="AX122" s="130"/>
      <c r="AY122" s="130"/>
      <c r="AZ122" s="130"/>
      <c r="BA122" s="130"/>
      <c r="BB122" s="130"/>
      <c r="BC122" s="130"/>
      <c r="BD122" s="130"/>
      <c r="BE122" s="130"/>
      <c r="BF122" s="130"/>
      <c r="BG122" s="130"/>
      <c r="BH122" s="130"/>
      <c r="BI122" s="130"/>
      <c r="BJ122" s="130"/>
      <c r="BK122" s="130"/>
      <c r="BL122" s="130"/>
      <c r="BM122" s="130"/>
      <c r="BN122" s="130"/>
      <c r="BO122" s="130"/>
      <c r="BP122" s="130"/>
      <c r="BQ122" s="130"/>
      <c r="BR122" s="130"/>
      <c r="BS122" s="130"/>
      <c r="BT122" s="130"/>
      <c r="BU122" s="130"/>
      <c r="BV122" s="130"/>
      <c r="BW122" s="130"/>
      <c r="BX122" s="130"/>
      <c r="BY122" s="130"/>
      <c r="BZ122" s="130"/>
      <c r="CA122" s="130"/>
      <c r="CB122" s="130"/>
      <c r="CC122" s="130"/>
      <c r="CD122" s="130"/>
      <c r="CE122" s="130"/>
      <c r="CF122" s="130"/>
      <c r="CG122" s="130"/>
      <c r="CH122" s="130"/>
      <c r="CI122" s="130"/>
      <c r="CJ122" s="130"/>
      <c r="CK122" s="130"/>
      <c r="CL122" s="130"/>
      <c r="CM122" s="130"/>
      <c r="CN122" s="130"/>
      <c r="CO122" s="130"/>
      <c r="CP122" s="130"/>
      <c r="CQ122" s="74"/>
      <c r="CR122" s="115" t="s">
        <v>573</v>
      </c>
      <c r="CS122" s="42"/>
    </row>
    <row r="123" spans="1:97" x14ac:dyDescent="0.25">
      <c r="A123" s="73"/>
      <c r="B123" s="73"/>
      <c r="C123" s="73"/>
      <c r="D123" s="73"/>
      <c r="E123" s="109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25">
      <c r="A124" s="115"/>
      <c r="B124" s="73"/>
      <c r="C124" s="73"/>
      <c r="D124" s="109"/>
      <c r="E124" s="112" t="s">
        <v>362</v>
      </c>
      <c r="F124" s="73"/>
      <c r="G124" s="73"/>
      <c r="H124" s="74"/>
      <c r="I124" s="132" t="s">
        <v>314</v>
      </c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  <c r="BX124" s="74"/>
      <c r="BY124" s="74"/>
      <c r="BZ124" s="74"/>
      <c r="CA124" s="74"/>
      <c r="CB124" s="74"/>
      <c r="CC124" s="74"/>
      <c r="CD124" s="74"/>
      <c r="CE124" s="74"/>
      <c r="CF124" s="74"/>
      <c r="CG124" s="74"/>
      <c r="CH124" s="74"/>
      <c r="CI124" s="74"/>
      <c r="CJ124" s="74"/>
      <c r="CK124" s="74"/>
      <c r="CL124" s="74"/>
      <c r="CM124" s="74"/>
      <c r="CN124" s="74"/>
      <c r="CO124" s="74"/>
      <c r="CP124" s="74"/>
      <c r="CQ124" s="74"/>
      <c r="CR124" s="115" t="s">
        <v>569</v>
      </c>
      <c r="CS124" s="42"/>
    </row>
    <row r="125" spans="1:97" x14ac:dyDescent="0.25">
      <c r="A125" s="73"/>
      <c r="B125" s="73"/>
      <c r="C125" s="73"/>
      <c r="D125" s="73"/>
      <c r="E125" s="73"/>
      <c r="F125" s="113" t="s">
        <v>193</v>
      </c>
      <c r="G125" s="113" t="str">
        <f t="shared" ref="G125:G131" si="14">G$24</f>
        <v>£m</v>
      </c>
      <c r="H125" s="145">
        <f>H52</f>
        <v>2400.6207216071448</v>
      </c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  <c r="AF125" s="130"/>
      <c r="AG125" s="130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  <c r="AV125" s="130"/>
      <c r="AW125" s="130"/>
      <c r="AX125" s="130"/>
      <c r="AY125" s="130"/>
      <c r="AZ125" s="130"/>
      <c r="BA125" s="130"/>
      <c r="BB125" s="130"/>
      <c r="BC125" s="130"/>
      <c r="BD125" s="130"/>
      <c r="BE125" s="130"/>
      <c r="BF125" s="130"/>
      <c r="BG125" s="130"/>
      <c r="BH125" s="130"/>
      <c r="BI125" s="130"/>
      <c r="BJ125" s="130"/>
      <c r="BK125" s="130"/>
      <c r="BL125" s="130"/>
      <c r="BM125" s="130"/>
      <c r="BN125" s="130"/>
      <c r="BO125" s="130"/>
      <c r="BP125" s="130"/>
      <c r="BQ125" s="130"/>
      <c r="BR125" s="130"/>
      <c r="BS125" s="130"/>
      <c r="BT125" s="130"/>
      <c r="BU125" s="130"/>
      <c r="BV125" s="130"/>
      <c r="BW125" s="130"/>
      <c r="BX125" s="130"/>
      <c r="BY125" s="130"/>
      <c r="BZ125" s="130"/>
      <c r="CA125" s="130"/>
      <c r="CB125" s="130"/>
      <c r="CC125" s="130"/>
      <c r="CD125" s="130"/>
      <c r="CE125" s="130"/>
      <c r="CF125" s="130"/>
      <c r="CG125" s="130"/>
      <c r="CH125" s="130"/>
      <c r="CI125" s="130"/>
      <c r="CJ125" s="130"/>
      <c r="CK125" s="130"/>
      <c r="CL125" s="130"/>
      <c r="CM125" s="130"/>
      <c r="CN125" s="130"/>
      <c r="CO125" s="130"/>
      <c r="CP125" s="130"/>
      <c r="CQ125" s="74"/>
      <c r="CR125" s="73"/>
      <c r="CS125" s="42"/>
    </row>
    <row r="126" spans="1:97" x14ac:dyDescent="0.25">
      <c r="A126" s="73"/>
      <c r="B126" s="73"/>
      <c r="C126" s="73"/>
      <c r="D126" s="73"/>
      <c r="E126" s="73"/>
      <c r="F126" s="115" t="s">
        <v>194</v>
      </c>
      <c r="G126" s="115" t="str">
        <f t="shared" si="14"/>
        <v>£m</v>
      </c>
      <c r="H126" s="130">
        <f>H53</f>
        <v>1021.2768643958038</v>
      </c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  <c r="AB126" s="130"/>
      <c r="AC126" s="130"/>
      <c r="AD126" s="130"/>
      <c r="AE126" s="130"/>
      <c r="AF126" s="130"/>
      <c r="AG126" s="130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  <c r="AV126" s="130"/>
      <c r="AW126" s="130"/>
      <c r="AX126" s="130"/>
      <c r="AY126" s="130"/>
      <c r="AZ126" s="130"/>
      <c r="BA126" s="130"/>
      <c r="BB126" s="130"/>
      <c r="BC126" s="130"/>
      <c r="BD126" s="130"/>
      <c r="BE126" s="130"/>
      <c r="BF126" s="130"/>
      <c r="BG126" s="130"/>
      <c r="BH126" s="130"/>
      <c r="BI126" s="130"/>
      <c r="BJ126" s="130"/>
      <c r="BK126" s="130"/>
      <c r="BL126" s="130"/>
      <c r="BM126" s="130"/>
      <c r="BN126" s="130"/>
      <c r="BO126" s="130"/>
      <c r="BP126" s="130"/>
      <c r="BQ126" s="130"/>
      <c r="BR126" s="130"/>
      <c r="BS126" s="130"/>
      <c r="BT126" s="130"/>
      <c r="BU126" s="130"/>
      <c r="BV126" s="130"/>
      <c r="BW126" s="130"/>
      <c r="BX126" s="130"/>
      <c r="BY126" s="130"/>
      <c r="BZ126" s="130"/>
      <c r="CA126" s="130"/>
      <c r="CB126" s="130"/>
      <c r="CC126" s="130"/>
      <c r="CD126" s="130"/>
      <c r="CE126" s="130"/>
      <c r="CF126" s="130"/>
      <c r="CG126" s="130"/>
      <c r="CH126" s="130"/>
      <c r="CI126" s="130"/>
      <c r="CJ126" s="130"/>
      <c r="CK126" s="130"/>
      <c r="CL126" s="130"/>
      <c r="CM126" s="130"/>
      <c r="CN126" s="130"/>
      <c r="CO126" s="130"/>
      <c r="CP126" s="130"/>
      <c r="CQ126" s="74"/>
      <c r="CR126" s="73"/>
      <c r="CS126" s="42"/>
    </row>
    <row r="127" spans="1:97" x14ac:dyDescent="0.25">
      <c r="A127" s="73"/>
      <c r="B127" s="73"/>
      <c r="C127" s="73"/>
      <c r="D127" s="73"/>
      <c r="E127" s="73"/>
      <c r="F127" s="115" t="s">
        <v>41</v>
      </c>
      <c r="G127" s="115" t="str">
        <f t="shared" si="14"/>
        <v>£m</v>
      </c>
      <c r="H127" s="130">
        <f>H54</f>
        <v>375.27756791199994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25">
      <c r="A128" s="73"/>
      <c r="B128" s="73"/>
      <c r="C128" s="73"/>
      <c r="D128" s="73"/>
      <c r="E128" s="73"/>
      <c r="F128" s="115" t="s">
        <v>40</v>
      </c>
      <c r="G128" s="115" t="str">
        <f t="shared" si="14"/>
        <v>£m</v>
      </c>
      <c r="H128" s="130">
        <f>H55</f>
        <v>1452.7309982940264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25">
      <c r="A129" s="115"/>
      <c r="B129" s="73"/>
      <c r="C129" s="73"/>
      <c r="D129" s="73"/>
      <c r="E129" s="73"/>
      <c r="F129" s="117" t="s">
        <v>166</v>
      </c>
      <c r="G129" s="117" t="str">
        <f t="shared" si="14"/>
        <v>£m</v>
      </c>
      <c r="H129" s="158">
        <f>H122</f>
        <v>689.03443098524372</v>
      </c>
      <c r="I129" s="143" t="s">
        <v>314</v>
      </c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115" t="s">
        <v>573</v>
      </c>
      <c r="CS129" s="42"/>
    </row>
    <row r="130" spans="1:97" x14ac:dyDescent="0.25">
      <c r="A130" s="73"/>
      <c r="B130" s="73"/>
      <c r="C130" s="73"/>
      <c r="D130" s="73"/>
      <c r="E130" s="73"/>
      <c r="F130" s="73"/>
      <c r="G130" s="73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74"/>
      <c r="BS130" s="74"/>
      <c r="BT130" s="74"/>
      <c r="BU130" s="74"/>
      <c r="BV130" s="74"/>
      <c r="BW130" s="74"/>
      <c r="BX130" s="74"/>
      <c r="BY130" s="74"/>
      <c r="BZ130" s="74"/>
      <c r="CA130" s="74"/>
      <c r="CB130" s="74"/>
      <c r="CC130" s="74"/>
      <c r="CD130" s="74"/>
      <c r="CE130" s="74"/>
      <c r="CF130" s="74"/>
      <c r="CG130" s="74"/>
      <c r="CH130" s="74"/>
      <c r="CI130" s="74"/>
      <c r="CJ130" s="74"/>
      <c r="CK130" s="74"/>
      <c r="CL130" s="74"/>
      <c r="CM130" s="74"/>
      <c r="CN130" s="74"/>
      <c r="CO130" s="74"/>
      <c r="CP130" s="74"/>
      <c r="CQ130" s="74"/>
      <c r="CR130" s="73"/>
      <c r="CS130" s="42"/>
    </row>
    <row r="131" spans="1:97" x14ac:dyDescent="0.25">
      <c r="A131" s="115"/>
      <c r="B131" s="73"/>
      <c r="C131" s="73"/>
      <c r="D131" s="73"/>
      <c r="E131" s="115" t="s">
        <v>238</v>
      </c>
      <c r="F131" s="73"/>
      <c r="G131" s="115" t="str">
        <f t="shared" si="14"/>
        <v>£m</v>
      </c>
      <c r="H131" s="130">
        <f>SUM(H125:H129)</f>
        <v>5938.9405831942186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569</v>
      </c>
      <c r="CS131" s="42"/>
    </row>
    <row r="132" spans="1:97" x14ac:dyDescent="0.25">
      <c r="A132" s="73"/>
      <c r="B132" s="73"/>
      <c r="C132" s="73"/>
      <c r="D132" s="73"/>
      <c r="E132" s="115" t="s">
        <v>519</v>
      </c>
      <c r="F132" s="73"/>
      <c r="G132" s="115" t="s">
        <v>471</v>
      </c>
      <c r="H132" s="130" t="b">
        <f>H131 &gt; 0</f>
        <v>1</v>
      </c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  <c r="AV132" s="130"/>
      <c r="AW132" s="130"/>
      <c r="AX132" s="130"/>
      <c r="AY132" s="130"/>
      <c r="AZ132" s="130"/>
      <c r="BA132" s="130"/>
      <c r="BB132" s="130"/>
      <c r="BC132" s="130"/>
      <c r="BD132" s="130"/>
      <c r="BE132" s="130"/>
      <c r="BF132" s="130"/>
      <c r="BG132" s="130"/>
      <c r="BH132" s="130"/>
      <c r="BI132" s="130"/>
      <c r="BJ132" s="130"/>
      <c r="BK132" s="130"/>
      <c r="BL132" s="130"/>
      <c r="BM132" s="130"/>
      <c r="BN132" s="130"/>
      <c r="BO132" s="130"/>
      <c r="BP132" s="130"/>
      <c r="BQ132" s="130"/>
      <c r="BR132" s="130"/>
      <c r="BS132" s="130"/>
      <c r="BT132" s="130"/>
      <c r="BU132" s="130"/>
      <c r="BV132" s="130"/>
      <c r="BW132" s="130"/>
      <c r="BX132" s="130"/>
      <c r="BY132" s="130"/>
      <c r="BZ132" s="130"/>
      <c r="CA132" s="130"/>
      <c r="CB132" s="130"/>
      <c r="CC132" s="130"/>
      <c r="CD132" s="130"/>
      <c r="CE132" s="130"/>
      <c r="CF132" s="130"/>
      <c r="CG132" s="130"/>
      <c r="CH132" s="130"/>
      <c r="CI132" s="130"/>
      <c r="CJ132" s="130"/>
      <c r="CK132" s="130"/>
      <c r="CL132" s="130"/>
      <c r="CM132" s="130"/>
      <c r="CN132" s="130"/>
      <c r="CO132" s="130"/>
      <c r="CP132" s="130"/>
      <c r="CQ132" s="74"/>
      <c r="CR132" s="73"/>
      <c r="CS132" s="42"/>
    </row>
    <row r="133" spans="1:97" x14ac:dyDescent="0.25">
      <c r="A133" s="73"/>
      <c r="B133" s="73"/>
      <c r="C133" s="73"/>
      <c r="D133" s="73"/>
      <c r="E133" s="109"/>
      <c r="F133" s="73"/>
      <c r="G133" s="73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74"/>
      <c r="BR133" s="74"/>
      <c r="BS133" s="74"/>
      <c r="BT133" s="74"/>
      <c r="BU133" s="74"/>
      <c r="BV133" s="74"/>
      <c r="BW133" s="74"/>
      <c r="BX133" s="74"/>
      <c r="BY133" s="74"/>
      <c r="BZ133" s="74"/>
      <c r="CA133" s="74"/>
      <c r="CB133" s="74"/>
      <c r="CC133" s="74"/>
      <c r="CD133" s="74"/>
      <c r="CE133" s="74"/>
      <c r="CF133" s="74"/>
      <c r="CG133" s="74"/>
      <c r="CH133" s="74"/>
      <c r="CI133" s="74"/>
      <c r="CJ133" s="74"/>
      <c r="CK133" s="74"/>
      <c r="CL133" s="74"/>
      <c r="CM133" s="74"/>
      <c r="CN133" s="74"/>
      <c r="CO133" s="74"/>
      <c r="CP133" s="74"/>
      <c r="CQ133" s="74"/>
      <c r="CR133" s="73"/>
      <c r="CS133" s="42"/>
    </row>
    <row r="134" spans="1:97" x14ac:dyDescent="0.25">
      <c r="A134" s="115"/>
      <c r="B134" s="73"/>
      <c r="C134" s="73"/>
      <c r="D134" s="73"/>
      <c r="E134" s="112" t="s">
        <v>363</v>
      </c>
      <c r="F134" s="73"/>
      <c r="G134" s="73"/>
      <c r="H134" s="74"/>
      <c r="I134" s="132" t="s">
        <v>314</v>
      </c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74"/>
      <c r="BS134" s="74"/>
      <c r="BT134" s="74"/>
      <c r="BU134" s="74"/>
      <c r="BV134" s="74"/>
      <c r="BW134" s="74"/>
      <c r="BX134" s="74"/>
      <c r="BY134" s="74"/>
      <c r="BZ134" s="74"/>
      <c r="CA134" s="74"/>
      <c r="CB134" s="74"/>
      <c r="CC134" s="74"/>
      <c r="CD134" s="74"/>
      <c r="CE134" s="74"/>
      <c r="CF134" s="74"/>
      <c r="CG134" s="74"/>
      <c r="CH134" s="74"/>
      <c r="CI134" s="74"/>
      <c r="CJ134" s="74"/>
      <c r="CK134" s="74"/>
      <c r="CL134" s="74"/>
      <c r="CM134" s="74"/>
      <c r="CN134" s="74"/>
      <c r="CO134" s="74"/>
      <c r="CP134" s="74"/>
      <c r="CQ134" s="74"/>
      <c r="CR134" s="115" t="s">
        <v>569</v>
      </c>
      <c r="CS134" s="42"/>
    </row>
    <row r="135" spans="1:97" x14ac:dyDescent="0.25">
      <c r="A135" s="73"/>
      <c r="B135" s="73"/>
      <c r="C135" s="73"/>
      <c r="D135" s="73"/>
      <c r="E135" s="73"/>
      <c r="F135" s="113" t="s">
        <v>193</v>
      </c>
      <c r="G135" s="113" t="s">
        <v>44</v>
      </c>
      <c r="H135" s="153">
        <f>IF(H$132, H125 / H$131, 0)</f>
        <v>0.40421699594037486</v>
      </c>
      <c r="I135" s="135"/>
      <c r="J135" s="13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  <c r="AA135" s="135"/>
      <c r="AB135" s="135"/>
      <c r="AC135" s="135"/>
      <c r="AD135" s="135"/>
      <c r="AE135" s="135"/>
      <c r="AF135" s="135"/>
      <c r="AG135" s="135"/>
      <c r="AH135" s="135"/>
      <c r="AI135" s="135"/>
      <c r="AJ135" s="135"/>
      <c r="AK135" s="135"/>
      <c r="AL135" s="135"/>
      <c r="AM135" s="135"/>
      <c r="AN135" s="135"/>
      <c r="AO135" s="135"/>
      <c r="AP135" s="135"/>
      <c r="AQ135" s="135"/>
      <c r="AR135" s="135"/>
      <c r="AS135" s="135"/>
      <c r="AT135" s="135"/>
      <c r="AU135" s="135"/>
      <c r="AV135" s="135"/>
      <c r="AW135" s="135"/>
      <c r="AX135" s="135"/>
      <c r="AY135" s="135"/>
      <c r="AZ135" s="135"/>
      <c r="BA135" s="135"/>
      <c r="BB135" s="135"/>
      <c r="BC135" s="135"/>
      <c r="BD135" s="135"/>
      <c r="BE135" s="135"/>
      <c r="BF135" s="135"/>
      <c r="BG135" s="135"/>
      <c r="BH135" s="135"/>
      <c r="BI135" s="135"/>
      <c r="BJ135" s="135"/>
      <c r="BK135" s="135"/>
      <c r="BL135" s="135"/>
      <c r="BM135" s="135"/>
      <c r="BN135" s="135"/>
      <c r="BO135" s="135"/>
      <c r="BP135" s="135"/>
      <c r="BQ135" s="135"/>
      <c r="BR135" s="135"/>
      <c r="BS135" s="135"/>
      <c r="BT135" s="135"/>
      <c r="BU135" s="135"/>
      <c r="BV135" s="135"/>
      <c r="BW135" s="135"/>
      <c r="BX135" s="135"/>
      <c r="BY135" s="135"/>
      <c r="BZ135" s="135"/>
      <c r="CA135" s="135"/>
      <c r="CB135" s="135"/>
      <c r="CC135" s="135"/>
      <c r="CD135" s="135"/>
      <c r="CE135" s="135"/>
      <c r="CF135" s="135"/>
      <c r="CG135" s="135"/>
      <c r="CH135" s="135"/>
      <c r="CI135" s="135"/>
      <c r="CJ135" s="135"/>
      <c r="CK135" s="135"/>
      <c r="CL135" s="135"/>
      <c r="CM135" s="135"/>
      <c r="CN135" s="135"/>
      <c r="CO135" s="135"/>
      <c r="CP135" s="135"/>
      <c r="CQ135" s="74"/>
      <c r="CR135" s="73"/>
      <c r="CS135" s="42"/>
    </row>
    <row r="136" spans="1:97" x14ac:dyDescent="0.25">
      <c r="A136" s="73"/>
      <c r="B136" s="73"/>
      <c r="C136" s="73"/>
      <c r="D136" s="73"/>
      <c r="E136" s="73"/>
      <c r="F136" s="115" t="s">
        <v>194</v>
      </c>
      <c r="G136" s="115" t="s">
        <v>44</v>
      </c>
      <c r="H136" s="154">
        <f>IF(H$132, H126 / H$131, 0)</f>
        <v>0.17196280213440307</v>
      </c>
      <c r="I136" s="135"/>
      <c r="J136" s="135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  <c r="AA136" s="135"/>
      <c r="AB136" s="135"/>
      <c r="AC136" s="135"/>
      <c r="AD136" s="135"/>
      <c r="AE136" s="135"/>
      <c r="AF136" s="135"/>
      <c r="AG136" s="135"/>
      <c r="AH136" s="135"/>
      <c r="AI136" s="135"/>
      <c r="AJ136" s="135"/>
      <c r="AK136" s="135"/>
      <c r="AL136" s="135"/>
      <c r="AM136" s="135"/>
      <c r="AN136" s="135"/>
      <c r="AO136" s="135"/>
      <c r="AP136" s="135"/>
      <c r="AQ136" s="135"/>
      <c r="AR136" s="135"/>
      <c r="AS136" s="135"/>
      <c r="AT136" s="135"/>
      <c r="AU136" s="135"/>
      <c r="AV136" s="135"/>
      <c r="AW136" s="135"/>
      <c r="AX136" s="135"/>
      <c r="AY136" s="135"/>
      <c r="AZ136" s="135"/>
      <c r="BA136" s="135"/>
      <c r="BB136" s="135"/>
      <c r="BC136" s="135"/>
      <c r="BD136" s="135"/>
      <c r="BE136" s="135"/>
      <c r="BF136" s="135"/>
      <c r="BG136" s="135"/>
      <c r="BH136" s="135"/>
      <c r="BI136" s="135"/>
      <c r="BJ136" s="135"/>
      <c r="BK136" s="135"/>
      <c r="BL136" s="135"/>
      <c r="BM136" s="135"/>
      <c r="BN136" s="135"/>
      <c r="BO136" s="135"/>
      <c r="BP136" s="135"/>
      <c r="BQ136" s="135"/>
      <c r="BR136" s="135"/>
      <c r="BS136" s="135"/>
      <c r="BT136" s="135"/>
      <c r="BU136" s="135"/>
      <c r="BV136" s="135"/>
      <c r="BW136" s="135"/>
      <c r="BX136" s="135"/>
      <c r="BY136" s="135"/>
      <c r="BZ136" s="135"/>
      <c r="CA136" s="135"/>
      <c r="CB136" s="135"/>
      <c r="CC136" s="135"/>
      <c r="CD136" s="135"/>
      <c r="CE136" s="135"/>
      <c r="CF136" s="135"/>
      <c r="CG136" s="135"/>
      <c r="CH136" s="135"/>
      <c r="CI136" s="135"/>
      <c r="CJ136" s="135"/>
      <c r="CK136" s="135"/>
      <c r="CL136" s="135"/>
      <c r="CM136" s="135"/>
      <c r="CN136" s="135"/>
      <c r="CO136" s="135"/>
      <c r="CP136" s="135"/>
      <c r="CQ136" s="74"/>
      <c r="CR136" s="73"/>
      <c r="CS136" s="42"/>
    </row>
    <row r="137" spans="1:97" x14ac:dyDescent="0.25">
      <c r="A137" s="73"/>
      <c r="B137" s="73"/>
      <c r="C137" s="73"/>
      <c r="D137" s="73"/>
      <c r="E137" s="73"/>
      <c r="F137" s="115" t="s">
        <v>41</v>
      </c>
      <c r="G137" s="115" t="s">
        <v>44</v>
      </c>
      <c r="H137" s="154">
        <f>IF(H$132, H127 / H$131, 0)</f>
        <v>6.3189311739192289E-2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25">
      <c r="A138" s="73"/>
      <c r="B138" s="73"/>
      <c r="C138" s="73"/>
      <c r="D138" s="73"/>
      <c r="E138" s="73"/>
      <c r="F138" s="115" t="s">
        <v>40</v>
      </c>
      <c r="G138" s="115" t="s">
        <v>44</v>
      </c>
      <c r="H138" s="154">
        <f>IF(H$132, H128 / H$131, 0)</f>
        <v>0.24461113525952891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25">
      <c r="A139" s="73"/>
      <c r="B139" s="73"/>
      <c r="C139" s="73"/>
      <c r="D139" s="73"/>
      <c r="E139" s="73"/>
      <c r="F139" s="117" t="s">
        <v>166</v>
      </c>
      <c r="G139" s="117" t="s">
        <v>44</v>
      </c>
      <c r="H139" s="155">
        <f>IF(H$132, H129 / H$131, 0)</f>
        <v>0.11601975492650092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25">
      <c r="A140" s="73"/>
      <c r="B140" s="73"/>
      <c r="C140" s="73"/>
      <c r="D140" s="73"/>
      <c r="E140" s="73"/>
      <c r="F140" s="73"/>
      <c r="G140" s="73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74"/>
      <c r="BS140" s="74"/>
      <c r="BT140" s="74"/>
      <c r="BU140" s="74"/>
      <c r="BV140" s="74"/>
      <c r="BW140" s="74"/>
      <c r="BX140" s="74"/>
      <c r="BY140" s="74"/>
      <c r="BZ140" s="74"/>
      <c r="CA140" s="74"/>
      <c r="CB140" s="74"/>
      <c r="CC140" s="74"/>
      <c r="CD140" s="74"/>
      <c r="CE140" s="74"/>
      <c r="CF140" s="74"/>
      <c r="CG140" s="74"/>
      <c r="CH140" s="74"/>
      <c r="CI140" s="74"/>
      <c r="CJ140" s="74"/>
      <c r="CK140" s="74"/>
      <c r="CL140" s="74"/>
      <c r="CM140" s="74"/>
      <c r="CN140" s="74"/>
      <c r="CO140" s="74"/>
      <c r="CP140" s="74"/>
      <c r="CQ140" s="74"/>
      <c r="CR140" s="73"/>
      <c r="CS140" s="42"/>
    </row>
    <row r="141" spans="1:97" x14ac:dyDescent="0.25">
      <c r="A141" s="73"/>
      <c r="B141" s="73"/>
      <c r="C141" s="73"/>
      <c r="D141" s="73"/>
      <c r="E141" s="115" t="s">
        <v>239</v>
      </c>
      <c r="F141" s="73"/>
      <c r="G141" s="115" t="s">
        <v>231</v>
      </c>
      <c r="H141" s="136">
        <f>IF(SUM(H135:H139) = 1, 0, 1)</f>
        <v>0</v>
      </c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  <c r="AL141" s="136"/>
      <c r="AM141" s="136"/>
      <c r="AN141" s="136"/>
      <c r="AO141" s="136"/>
      <c r="AP141" s="136"/>
      <c r="AQ141" s="136"/>
      <c r="AR141" s="136"/>
      <c r="AS141" s="136"/>
      <c r="AT141" s="136"/>
      <c r="AU141" s="136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  <c r="BF141" s="136"/>
      <c r="BG141" s="136"/>
      <c r="BH141" s="136"/>
      <c r="BI141" s="136"/>
      <c r="BJ141" s="136"/>
      <c r="BK141" s="136"/>
      <c r="BL141" s="136"/>
      <c r="BM141" s="136"/>
      <c r="BN141" s="136"/>
      <c r="BO141" s="136"/>
      <c r="BP141" s="136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136"/>
      <c r="CA141" s="136"/>
      <c r="CB141" s="136"/>
      <c r="CC141" s="136"/>
      <c r="CD141" s="136"/>
      <c r="CE141" s="136"/>
      <c r="CF141" s="136"/>
      <c r="CG141" s="136"/>
      <c r="CH141" s="136"/>
      <c r="CI141" s="136"/>
      <c r="CJ141" s="136"/>
      <c r="CK141" s="136"/>
      <c r="CL141" s="136"/>
      <c r="CM141" s="136"/>
      <c r="CN141" s="136"/>
      <c r="CO141" s="136"/>
      <c r="CP141" s="136"/>
      <c r="CQ141" s="74"/>
      <c r="CR141" s="73"/>
      <c r="CS141" s="42"/>
    </row>
    <row r="142" spans="1:97" x14ac:dyDescent="0.25">
      <c r="A142" s="73"/>
      <c r="B142" s="73"/>
      <c r="C142" s="73"/>
      <c r="D142" s="73"/>
      <c r="E142" s="109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25">
      <c r="A143" s="73"/>
      <c r="B143" s="107" t="s">
        <v>242</v>
      </c>
      <c r="C143" s="107"/>
      <c r="D143" s="107"/>
      <c r="E143" s="107"/>
      <c r="F143" s="107"/>
      <c r="G143" s="107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108"/>
      <c r="BC143" s="108"/>
      <c r="BD143" s="108"/>
      <c r="BE143" s="108"/>
      <c r="BF143" s="108"/>
      <c r="BG143" s="108"/>
      <c r="BH143" s="108"/>
      <c r="BI143" s="108"/>
      <c r="BJ143" s="108"/>
      <c r="BK143" s="108"/>
      <c r="BL143" s="108"/>
      <c r="BM143" s="108"/>
      <c r="BN143" s="108"/>
      <c r="BO143" s="108"/>
      <c r="BP143" s="108"/>
      <c r="BQ143" s="108"/>
      <c r="BR143" s="108"/>
      <c r="BS143" s="108"/>
      <c r="BT143" s="108"/>
      <c r="BU143" s="108"/>
      <c r="BV143" s="108"/>
      <c r="BW143" s="108"/>
      <c r="BX143" s="108"/>
      <c r="BY143" s="108"/>
      <c r="BZ143" s="108"/>
      <c r="CA143" s="108"/>
      <c r="CB143" s="108"/>
      <c r="CC143" s="108"/>
      <c r="CD143" s="108"/>
      <c r="CE143" s="108"/>
      <c r="CF143" s="108"/>
      <c r="CG143" s="108"/>
      <c r="CH143" s="108"/>
      <c r="CI143" s="108"/>
      <c r="CJ143" s="108"/>
      <c r="CK143" s="108"/>
      <c r="CL143" s="108"/>
      <c r="CM143" s="108"/>
      <c r="CN143" s="108"/>
      <c r="CO143" s="108"/>
      <c r="CP143" s="108"/>
      <c r="CQ143" s="108"/>
      <c r="CR143" s="107"/>
      <c r="CS143" s="42"/>
    </row>
    <row r="144" spans="1:97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25">
      <c r="A145" s="73"/>
      <c r="B145" s="73"/>
      <c r="C145" s="109"/>
      <c r="D145" s="109"/>
      <c r="E145" s="115" t="s">
        <v>232</v>
      </c>
      <c r="F145" s="73"/>
      <c r="G145" s="115" t="s">
        <v>231</v>
      </c>
      <c r="H145" s="159">
        <f>H39 + H61 + H70 + H76 + H95 + H141</f>
        <v>0</v>
      </c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  <c r="AJ145" s="136"/>
      <c r="AK145" s="136"/>
      <c r="AL145" s="136"/>
      <c r="AM145" s="136"/>
      <c r="AN145" s="136"/>
      <c r="AO145" s="136"/>
      <c r="AP145" s="136"/>
      <c r="AQ145" s="136"/>
      <c r="AR145" s="136"/>
      <c r="AS145" s="136"/>
      <c r="AT145" s="136"/>
      <c r="AU145" s="136"/>
      <c r="AV145" s="136"/>
      <c r="AW145" s="136"/>
      <c r="AX145" s="136"/>
      <c r="AY145" s="136"/>
      <c r="AZ145" s="136"/>
      <c r="BA145" s="136"/>
      <c r="BB145" s="136"/>
      <c r="BC145" s="136"/>
      <c r="BD145" s="136"/>
      <c r="BE145" s="136"/>
      <c r="BF145" s="136"/>
      <c r="BG145" s="136"/>
      <c r="BH145" s="136"/>
      <c r="BI145" s="136"/>
      <c r="BJ145" s="136"/>
      <c r="BK145" s="136"/>
      <c r="BL145" s="136"/>
      <c r="BM145" s="136"/>
      <c r="BN145" s="136"/>
      <c r="BO145" s="136"/>
      <c r="BP145" s="136"/>
      <c r="BQ145" s="136"/>
      <c r="BR145" s="136"/>
      <c r="BS145" s="136"/>
      <c r="BT145" s="136"/>
      <c r="BU145" s="136"/>
      <c r="BV145" s="136"/>
      <c r="BW145" s="136"/>
      <c r="BX145" s="136"/>
      <c r="BY145" s="136"/>
      <c r="BZ145" s="136"/>
      <c r="CA145" s="136"/>
      <c r="CB145" s="136"/>
      <c r="CC145" s="136"/>
      <c r="CD145" s="136"/>
      <c r="CE145" s="136"/>
      <c r="CF145" s="136"/>
      <c r="CG145" s="136"/>
      <c r="CH145" s="136"/>
      <c r="CI145" s="136"/>
      <c r="CJ145" s="136"/>
      <c r="CK145" s="136"/>
      <c r="CL145" s="136"/>
      <c r="CM145" s="136"/>
      <c r="CN145" s="136"/>
      <c r="CO145" s="136"/>
      <c r="CP145" s="136"/>
      <c r="CQ145" s="74"/>
      <c r="CR145" s="73"/>
      <c r="CS145" s="42"/>
    </row>
    <row r="146" spans="1:97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25">
      <c r="A147" s="73"/>
      <c r="B147" s="107" t="s">
        <v>30</v>
      </c>
      <c r="C147" s="107"/>
      <c r="D147" s="107"/>
      <c r="E147" s="107"/>
      <c r="F147" s="107"/>
      <c r="G147" s="107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  <c r="AX147" s="108"/>
      <c r="AY147" s="108"/>
      <c r="AZ147" s="108"/>
      <c r="BA147" s="108"/>
      <c r="BB147" s="108"/>
      <c r="BC147" s="108"/>
      <c r="BD147" s="108"/>
      <c r="BE147" s="108"/>
      <c r="BF147" s="108"/>
      <c r="BG147" s="108"/>
      <c r="BH147" s="108"/>
      <c r="BI147" s="108"/>
      <c r="BJ147" s="108"/>
      <c r="BK147" s="108"/>
      <c r="BL147" s="108"/>
      <c r="BM147" s="108"/>
      <c r="BN147" s="108"/>
      <c r="BO147" s="108"/>
      <c r="BP147" s="108"/>
      <c r="BQ147" s="108"/>
      <c r="BR147" s="108"/>
      <c r="BS147" s="108"/>
      <c r="BT147" s="108"/>
      <c r="BU147" s="108"/>
      <c r="BV147" s="108"/>
      <c r="BW147" s="108"/>
      <c r="BX147" s="108"/>
      <c r="BY147" s="108"/>
      <c r="BZ147" s="108"/>
      <c r="CA147" s="108"/>
      <c r="CB147" s="108"/>
      <c r="CC147" s="108"/>
      <c r="CD147" s="108"/>
      <c r="CE147" s="108"/>
      <c r="CF147" s="108"/>
      <c r="CG147" s="108"/>
      <c r="CH147" s="108"/>
      <c r="CI147" s="108"/>
      <c r="CJ147" s="108"/>
      <c r="CK147" s="108"/>
      <c r="CL147" s="108"/>
      <c r="CM147" s="108"/>
      <c r="CN147" s="108"/>
      <c r="CO147" s="108"/>
      <c r="CP147" s="108"/>
      <c r="CQ147" s="108"/>
      <c r="CR147" s="107"/>
      <c r="CS147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1">
    <cfRule type="cellIs" dxfId="38" priority="4" stopIfTrue="1" operator="greaterThan">
      <formula>0</formula>
    </cfRule>
  </conditionalFormatting>
  <conditionalFormatting sqref="H70">
    <cfRule type="cellIs" dxfId="37" priority="5" stopIfTrue="1" operator="greaterThan">
      <formula>0</formula>
    </cfRule>
  </conditionalFormatting>
  <conditionalFormatting sqref="H76">
    <cfRule type="cellIs" dxfId="36" priority="6" stopIfTrue="1" operator="greaterThan">
      <formula>0</formula>
    </cfRule>
  </conditionalFormatting>
  <conditionalFormatting sqref="H95">
    <cfRule type="cellIs" dxfId="35" priority="7" stopIfTrue="1" operator="greaterThan">
      <formula>0</formula>
    </cfRule>
  </conditionalFormatting>
  <conditionalFormatting sqref="H141">
    <cfRule type="cellIs" dxfId="34" priority="8" stopIfTrue="1" operator="greaterThan">
      <formula>0</formula>
    </cfRule>
  </conditionalFormatting>
  <conditionalFormatting sqref="H145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730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2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2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25">
      <c r="A16" s="73"/>
      <c r="B16" s="73"/>
      <c r="C16" s="110" t="s">
        <v>714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73"/>
      <c r="C18" s="73"/>
      <c r="D18" s="73"/>
      <c r="E18" s="112" t="s">
        <v>422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2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11000000</v>
      </c>
      <c r="L19" s="156">
        <f>'DNO inputs'!J287</f>
        <v>0</v>
      </c>
      <c r="M19" s="156">
        <f>'DNO inputs'!J288</f>
        <v>9899999.9999999981</v>
      </c>
      <c r="N19" s="156">
        <f>'DNO inputs'!J289</f>
        <v>500000</v>
      </c>
      <c r="O19" s="156">
        <f>'DNO inputs'!J290</f>
        <v>3100000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2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6199999.9999999991</v>
      </c>
      <c r="L20" s="152">
        <f>'DNO inputs'!K287</f>
        <v>0</v>
      </c>
      <c r="M20" s="152">
        <f>'DNO inputs'!K288</f>
        <v>500000</v>
      </c>
      <c r="N20" s="152">
        <f>'DNO inputs'!K289</f>
        <v>1700000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11300000</v>
      </c>
      <c r="L21" s="152">
        <f>'DNO inputs'!L287</f>
        <v>0</v>
      </c>
      <c r="M21" s="152">
        <f>'DNO inputs'!L288</f>
        <v>4400000</v>
      </c>
      <c r="N21" s="152">
        <f>'DNO inputs'!L289</f>
        <v>200000</v>
      </c>
      <c r="O21" s="152">
        <f>'DNO inputs'!L290</f>
        <v>1900000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9000000.0000000019</v>
      </c>
      <c r="L22" s="162">
        <f>'DNO inputs'!M287</f>
        <v>0</v>
      </c>
      <c r="M22" s="162">
        <f>'DNO inputs'!M288</f>
        <v>1600000</v>
      </c>
      <c r="N22" s="162">
        <f>'DNO inputs'!M289</f>
        <v>2000000</v>
      </c>
      <c r="O22" s="162">
        <f>'DNO inputs'!M290</f>
        <v>300000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25">
      <c r="A24" s="73"/>
      <c r="B24" s="73"/>
      <c r="C24" s="73"/>
      <c r="D24" s="73"/>
      <c r="E24" s="112" t="s">
        <v>421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2097795.2788739572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2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3704076.4857794475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14622655.718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2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592</v>
      </c>
      <c r="AT30" s="42"/>
    </row>
    <row r="31" spans="1:46" x14ac:dyDescent="0.2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2097795.2788739572</v>
      </c>
      <c r="K31" s="163">
        <f t="shared" si="0"/>
        <v>11000000</v>
      </c>
      <c r="L31" s="163">
        <f t="shared" si="0"/>
        <v>0</v>
      </c>
      <c r="M31" s="163">
        <f t="shared" si="0"/>
        <v>9899999.9999999981</v>
      </c>
      <c r="N31" s="163">
        <f t="shared" si="0"/>
        <v>500000</v>
      </c>
      <c r="O31" s="163">
        <f t="shared" si="0"/>
        <v>3100000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6199999.9999999991</v>
      </c>
      <c r="L32" s="164">
        <f t="shared" si="2"/>
        <v>0</v>
      </c>
      <c r="M32" s="164">
        <f t="shared" si="2"/>
        <v>500000</v>
      </c>
      <c r="N32" s="164">
        <f t="shared" si="2"/>
        <v>1700000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3704076.4857794475</v>
      </c>
      <c r="K33" s="164">
        <f t="shared" si="4"/>
        <v>11300000</v>
      </c>
      <c r="L33" s="164">
        <f t="shared" si="4"/>
        <v>0</v>
      </c>
      <c r="M33" s="164">
        <f t="shared" si="4"/>
        <v>4400000</v>
      </c>
      <c r="N33" s="164">
        <f t="shared" si="4"/>
        <v>200000</v>
      </c>
      <c r="O33" s="164">
        <f t="shared" si="4"/>
        <v>1900000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2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14622655.718</v>
      </c>
      <c r="K34" s="165">
        <f t="shared" si="6"/>
        <v>9000000.0000000019</v>
      </c>
      <c r="L34" s="165">
        <f t="shared" si="6"/>
        <v>0</v>
      </c>
      <c r="M34" s="165">
        <f t="shared" si="6"/>
        <v>1600000</v>
      </c>
      <c r="N34" s="165">
        <f t="shared" si="6"/>
        <v>2000000</v>
      </c>
      <c r="O34" s="165">
        <f t="shared" si="6"/>
        <v>300000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2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25">
      <c r="A36" s="73"/>
      <c r="B36" s="73"/>
      <c r="C36" s="110" t="s">
        <v>715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73"/>
      <c r="B38" s="73"/>
      <c r="C38" s="73"/>
      <c r="D38" s="73"/>
      <c r="E38" s="115" t="str">
        <f>MEAV!F73</f>
        <v>Services share of LV MEAV</v>
      </c>
      <c r="F38" s="73"/>
      <c r="G38" s="115" t="str">
        <f>MEAV!G73</f>
        <v>%</v>
      </c>
      <c r="H38" s="166">
        <f>MEAV!H73</f>
        <v>0.7015466305674164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25">
      <c r="A42" s="115"/>
      <c r="B42" s="73"/>
      <c r="C42" s="73"/>
      <c r="D42" s="73"/>
      <c r="E42" s="120" t="s">
        <v>536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520</v>
      </c>
      <c r="AT42" s="42"/>
    </row>
    <row r="43" spans="1:46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25">
      <c r="A44" s="115"/>
      <c r="B44" s="73"/>
      <c r="C44" s="73"/>
      <c r="D44" s="73"/>
      <c r="E44" s="112" t="s">
        <v>716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520</v>
      </c>
      <c r="AT44" s="42"/>
    </row>
    <row r="45" spans="1:46" x14ac:dyDescent="0.2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7717012.9362415802</v>
      </c>
      <c r="L45" s="163">
        <f t="shared" si="10"/>
        <v>0</v>
      </c>
      <c r="M45" s="163">
        <f t="shared" si="10"/>
        <v>6945311.6426174212</v>
      </c>
      <c r="N45" s="163">
        <f t="shared" si="10"/>
        <v>350773.31528370822</v>
      </c>
      <c r="O45" s="163">
        <f t="shared" si="10"/>
        <v>2174794.5547589906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2097795.2788739572</v>
      </c>
      <c r="K46" s="171">
        <f t="shared" ref="K46:AQ46" si="12">K$31 - K45</f>
        <v>3282987.0637584198</v>
      </c>
      <c r="L46" s="171">
        <f t="shared" si="12"/>
        <v>0</v>
      </c>
      <c r="M46" s="171">
        <f t="shared" si="12"/>
        <v>2954688.3573825769</v>
      </c>
      <c r="N46" s="171">
        <f t="shared" si="12"/>
        <v>149226.68471629178</v>
      </c>
      <c r="O46" s="171">
        <f t="shared" si="12"/>
        <v>925205.44524100935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6199999.9999999991</v>
      </c>
      <c r="L47" s="164">
        <f t="shared" si="14"/>
        <v>0</v>
      </c>
      <c r="M47" s="164">
        <f t="shared" si="14"/>
        <v>500000</v>
      </c>
      <c r="N47" s="164">
        <f t="shared" si="14"/>
        <v>1700000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3704076.4857794475</v>
      </c>
      <c r="K48" s="164">
        <f t="shared" si="16"/>
        <v>11300000</v>
      </c>
      <c r="L48" s="164">
        <f t="shared" si="16"/>
        <v>0</v>
      </c>
      <c r="M48" s="164">
        <f t="shared" si="16"/>
        <v>4400000</v>
      </c>
      <c r="N48" s="164">
        <f t="shared" si="16"/>
        <v>200000</v>
      </c>
      <c r="O48" s="164">
        <f t="shared" si="16"/>
        <v>1900000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14622655.718</v>
      </c>
      <c r="K49" s="165">
        <f t="shared" si="18"/>
        <v>9000000.0000000019</v>
      </c>
      <c r="L49" s="165">
        <f t="shared" si="18"/>
        <v>0</v>
      </c>
      <c r="M49" s="165">
        <f t="shared" si="18"/>
        <v>1600000</v>
      </c>
      <c r="N49" s="165">
        <f t="shared" si="18"/>
        <v>2000000</v>
      </c>
      <c r="O49" s="165">
        <f t="shared" si="18"/>
        <v>300000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25">
      <c r="A51" s="73"/>
      <c r="B51" s="73"/>
      <c r="C51" s="73"/>
      <c r="D51" s="73"/>
      <c r="E51" s="115" t="s">
        <v>246</v>
      </c>
      <c r="F51" s="73"/>
      <c r="G51" s="115" t="s">
        <v>439</v>
      </c>
      <c r="H51" s="130"/>
      <c r="I51" s="130"/>
      <c r="J51" s="130">
        <f t="shared" ref="J51:AQ51" si="20">SUM(J45:J49)</f>
        <v>20424527.482653406</v>
      </c>
      <c r="K51" s="130">
        <f t="shared" si="20"/>
        <v>37500000</v>
      </c>
      <c r="L51" s="130">
        <f t="shared" si="20"/>
        <v>0</v>
      </c>
      <c r="M51" s="130">
        <f t="shared" si="20"/>
        <v>16399999.999999998</v>
      </c>
      <c r="N51" s="130">
        <f t="shared" si="20"/>
        <v>4400000</v>
      </c>
      <c r="O51" s="130">
        <f t="shared" si="20"/>
        <v>5300000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2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109" t="s">
        <v>503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73"/>
      <c r="B56" s="73"/>
      <c r="C56" s="109" t="s">
        <v>504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25">
      <c r="A58" s="73"/>
      <c r="B58" s="101"/>
      <c r="C58" s="110" t="s">
        <v>637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2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15899999.999999996</v>
      </c>
      <c r="K60" s="152">
        <f>'DNO inputs'!H245</f>
        <v>37500000</v>
      </c>
      <c r="L60" s="152">
        <f>'DNO inputs'!H246</f>
        <v>4199999.9999999991</v>
      </c>
      <c r="M60" s="152">
        <f>'DNO inputs'!H247</f>
        <v>17500000</v>
      </c>
      <c r="N60" s="152">
        <f>'DNO inputs'!H248</f>
        <v>4800000</v>
      </c>
      <c r="O60" s="152">
        <f>'DNO inputs'!H249</f>
        <v>5300000.0000000009</v>
      </c>
      <c r="P60" s="152">
        <f>'DNO inputs'!H250</f>
        <v>400000</v>
      </c>
      <c r="Q60" s="152">
        <f>'DNO inputs'!H251</f>
        <v>4000000</v>
      </c>
      <c r="R60" s="152">
        <f>'DNO inputs'!H252</f>
        <v>2600000</v>
      </c>
      <c r="S60" s="152">
        <f>'DNO inputs'!H253</f>
        <v>10799999.999999998</v>
      </c>
      <c r="T60" s="152">
        <f>'DNO inputs'!H254</f>
        <v>2600000</v>
      </c>
      <c r="U60" s="152">
        <f>'DNO inputs'!H255</f>
        <v>1400000</v>
      </c>
      <c r="V60" s="152">
        <f>'DNO inputs'!H256</f>
        <v>1200000.0000000002</v>
      </c>
      <c r="W60" s="152">
        <f>'DNO inputs'!H257</f>
        <v>700000</v>
      </c>
      <c r="X60" s="152">
        <f>'DNO inputs'!H258</f>
        <v>3000000</v>
      </c>
      <c r="Y60" s="152">
        <f>'DNO inputs'!H259</f>
        <v>6399999.9999999981</v>
      </c>
      <c r="Z60" s="152">
        <f>'DNO inputs'!H260</f>
        <v>2600000</v>
      </c>
      <c r="AA60" s="152">
        <f>'DNO inputs'!H261</f>
        <v>1000000</v>
      </c>
      <c r="AB60" s="152">
        <f>'DNO inputs'!H262</f>
        <v>900000.00000000012</v>
      </c>
      <c r="AC60" s="152">
        <f>'DNO inputs'!H263</f>
        <v>5900000</v>
      </c>
      <c r="AD60" s="152">
        <f>'DNO inputs'!H264</f>
        <v>1700000.0000000002</v>
      </c>
      <c r="AE60" s="152">
        <f>'DNO inputs'!H265</f>
        <v>4100000.0000000005</v>
      </c>
      <c r="AF60" s="152">
        <f>'DNO inputs'!H266</f>
        <v>22099999.999999996</v>
      </c>
      <c r="AG60" s="152">
        <f>'DNO inputs'!H267</f>
        <v>2400000</v>
      </c>
      <c r="AH60" s="152">
        <f>'DNO inputs'!H268</f>
        <v>13400000</v>
      </c>
      <c r="AI60" s="152">
        <f>'DNO inputs'!H269</f>
        <v>499999.99999999889</v>
      </c>
      <c r="AJ60" s="152">
        <f>'DNO inputs'!H270</f>
        <v>300000.00000000006</v>
      </c>
      <c r="AK60" s="152">
        <f>'DNO inputs'!H271</f>
        <v>3199999.9999999995</v>
      </c>
      <c r="AL60" s="152">
        <f>'DNO inputs'!H272</f>
        <v>33100000</v>
      </c>
      <c r="AM60" s="152">
        <f>'DNO inputs'!H273</f>
        <v>14100000</v>
      </c>
      <c r="AN60" s="152">
        <f>'DNO inputs'!H274</f>
        <v>4300000</v>
      </c>
      <c r="AO60" s="152">
        <f>'DNO inputs'!H275</f>
        <v>-200000</v>
      </c>
      <c r="AP60" s="152">
        <f>'DNO inputs'!H276</f>
        <v>900000</v>
      </c>
      <c r="AQ60" s="152">
        <f>'DNO inputs'!H277</f>
        <v>-3699999.9999999544</v>
      </c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-4524527.4826534092</v>
      </c>
      <c r="K62" s="130">
        <f t="shared" ref="K62:AQ62" si="22">K60 - K51</f>
        <v>0</v>
      </c>
      <c r="L62" s="130">
        <f t="shared" si="22"/>
        <v>4199999.9999999991</v>
      </c>
      <c r="M62" s="130">
        <f t="shared" si="22"/>
        <v>1100000.0000000019</v>
      </c>
      <c r="N62" s="130">
        <f t="shared" si="22"/>
        <v>400000</v>
      </c>
      <c r="O62" s="130">
        <f t="shared" si="22"/>
        <v>0</v>
      </c>
      <c r="P62" s="130">
        <f t="shared" si="22"/>
        <v>400000</v>
      </c>
      <c r="Q62" s="130">
        <f t="shared" si="22"/>
        <v>4000000</v>
      </c>
      <c r="R62" s="130">
        <f t="shared" si="22"/>
        <v>2600000</v>
      </c>
      <c r="S62" s="130">
        <f t="shared" si="22"/>
        <v>10799999.999999998</v>
      </c>
      <c r="T62" s="130">
        <f t="shared" si="22"/>
        <v>2600000</v>
      </c>
      <c r="U62" s="130">
        <f t="shared" si="22"/>
        <v>1400000</v>
      </c>
      <c r="V62" s="130">
        <f t="shared" si="22"/>
        <v>1200000.0000000002</v>
      </c>
      <c r="W62" s="130">
        <f t="shared" si="22"/>
        <v>700000</v>
      </c>
      <c r="X62" s="130">
        <f t="shared" si="22"/>
        <v>3000000</v>
      </c>
      <c r="Y62" s="130">
        <f t="shared" si="22"/>
        <v>6399999.9999999981</v>
      </c>
      <c r="Z62" s="130">
        <f t="shared" si="22"/>
        <v>2600000</v>
      </c>
      <c r="AA62" s="130">
        <f t="shared" si="22"/>
        <v>1000000</v>
      </c>
      <c r="AB62" s="130">
        <f t="shared" si="22"/>
        <v>900000.00000000012</v>
      </c>
      <c r="AC62" s="130">
        <f t="shared" si="22"/>
        <v>5900000</v>
      </c>
      <c r="AD62" s="130">
        <f t="shared" si="22"/>
        <v>1700000.0000000002</v>
      </c>
      <c r="AE62" s="130">
        <f t="shared" si="22"/>
        <v>4100000.0000000005</v>
      </c>
      <c r="AF62" s="130">
        <f t="shared" si="22"/>
        <v>22099999.999999996</v>
      </c>
      <c r="AG62" s="130">
        <f t="shared" si="22"/>
        <v>2400000</v>
      </c>
      <c r="AH62" s="130">
        <f t="shared" si="22"/>
        <v>13400000</v>
      </c>
      <c r="AI62" s="130">
        <f t="shared" si="22"/>
        <v>499999.99999999889</v>
      </c>
      <c r="AJ62" s="130">
        <f t="shared" si="22"/>
        <v>300000.00000000006</v>
      </c>
      <c r="AK62" s="130">
        <f t="shared" si="22"/>
        <v>3199999.9999999995</v>
      </c>
      <c r="AL62" s="130">
        <f t="shared" si="22"/>
        <v>33100000</v>
      </c>
      <c r="AM62" s="130">
        <f t="shared" si="22"/>
        <v>14100000</v>
      </c>
      <c r="AN62" s="130">
        <f t="shared" si="22"/>
        <v>4300000</v>
      </c>
      <c r="AO62" s="130">
        <f t="shared" si="22"/>
        <v>-200000</v>
      </c>
      <c r="AP62" s="130">
        <f t="shared" ref="AP62" si="23">AP60 - AP51</f>
        <v>900000</v>
      </c>
      <c r="AQ62" s="130">
        <f t="shared" si="22"/>
        <v>-3699999.9999999544</v>
      </c>
      <c r="AR62" s="74"/>
      <c r="AS62" s="115" t="s">
        <v>569</v>
      </c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25">
      <c r="A67" s="115"/>
      <c r="B67" s="73"/>
      <c r="C67" s="73"/>
      <c r="D67" s="73"/>
      <c r="E67" s="120" t="s">
        <v>536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569</v>
      </c>
      <c r="AT67" s="42"/>
    </row>
    <row r="68" spans="1:46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2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0</v>
      </c>
      <c r="L69" s="130">
        <f t="shared" si="26"/>
        <v>4199999.9999999991</v>
      </c>
      <c r="M69" s="130">
        <f t="shared" si="26"/>
        <v>1100000.0000000019</v>
      </c>
      <c r="N69" s="130">
        <f t="shared" si="26"/>
        <v>400000</v>
      </c>
      <c r="O69" s="130">
        <f t="shared" si="26"/>
        <v>0</v>
      </c>
      <c r="P69" s="130">
        <f t="shared" si="26"/>
        <v>400000</v>
      </c>
      <c r="Q69" s="130">
        <f t="shared" si="26"/>
        <v>4000000</v>
      </c>
      <c r="R69" s="130">
        <f t="shared" si="26"/>
        <v>2600000</v>
      </c>
      <c r="S69" s="130">
        <f t="shared" si="26"/>
        <v>10799999.999999998</v>
      </c>
      <c r="T69" s="130">
        <f t="shared" si="26"/>
        <v>2600000</v>
      </c>
      <c r="U69" s="130">
        <f t="shared" si="26"/>
        <v>1400000</v>
      </c>
      <c r="V69" s="130">
        <f t="shared" si="26"/>
        <v>1200000.0000000002</v>
      </c>
      <c r="W69" s="130">
        <f t="shared" si="26"/>
        <v>700000</v>
      </c>
      <c r="X69" s="130">
        <f t="shared" si="26"/>
        <v>3000000</v>
      </c>
      <c r="Y69" s="130">
        <f t="shared" si="26"/>
        <v>0</v>
      </c>
      <c r="Z69" s="130">
        <f t="shared" si="26"/>
        <v>0</v>
      </c>
      <c r="AA69" s="130">
        <f t="shared" si="26"/>
        <v>1000000</v>
      </c>
      <c r="AB69" s="130">
        <f t="shared" si="26"/>
        <v>900000.00000000012</v>
      </c>
      <c r="AC69" s="130">
        <f t="shared" si="26"/>
        <v>5900000</v>
      </c>
      <c r="AD69" s="130">
        <f t="shared" si="26"/>
        <v>1700000.0000000002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569</v>
      </c>
      <c r="AT69" s="42"/>
    </row>
    <row r="70" spans="1:46" x14ac:dyDescent="0.2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25">
      <c r="A71" s="73"/>
      <c r="B71" s="101"/>
      <c r="C71" s="110" t="s">
        <v>638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2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109"/>
      <c r="E73" s="112" t="str">
        <f>MEAV!E63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73"/>
      <c r="F74" s="113" t="str">
        <f>MEAV!F64</f>
        <v>LV services</v>
      </c>
      <c r="G74" s="113" t="str">
        <f>MEAV!G64</f>
        <v>%</v>
      </c>
      <c r="H74" s="172">
        <f>MEAV!H64</f>
        <v>0.39866075984064403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25">
      <c r="A75" s="73"/>
      <c r="B75" s="73"/>
      <c r="C75" s="73"/>
      <c r="D75" s="73"/>
      <c r="E75" s="73"/>
      <c r="F75" s="115" t="str">
        <f>MEAV!F65</f>
        <v>LV mains</v>
      </c>
      <c r="G75" s="115" t="str">
        <f>MEAV!G65</f>
        <v>%</v>
      </c>
      <c r="H75" s="166">
        <f>MEAV!H65</f>
        <v>0.16959905707017778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25">
      <c r="A76" s="73"/>
      <c r="B76" s="73"/>
      <c r="C76" s="73"/>
      <c r="D76" s="73"/>
      <c r="E76" s="73"/>
      <c r="F76" s="115" t="str">
        <f>MEAV!F66</f>
        <v>HV/LV</v>
      </c>
      <c r="G76" s="115" t="str">
        <f>MEAV!G66</f>
        <v>%</v>
      </c>
      <c r="H76" s="166">
        <f>MEAV!H66</f>
        <v>6.232073189586914E-2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tr">
        <f>MEAV!F67</f>
        <v>HV</v>
      </c>
      <c r="G77" s="115" t="str">
        <f>MEAV!G67</f>
        <v>%</v>
      </c>
      <c r="H77" s="166">
        <f>MEAV!H67</f>
        <v>0.24124878970311986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7" t="str">
        <f>MEAV!F68</f>
        <v>EHV and 132kV</v>
      </c>
      <c r="G78" s="117" t="str">
        <f>MEAV!G68</f>
        <v>%</v>
      </c>
      <c r="H78" s="173">
        <f>MEAV!H68</f>
        <v>0.12817066149018916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25">
      <c r="A80" s="73"/>
      <c r="B80" s="73"/>
      <c r="C80" s="73"/>
      <c r="D80" s="73"/>
      <c r="E80" s="112" t="str">
        <f>MEAV!E134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3" t="str">
        <f>MEAV!F135</f>
        <v>LV services</v>
      </c>
      <c r="G81" s="113" t="str">
        <f>MEAV!G135</f>
        <v>%</v>
      </c>
      <c r="H81" s="172">
        <f>MEAV!H135</f>
        <v>0.40421699594037486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115" t="str">
        <f>MEAV!F136</f>
        <v>LV mains</v>
      </c>
      <c r="G82" s="115" t="str">
        <f>MEAV!G136</f>
        <v>%</v>
      </c>
      <c r="H82" s="166">
        <f>MEAV!H136</f>
        <v>0.17196280213440307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25">
      <c r="A83" s="73"/>
      <c r="B83" s="73"/>
      <c r="C83" s="73"/>
      <c r="D83" s="73"/>
      <c r="E83" s="73"/>
      <c r="F83" s="115" t="str">
        <f>MEAV!F137</f>
        <v>HV/LV</v>
      </c>
      <c r="G83" s="115" t="str">
        <f>MEAV!G137</f>
        <v>%</v>
      </c>
      <c r="H83" s="166">
        <f>MEAV!H137</f>
        <v>6.3189311739192289E-2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25">
      <c r="A84" s="73"/>
      <c r="B84" s="73"/>
      <c r="C84" s="73"/>
      <c r="D84" s="73"/>
      <c r="E84" s="73"/>
      <c r="F84" s="115" t="str">
        <f>MEAV!F138</f>
        <v>HV</v>
      </c>
      <c r="G84" s="115" t="str">
        <f>MEAV!G138</f>
        <v>%</v>
      </c>
      <c r="H84" s="166">
        <f>MEAV!H138</f>
        <v>0.24461113525952891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25">
      <c r="A85" s="73"/>
      <c r="B85" s="73"/>
      <c r="C85" s="73"/>
      <c r="D85" s="73"/>
      <c r="E85" s="73"/>
      <c r="F85" s="117" t="str">
        <f>MEAV!F139</f>
        <v>EHV and 132kV</v>
      </c>
      <c r="G85" s="117" t="str">
        <f>MEAV!G139</f>
        <v>%</v>
      </c>
      <c r="H85" s="173">
        <f>MEAV!H139</f>
        <v>0.11601975492650092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101"/>
      <c r="C87" s="110" t="s">
        <v>639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2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569</v>
      </c>
      <c r="AT89" s="42"/>
    </row>
    <row r="90" spans="1:46" x14ac:dyDescent="0.2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0</v>
      </c>
      <c r="L90" s="163">
        <f t="shared" si="28"/>
        <v>1674375.1913307046</v>
      </c>
      <c r="M90" s="163">
        <f t="shared" si="28"/>
        <v>438526.83582470915</v>
      </c>
      <c r="N90" s="163">
        <f t="shared" si="28"/>
        <v>159464.30393625761</v>
      </c>
      <c r="O90" s="163">
        <f t="shared" si="28"/>
        <v>0</v>
      </c>
      <c r="P90" s="163">
        <f t="shared" si="28"/>
        <v>159464.30393625761</v>
      </c>
      <c r="Q90" s="163">
        <f t="shared" si="28"/>
        <v>1594643.0393625761</v>
      </c>
      <c r="R90" s="163">
        <f t="shared" si="28"/>
        <v>1036517.9755856745</v>
      </c>
      <c r="S90" s="163">
        <f t="shared" si="28"/>
        <v>4305536.2062789546</v>
      </c>
      <c r="T90" s="163">
        <f t="shared" si="28"/>
        <v>1036517.9755856745</v>
      </c>
      <c r="U90" s="163">
        <f t="shared" si="28"/>
        <v>558125.06377690169</v>
      </c>
      <c r="V90" s="163">
        <f t="shared" si="28"/>
        <v>478392.91180877294</v>
      </c>
      <c r="W90" s="163">
        <f t="shared" si="28"/>
        <v>279062.53188845085</v>
      </c>
      <c r="X90" s="163">
        <f t="shared" si="28"/>
        <v>1195982.2795219321</v>
      </c>
      <c r="Y90" s="163">
        <f t="shared" si="28"/>
        <v>0</v>
      </c>
      <c r="Z90" s="163">
        <f t="shared" si="28"/>
        <v>0</v>
      </c>
      <c r="AA90" s="163">
        <f t="shared" si="28"/>
        <v>398660.75984064402</v>
      </c>
      <c r="AB90" s="163">
        <f t="shared" si="28"/>
        <v>358794.68385657965</v>
      </c>
      <c r="AC90" s="163">
        <f t="shared" si="28"/>
        <v>2352098.4830597998</v>
      </c>
      <c r="AD90" s="163">
        <f t="shared" si="28"/>
        <v>677723.29172909493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2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0</v>
      </c>
      <c r="L91" s="164">
        <f t="shared" si="30"/>
        <v>712316.03969474649</v>
      </c>
      <c r="M91" s="164">
        <f t="shared" si="30"/>
        <v>186558.96277719588</v>
      </c>
      <c r="N91" s="164">
        <f t="shared" si="30"/>
        <v>67839.622828071108</v>
      </c>
      <c r="O91" s="164">
        <f t="shared" si="30"/>
        <v>0</v>
      </c>
      <c r="P91" s="164">
        <f t="shared" si="30"/>
        <v>67839.622828071108</v>
      </c>
      <c r="Q91" s="164">
        <f t="shared" si="30"/>
        <v>678396.2282807111</v>
      </c>
      <c r="R91" s="164">
        <f t="shared" si="30"/>
        <v>440957.54838246224</v>
      </c>
      <c r="S91" s="164">
        <f t="shared" si="30"/>
        <v>1831669.8163579197</v>
      </c>
      <c r="T91" s="164">
        <f t="shared" si="30"/>
        <v>440957.54838246224</v>
      </c>
      <c r="U91" s="164">
        <f t="shared" si="30"/>
        <v>237438.6798982489</v>
      </c>
      <c r="V91" s="164">
        <f t="shared" si="30"/>
        <v>203518.86848421337</v>
      </c>
      <c r="W91" s="164">
        <f t="shared" si="30"/>
        <v>118719.33994912445</v>
      </c>
      <c r="X91" s="164">
        <f t="shared" si="30"/>
        <v>508797.17121053336</v>
      </c>
      <c r="Y91" s="164">
        <f t="shared" si="30"/>
        <v>0</v>
      </c>
      <c r="Z91" s="164">
        <f t="shared" si="30"/>
        <v>0</v>
      </c>
      <c r="AA91" s="164">
        <f t="shared" si="30"/>
        <v>169599.05707017778</v>
      </c>
      <c r="AB91" s="164">
        <f t="shared" si="30"/>
        <v>152639.15136316002</v>
      </c>
      <c r="AC91" s="164">
        <f t="shared" si="30"/>
        <v>1000634.4367140488</v>
      </c>
      <c r="AD91" s="164">
        <f t="shared" si="30"/>
        <v>288318.39701930224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2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0</v>
      </c>
      <c r="L92" s="164">
        <f t="shared" si="32"/>
        <v>261747.07396265032</v>
      </c>
      <c r="M92" s="164">
        <f t="shared" si="32"/>
        <v>68552.805085456173</v>
      </c>
      <c r="N92" s="164">
        <f t="shared" si="32"/>
        <v>24928.292758347656</v>
      </c>
      <c r="O92" s="164">
        <f t="shared" si="32"/>
        <v>0</v>
      </c>
      <c r="P92" s="164">
        <f t="shared" si="32"/>
        <v>24928.292758347656</v>
      </c>
      <c r="Q92" s="164">
        <f t="shared" si="32"/>
        <v>249282.92758347656</v>
      </c>
      <c r="R92" s="164">
        <f t="shared" si="32"/>
        <v>162033.90292925976</v>
      </c>
      <c r="S92" s="164">
        <f t="shared" si="32"/>
        <v>673063.9044753866</v>
      </c>
      <c r="T92" s="164">
        <f t="shared" si="32"/>
        <v>162033.90292925976</v>
      </c>
      <c r="U92" s="164">
        <f t="shared" si="32"/>
        <v>87249.024654216802</v>
      </c>
      <c r="V92" s="164">
        <f t="shared" si="32"/>
        <v>74784.878275042982</v>
      </c>
      <c r="W92" s="164">
        <f t="shared" si="32"/>
        <v>43624.512327108401</v>
      </c>
      <c r="X92" s="164">
        <f t="shared" si="32"/>
        <v>186962.19568760743</v>
      </c>
      <c r="Y92" s="164">
        <f t="shared" si="32"/>
        <v>0</v>
      </c>
      <c r="Z92" s="164">
        <f t="shared" si="32"/>
        <v>0</v>
      </c>
      <c r="AA92" s="164">
        <f t="shared" si="32"/>
        <v>62320.731895869139</v>
      </c>
      <c r="AB92" s="164">
        <f t="shared" si="32"/>
        <v>56088.658706282236</v>
      </c>
      <c r="AC92" s="164">
        <f t="shared" si="32"/>
        <v>367692.31818562793</v>
      </c>
      <c r="AD92" s="164">
        <f t="shared" si="32"/>
        <v>105945.24422297755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2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0</v>
      </c>
      <c r="L93" s="164">
        <f t="shared" si="34"/>
        <v>1013244.9167531031</v>
      </c>
      <c r="M93" s="164">
        <f t="shared" si="34"/>
        <v>265373.66867343232</v>
      </c>
      <c r="N93" s="164">
        <f t="shared" si="34"/>
        <v>96499.515881247949</v>
      </c>
      <c r="O93" s="164">
        <f t="shared" si="34"/>
        <v>0</v>
      </c>
      <c r="P93" s="164">
        <f t="shared" si="34"/>
        <v>96499.515881247949</v>
      </c>
      <c r="Q93" s="164">
        <f t="shared" si="34"/>
        <v>964995.15881247947</v>
      </c>
      <c r="R93" s="164">
        <f t="shared" si="34"/>
        <v>627246.85322811163</v>
      </c>
      <c r="S93" s="164">
        <f t="shared" si="34"/>
        <v>2605486.9287936939</v>
      </c>
      <c r="T93" s="164">
        <f t="shared" si="34"/>
        <v>627246.85322811163</v>
      </c>
      <c r="U93" s="164">
        <f t="shared" si="34"/>
        <v>337748.30558436783</v>
      </c>
      <c r="V93" s="164">
        <f t="shared" si="34"/>
        <v>289498.54764374386</v>
      </c>
      <c r="W93" s="164">
        <f t="shared" si="34"/>
        <v>168874.15279218392</v>
      </c>
      <c r="X93" s="164">
        <f t="shared" si="34"/>
        <v>723746.36910935957</v>
      </c>
      <c r="Y93" s="164">
        <f t="shared" si="34"/>
        <v>0</v>
      </c>
      <c r="Z93" s="164">
        <f t="shared" si="34"/>
        <v>0</v>
      </c>
      <c r="AA93" s="164">
        <f t="shared" si="34"/>
        <v>241248.78970311987</v>
      </c>
      <c r="AB93" s="164">
        <f t="shared" si="34"/>
        <v>217123.91073280791</v>
      </c>
      <c r="AC93" s="164">
        <f t="shared" si="34"/>
        <v>1423367.8592484072</v>
      </c>
      <c r="AD93" s="164">
        <f t="shared" si="34"/>
        <v>410122.94249530381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2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0</v>
      </c>
      <c r="L94" s="165">
        <f t="shared" si="36"/>
        <v>538316.77825879434</v>
      </c>
      <c r="M94" s="165">
        <f t="shared" si="36"/>
        <v>140987.72763920831</v>
      </c>
      <c r="N94" s="165">
        <f t="shared" si="36"/>
        <v>51268.264596075664</v>
      </c>
      <c r="O94" s="165">
        <f t="shared" si="36"/>
        <v>0</v>
      </c>
      <c r="P94" s="165">
        <f t="shared" si="36"/>
        <v>51268.264596075664</v>
      </c>
      <c r="Q94" s="165">
        <f t="shared" si="36"/>
        <v>512682.64596075664</v>
      </c>
      <c r="R94" s="165">
        <f t="shared" si="36"/>
        <v>333243.7198744918</v>
      </c>
      <c r="S94" s="165">
        <f t="shared" si="36"/>
        <v>1384243.1440940427</v>
      </c>
      <c r="T94" s="165">
        <f t="shared" si="36"/>
        <v>333243.7198744918</v>
      </c>
      <c r="U94" s="165">
        <f t="shared" si="36"/>
        <v>179438.92608626481</v>
      </c>
      <c r="V94" s="165">
        <f t="shared" si="36"/>
        <v>153804.79378822702</v>
      </c>
      <c r="W94" s="165">
        <f t="shared" si="36"/>
        <v>89719.463043132404</v>
      </c>
      <c r="X94" s="165">
        <f t="shared" si="36"/>
        <v>384511.98447056749</v>
      </c>
      <c r="Y94" s="165">
        <f t="shared" si="36"/>
        <v>0</v>
      </c>
      <c r="Z94" s="165">
        <f t="shared" si="36"/>
        <v>0</v>
      </c>
      <c r="AA94" s="165">
        <f t="shared" si="36"/>
        <v>128170.66149018916</v>
      </c>
      <c r="AB94" s="165">
        <f t="shared" si="36"/>
        <v>115353.59534117025</v>
      </c>
      <c r="AC94" s="165">
        <f t="shared" si="36"/>
        <v>756206.90279211605</v>
      </c>
      <c r="AD94" s="165">
        <f t="shared" si="36"/>
        <v>217890.12453332159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2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2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569</v>
      </c>
      <c r="AT96" s="42"/>
    </row>
    <row r="97" spans="1:46" x14ac:dyDescent="0.2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0</v>
      </c>
      <c r="L97" s="163">
        <f t="shared" si="38"/>
        <v>1697711.3829495739</v>
      </c>
      <c r="M97" s="163">
        <f t="shared" si="38"/>
        <v>444638.6955344131</v>
      </c>
      <c r="N97" s="163">
        <f t="shared" si="38"/>
        <v>161686.79837614993</v>
      </c>
      <c r="O97" s="163">
        <f t="shared" si="38"/>
        <v>0</v>
      </c>
      <c r="P97" s="163">
        <f t="shared" si="38"/>
        <v>161686.79837614993</v>
      </c>
      <c r="Q97" s="163">
        <f t="shared" si="38"/>
        <v>1616867.9837614994</v>
      </c>
      <c r="R97" s="163">
        <f t="shared" si="38"/>
        <v>1050964.1894449745</v>
      </c>
      <c r="S97" s="163">
        <f t="shared" si="38"/>
        <v>4365543.5561560476</v>
      </c>
      <c r="T97" s="163">
        <f t="shared" si="38"/>
        <v>1050964.1894449745</v>
      </c>
      <c r="U97" s="163">
        <f t="shared" si="38"/>
        <v>565903.79431652476</v>
      </c>
      <c r="V97" s="163">
        <f t="shared" si="38"/>
        <v>485060.39512844995</v>
      </c>
      <c r="W97" s="163">
        <f t="shared" si="38"/>
        <v>282951.89715826238</v>
      </c>
      <c r="X97" s="163">
        <f t="shared" si="38"/>
        <v>1212650.9878211245</v>
      </c>
      <c r="Y97" s="163">
        <f t="shared" si="38"/>
        <v>0</v>
      </c>
      <c r="Z97" s="163">
        <f t="shared" si="38"/>
        <v>0</v>
      </c>
      <c r="AA97" s="163">
        <f t="shared" si="38"/>
        <v>404216.99594037485</v>
      </c>
      <c r="AB97" s="163">
        <f t="shared" si="38"/>
        <v>363795.29634633742</v>
      </c>
      <c r="AC97" s="163">
        <f t="shared" si="38"/>
        <v>2384880.2760482118</v>
      </c>
      <c r="AD97" s="163">
        <f t="shared" si="38"/>
        <v>687168.89309863735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2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0</v>
      </c>
      <c r="L98" s="164">
        <f t="shared" si="40"/>
        <v>722243.76896449272</v>
      </c>
      <c r="M98" s="164">
        <f t="shared" si="40"/>
        <v>189159.08234784371</v>
      </c>
      <c r="N98" s="164">
        <f t="shared" si="40"/>
        <v>68785.120853761226</v>
      </c>
      <c r="O98" s="164">
        <f t="shared" si="40"/>
        <v>0</v>
      </c>
      <c r="P98" s="164">
        <f t="shared" si="40"/>
        <v>68785.120853761226</v>
      </c>
      <c r="Q98" s="164">
        <f t="shared" si="40"/>
        <v>687851.20853761223</v>
      </c>
      <c r="R98" s="164">
        <f t="shared" si="40"/>
        <v>447103.28554944799</v>
      </c>
      <c r="S98" s="164">
        <f t="shared" si="40"/>
        <v>1857198.2630515529</v>
      </c>
      <c r="T98" s="164">
        <f t="shared" si="40"/>
        <v>447103.28554944799</v>
      </c>
      <c r="U98" s="164">
        <f t="shared" si="40"/>
        <v>240747.9229881643</v>
      </c>
      <c r="V98" s="164">
        <f t="shared" si="40"/>
        <v>206355.36256128372</v>
      </c>
      <c r="W98" s="164">
        <f t="shared" si="40"/>
        <v>120373.96149408215</v>
      </c>
      <c r="X98" s="164">
        <f t="shared" si="40"/>
        <v>515888.4064032092</v>
      </c>
      <c r="Y98" s="164">
        <f t="shared" si="40"/>
        <v>0</v>
      </c>
      <c r="Z98" s="164">
        <f t="shared" si="40"/>
        <v>0</v>
      </c>
      <c r="AA98" s="164">
        <f t="shared" si="40"/>
        <v>171962.80213440306</v>
      </c>
      <c r="AB98" s="164">
        <f t="shared" si="40"/>
        <v>154766.52192096278</v>
      </c>
      <c r="AC98" s="164">
        <f t="shared" si="40"/>
        <v>1014580.5325929781</v>
      </c>
      <c r="AD98" s="164">
        <f t="shared" si="40"/>
        <v>292336.76362848526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2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0</v>
      </c>
      <c r="L99" s="164">
        <f t="shared" si="42"/>
        <v>265395.10930460755</v>
      </c>
      <c r="M99" s="164">
        <f t="shared" si="42"/>
        <v>69508.242913111637</v>
      </c>
      <c r="N99" s="164">
        <f t="shared" si="42"/>
        <v>25275.724695676916</v>
      </c>
      <c r="O99" s="164">
        <f t="shared" si="42"/>
        <v>0</v>
      </c>
      <c r="P99" s="164">
        <f t="shared" si="42"/>
        <v>25275.724695676916</v>
      </c>
      <c r="Q99" s="164">
        <f t="shared" si="42"/>
        <v>252757.24695676914</v>
      </c>
      <c r="R99" s="164">
        <f t="shared" si="42"/>
        <v>164292.21052189995</v>
      </c>
      <c r="S99" s="164">
        <f t="shared" si="42"/>
        <v>682444.56678327662</v>
      </c>
      <c r="T99" s="164">
        <f t="shared" si="42"/>
        <v>164292.21052189995</v>
      </c>
      <c r="U99" s="164">
        <f t="shared" si="42"/>
        <v>88465.036434869209</v>
      </c>
      <c r="V99" s="164">
        <f t="shared" si="42"/>
        <v>75827.174087030755</v>
      </c>
      <c r="W99" s="164">
        <f t="shared" si="42"/>
        <v>44232.518217434605</v>
      </c>
      <c r="X99" s="164">
        <f t="shared" si="42"/>
        <v>189567.93521757686</v>
      </c>
      <c r="Y99" s="164">
        <f t="shared" si="42"/>
        <v>0</v>
      </c>
      <c r="Z99" s="164">
        <f t="shared" si="42"/>
        <v>0</v>
      </c>
      <c r="AA99" s="164">
        <f t="shared" si="42"/>
        <v>63189.311739192286</v>
      </c>
      <c r="AB99" s="164">
        <f t="shared" si="42"/>
        <v>56870.380565273066</v>
      </c>
      <c r="AC99" s="164">
        <f t="shared" si="42"/>
        <v>372816.93926123448</v>
      </c>
      <c r="AD99" s="164">
        <f t="shared" si="42"/>
        <v>107421.82995662691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2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0</v>
      </c>
      <c r="L100" s="164">
        <f t="shared" si="44"/>
        <v>1027366.7680900212</v>
      </c>
      <c r="M100" s="164">
        <f t="shared" si="44"/>
        <v>269072.24878548225</v>
      </c>
      <c r="N100" s="164">
        <f t="shared" si="44"/>
        <v>97844.454103811557</v>
      </c>
      <c r="O100" s="164">
        <f t="shared" si="44"/>
        <v>0</v>
      </c>
      <c r="P100" s="164">
        <f t="shared" si="44"/>
        <v>97844.454103811557</v>
      </c>
      <c r="Q100" s="164">
        <f t="shared" si="44"/>
        <v>978444.54103811563</v>
      </c>
      <c r="R100" s="164">
        <f t="shared" si="44"/>
        <v>635988.9516747751</v>
      </c>
      <c r="S100" s="164">
        <f t="shared" si="44"/>
        <v>2641800.2608029116</v>
      </c>
      <c r="T100" s="164">
        <f t="shared" si="44"/>
        <v>635988.9516747751</v>
      </c>
      <c r="U100" s="164">
        <f t="shared" si="44"/>
        <v>342455.58936334046</v>
      </c>
      <c r="V100" s="164">
        <f t="shared" si="44"/>
        <v>293533.36231143476</v>
      </c>
      <c r="W100" s="164">
        <f t="shared" si="44"/>
        <v>171227.79468167023</v>
      </c>
      <c r="X100" s="164">
        <f t="shared" si="44"/>
        <v>733833.40577858675</v>
      </c>
      <c r="Y100" s="164">
        <f t="shared" si="44"/>
        <v>0</v>
      </c>
      <c r="Z100" s="164">
        <f t="shared" si="44"/>
        <v>0</v>
      </c>
      <c r="AA100" s="164">
        <f t="shared" si="44"/>
        <v>244611.13525952891</v>
      </c>
      <c r="AB100" s="164">
        <f t="shared" si="44"/>
        <v>220150.02173357605</v>
      </c>
      <c r="AC100" s="164">
        <f t="shared" si="44"/>
        <v>1443205.6980312206</v>
      </c>
      <c r="AD100" s="164">
        <f t="shared" si="44"/>
        <v>415838.9299411992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2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0</v>
      </c>
      <c r="L101" s="165">
        <f t="shared" si="46"/>
        <v>487282.97069130378</v>
      </c>
      <c r="M101" s="165">
        <f t="shared" si="46"/>
        <v>127621.73041915122</v>
      </c>
      <c r="N101" s="165">
        <f t="shared" si="46"/>
        <v>46407.901970600367</v>
      </c>
      <c r="O101" s="165">
        <f t="shared" si="46"/>
        <v>0</v>
      </c>
      <c r="P101" s="165">
        <f t="shared" si="46"/>
        <v>46407.901970600367</v>
      </c>
      <c r="Q101" s="165">
        <f t="shared" si="46"/>
        <v>464079.01970600366</v>
      </c>
      <c r="R101" s="165">
        <f t="shared" si="46"/>
        <v>301651.3628089024</v>
      </c>
      <c r="S101" s="165">
        <f t="shared" si="46"/>
        <v>1253013.3532062098</v>
      </c>
      <c r="T101" s="165">
        <f t="shared" si="46"/>
        <v>301651.3628089024</v>
      </c>
      <c r="U101" s="165">
        <f t="shared" si="46"/>
        <v>162427.65689710129</v>
      </c>
      <c r="V101" s="165">
        <f t="shared" si="46"/>
        <v>139223.70591180114</v>
      </c>
      <c r="W101" s="165">
        <f t="shared" si="46"/>
        <v>81213.828448550645</v>
      </c>
      <c r="X101" s="165">
        <f t="shared" si="46"/>
        <v>348059.26477950276</v>
      </c>
      <c r="Y101" s="165">
        <f t="shared" si="46"/>
        <v>0</v>
      </c>
      <c r="Z101" s="165">
        <f t="shared" si="46"/>
        <v>0</v>
      </c>
      <c r="AA101" s="165">
        <f t="shared" si="46"/>
        <v>116019.75492650091</v>
      </c>
      <c r="AB101" s="165">
        <f t="shared" si="46"/>
        <v>104417.77943385084</v>
      </c>
      <c r="AC101" s="165">
        <f t="shared" si="46"/>
        <v>684516.55406635546</v>
      </c>
      <c r="AD101" s="165">
        <f t="shared" si="46"/>
        <v>197233.58337505159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2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25">
      <c r="A103" s="73"/>
      <c r="B103" s="107" t="s">
        <v>747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2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25">
      <c r="A105" s="73"/>
      <c r="B105" s="73"/>
      <c r="C105" s="109" t="s">
        <v>748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2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25">
      <c r="A107" s="73"/>
      <c r="B107" s="73"/>
      <c r="C107" s="110" t="s">
        <v>745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2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2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-4524527.4826534092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6399999.9999999981</v>
      </c>
      <c r="Z109" s="130">
        <f t="shared" si="48"/>
        <v>2600000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4100000.0000000005</v>
      </c>
      <c r="AF109" s="130">
        <f t="shared" si="48"/>
        <v>22099999.999999996</v>
      </c>
      <c r="AG109" s="130">
        <f t="shared" si="48"/>
        <v>2400000</v>
      </c>
      <c r="AH109" s="130">
        <f t="shared" si="48"/>
        <v>13400000</v>
      </c>
      <c r="AI109" s="130">
        <f t="shared" si="48"/>
        <v>499999.99999999889</v>
      </c>
      <c r="AJ109" s="130">
        <f t="shared" si="48"/>
        <v>300000.00000000006</v>
      </c>
      <c r="AK109" s="130">
        <f t="shared" si="48"/>
        <v>3199999.9999999995</v>
      </c>
      <c r="AL109" s="130">
        <f t="shared" si="48"/>
        <v>33100000</v>
      </c>
      <c r="AM109" s="130">
        <f t="shared" si="48"/>
        <v>14100000</v>
      </c>
      <c r="AN109" s="130">
        <f t="shared" si="48"/>
        <v>4300000</v>
      </c>
      <c r="AO109" s="130">
        <f t="shared" si="48"/>
        <v>-200000</v>
      </c>
      <c r="AP109" s="130">
        <f t="shared" si="48"/>
        <v>900000</v>
      </c>
      <c r="AQ109" s="130">
        <f t="shared" si="48"/>
        <v>-3699999.9999999544</v>
      </c>
      <c r="AR109" s="74"/>
      <c r="AS109" s="73" t="s">
        <v>752</v>
      </c>
      <c r="AT109" s="42"/>
    </row>
    <row r="110" spans="1:46" s="1" customFormat="1" x14ac:dyDescent="0.2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2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2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2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25">
      <c r="A114" s="115"/>
      <c r="B114" s="73"/>
      <c r="C114" s="73"/>
      <c r="D114" s="73"/>
      <c r="E114" s="221" t="s">
        <v>743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752</v>
      </c>
      <c r="AT114" s="42"/>
    </row>
    <row r="115" spans="1:46" s="17" customFormat="1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25">
      <c r="A116" s="115"/>
      <c r="B116" s="73"/>
      <c r="C116" s="73"/>
      <c r="D116" s="73"/>
      <c r="E116" s="217" t="s">
        <v>749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900000</v>
      </c>
      <c r="AQ116" s="130">
        <f t="shared" si="50"/>
        <v>0</v>
      </c>
      <c r="AR116" s="74"/>
      <c r="AS116" s="73" t="s">
        <v>752</v>
      </c>
      <c r="AT116" s="42"/>
    </row>
    <row r="117" spans="1:46" s="17" customFormat="1" x14ac:dyDescent="0.25">
      <c r="A117" s="115"/>
      <c r="B117" s="73"/>
      <c r="C117" s="73"/>
      <c r="D117" s="73"/>
      <c r="E117" s="217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25">
      <c r="A118" s="115"/>
      <c r="B118" s="73"/>
      <c r="C118" s="73"/>
      <c r="D118" s="73"/>
      <c r="E118" s="217" t="s">
        <v>750</v>
      </c>
      <c r="F118" s="73"/>
      <c r="G118" s="217" t="s">
        <v>231</v>
      </c>
      <c r="H118" s="224"/>
      <c r="I118" s="225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25">
      <c r="A119" s="115"/>
      <c r="B119" s="73"/>
      <c r="C119" s="73"/>
      <c r="D119" s="73"/>
      <c r="E119" s="217" t="s">
        <v>232</v>
      </c>
      <c r="F119" s="73"/>
      <c r="G119" s="217" t="s">
        <v>231</v>
      </c>
      <c r="H119" s="136">
        <f>SUM(J118:AQ118)</f>
        <v>0</v>
      </c>
      <c r="I119" s="225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74"/>
      <c r="AS119" s="73"/>
      <c r="AT119" s="42"/>
    </row>
    <row r="120" spans="1:46" s="17" customFormat="1" x14ac:dyDescent="0.2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2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2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25">
      <c r="A123" s="73"/>
      <c r="B123" s="73"/>
      <c r="C123" s="109" t="s">
        <v>717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25">
      <c r="A124" s="73"/>
      <c r="B124" s="73"/>
      <c r="C124" s="109" t="s">
        <v>459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25">
      <c r="A126" s="73"/>
      <c r="B126" s="73"/>
      <c r="C126" s="110" t="s">
        <v>744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2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605</v>
      </c>
      <c r="AT128" s="42"/>
    </row>
    <row r="129" spans="1:46" x14ac:dyDescent="0.2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2">
        <f t="shared" ref="J129:AQ129" si="52">J45 + J90 + J116</f>
        <v>0</v>
      </c>
      <c r="K129" s="222">
        <f t="shared" si="52"/>
        <v>7717012.9362415802</v>
      </c>
      <c r="L129" s="222">
        <f t="shared" si="52"/>
        <v>1674375.1913307046</v>
      </c>
      <c r="M129" s="222">
        <f t="shared" si="52"/>
        <v>7383838.4784421306</v>
      </c>
      <c r="N129" s="222">
        <f t="shared" si="52"/>
        <v>510237.61921996583</v>
      </c>
      <c r="O129" s="222">
        <f t="shared" si="52"/>
        <v>2174794.5547589906</v>
      </c>
      <c r="P129" s="222">
        <f t="shared" si="52"/>
        <v>159464.30393625761</v>
      </c>
      <c r="Q129" s="222">
        <f t="shared" si="52"/>
        <v>1594643.0393625761</v>
      </c>
      <c r="R129" s="222">
        <f t="shared" si="52"/>
        <v>1036517.9755856745</v>
      </c>
      <c r="S129" s="222">
        <f t="shared" si="52"/>
        <v>4305536.2062789546</v>
      </c>
      <c r="T129" s="222">
        <f t="shared" si="52"/>
        <v>1036517.9755856745</v>
      </c>
      <c r="U129" s="222">
        <f t="shared" si="52"/>
        <v>558125.06377690169</v>
      </c>
      <c r="V129" s="222">
        <f t="shared" si="52"/>
        <v>478392.91180877294</v>
      </c>
      <c r="W129" s="222">
        <f t="shared" si="52"/>
        <v>279062.53188845085</v>
      </c>
      <c r="X129" s="222">
        <f t="shared" si="52"/>
        <v>1195982.2795219321</v>
      </c>
      <c r="Y129" s="222">
        <f t="shared" si="52"/>
        <v>0</v>
      </c>
      <c r="Z129" s="222">
        <f t="shared" si="52"/>
        <v>0</v>
      </c>
      <c r="AA129" s="222">
        <f t="shared" si="52"/>
        <v>398660.75984064402</v>
      </c>
      <c r="AB129" s="222">
        <f t="shared" si="52"/>
        <v>358794.68385657965</v>
      </c>
      <c r="AC129" s="222">
        <f t="shared" si="52"/>
        <v>2352098.4830597998</v>
      </c>
      <c r="AD129" s="222">
        <f t="shared" si="52"/>
        <v>677723.29172909493</v>
      </c>
      <c r="AE129" s="222">
        <f t="shared" si="52"/>
        <v>0</v>
      </c>
      <c r="AF129" s="222">
        <f t="shared" si="52"/>
        <v>0</v>
      </c>
      <c r="AG129" s="222">
        <f t="shared" si="52"/>
        <v>0</v>
      </c>
      <c r="AH129" s="222">
        <f t="shared" si="52"/>
        <v>0</v>
      </c>
      <c r="AI129" s="222">
        <f t="shared" si="52"/>
        <v>0</v>
      </c>
      <c r="AJ129" s="222">
        <f t="shared" si="52"/>
        <v>0</v>
      </c>
      <c r="AK129" s="222">
        <f t="shared" si="52"/>
        <v>0</v>
      </c>
      <c r="AL129" s="222">
        <f t="shared" si="52"/>
        <v>0</v>
      </c>
      <c r="AM129" s="222">
        <f t="shared" si="52"/>
        <v>0</v>
      </c>
      <c r="AN129" s="222">
        <f t="shared" si="52"/>
        <v>0</v>
      </c>
      <c r="AO129" s="222">
        <f t="shared" si="52"/>
        <v>0</v>
      </c>
      <c r="AP129" s="222">
        <f t="shared" si="52"/>
        <v>900000</v>
      </c>
      <c r="AQ129" s="222">
        <f t="shared" si="52"/>
        <v>0</v>
      </c>
      <c r="AR129" s="74"/>
      <c r="AS129" s="73"/>
      <c r="AT129" s="42"/>
    </row>
    <row r="130" spans="1:46" x14ac:dyDescent="0.2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2097795.2788739572</v>
      </c>
      <c r="K130" s="174">
        <f t="shared" si="53"/>
        <v>3282987.0637584198</v>
      </c>
      <c r="L130" s="174">
        <f t="shared" si="53"/>
        <v>712316.03969474649</v>
      </c>
      <c r="M130" s="174">
        <f t="shared" si="53"/>
        <v>3141247.3201597729</v>
      </c>
      <c r="N130" s="174">
        <f t="shared" si="53"/>
        <v>217066.30754436291</v>
      </c>
      <c r="O130" s="174">
        <f t="shared" si="53"/>
        <v>925205.44524100935</v>
      </c>
      <c r="P130" s="174">
        <f t="shared" si="53"/>
        <v>67839.622828071108</v>
      </c>
      <c r="Q130" s="174">
        <f t="shared" si="53"/>
        <v>678396.2282807111</v>
      </c>
      <c r="R130" s="174">
        <f t="shared" si="53"/>
        <v>440957.54838246224</v>
      </c>
      <c r="S130" s="174">
        <f t="shared" si="53"/>
        <v>1831669.8163579197</v>
      </c>
      <c r="T130" s="174">
        <f t="shared" si="53"/>
        <v>440957.54838246224</v>
      </c>
      <c r="U130" s="174">
        <f t="shared" si="53"/>
        <v>237438.6798982489</v>
      </c>
      <c r="V130" s="174">
        <f t="shared" si="53"/>
        <v>203518.86848421337</v>
      </c>
      <c r="W130" s="174">
        <f t="shared" si="53"/>
        <v>118719.33994912445</v>
      </c>
      <c r="X130" s="174">
        <f t="shared" si="53"/>
        <v>508797.17121053336</v>
      </c>
      <c r="Y130" s="174">
        <f t="shared" si="53"/>
        <v>0</v>
      </c>
      <c r="Z130" s="174">
        <f t="shared" si="53"/>
        <v>0</v>
      </c>
      <c r="AA130" s="174">
        <f t="shared" si="53"/>
        <v>169599.05707017778</v>
      </c>
      <c r="AB130" s="174">
        <f t="shared" si="53"/>
        <v>152639.15136316002</v>
      </c>
      <c r="AC130" s="174">
        <f t="shared" si="53"/>
        <v>1000634.4367140488</v>
      </c>
      <c r="AD130" s="174">
        <f t="shared" si="53"/>
        <v>288318.39701930224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2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6199999.9999999991</v>
      </c>
      <c r="L131" s="174">
        <f t="shared" si="54"/>
        <v>261747.07396265032</v>
      </c>
      <c r="M131" s="174">
        <f t="shared" si="54"/>
        <v>568552.80508545623</v>
      </c>
      <c r="N131" s="174">
        <f t="shared" si="54"/>
        <v>1724928.2927583477</v>
      </c>
      <c r="O131" s="174">
        <f t="shared" si="54"/>
        <v>0</v>
      </c>
      <c r="P131" s="174">
        <f t="shared" si="54"/>
        <v>24928.292758347656</v>
      </c>
      <c r="Q131" s="174">
        <f t="shared" si="54"/>
        <v>249282.92758347656</v>
      </c>
      <c r="R131" s="174">
        <f t="shared" si="54"/>
        <v>162033.90292925976</v>
      </c>
      <c r="S131" s="174">
        <f t="shared" si="54"/>
        <v>673063.9044753866</v>
      </c>
      <c r="T131" s="174">
        <f t="shared" si="54"/>
        <v>162033.90292925976</v>
      </c>
      <c r="U131" s="174">
        <f t="shared" si="54"/>
        <v>87249.024654216802</v>
      </c>
      <c r="V131" s="174">
        <f t="shared" si="54"/>
        <v>74784.878275042982</v>
      </c>
      <c r="W131" s="174">
        <f t="shared" si="54"/>
        <v>43624.512327108401</v>
      </c>
      <c r="X131" s="174">
        <f t="shared" si="54"/>
        <v>186962.19568760743</v>
      </c>
      <c r="Y131" s="174">
        <f t="shared" si="54"/>
        <v>0</v>
      </c>
      <c r="Z131" s="174">
        <f t="shared" si="54"/>
        <v>0</v>
      </c>
      <c r="AA131" s="174">
        <f t="shared" si="54"/>
        <v>62320.731895869139</v>
      </c>
      <c r="AB131" s="174">
        <f t="shared" si="54"/>
        <v>56088.658706282236</v>
      </c>
      <c r="AC131" s="174">
        <f t="shared" si="54"/>
        <v>367692.31818562793</v>
      </c>
      <c r="AD131" s="174">
        <f t="shared" si="54"/>
        <v>105945.24422297755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2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3704076.4857794475</v>
      </c>
      <c r="K132" s="174">
        <f t="shared" si="55"/>
        <v>11300000</v>
      </c>
      <c r="L132" s="174">
        <f t="shared" si="55"/>
        <v>1013244.9167531031</v>
      </c>
      <c r="M132" s="174">
        <f t="shared" si="55"/>
        <v>4665373.6686734324</v>
      </c>
      <c r="N132" s="174">
        <f t="shared" si="55"/>
        <v>296499.51588124793</v>
      </c>
      <c r="O132" s="174">
        <f t="shared" si="55"/>
        <v>1900000</v>
      </c>
      <c r="P132" s="174">
        <f t="shared" si="55"/>
        <v>96499.515881247949</v>
      </c>
      <c r="Q132" s="174">
        <f t="shared" si="55"/>
        <v>964995.15881247947</v>
      </c>
      <c r="R132" s="174">
        <f t="shared" si="55"/>
        <v>627246.85322811163</v>
      </c>
      <c r="S132" s="174">
        <f t="shared" si="55"/>
        <v>2605486.9287936939</v>
      </c>
      <c r="T132" s="174">
        <f t="shared" si="55"/>
        <v>627246.85322811163</v>
      </c>
      <c r="U132" s="174">
        <f t="shared" si="55"/>
        <v>337748.30558436783</v>
      </c>
      <c r="V132" s="174">
        <f t="shared" si="55"/>
        <v>289498.54764374386</v>
      </c>
      <c r="W132" s="174">
        <f t="shared" si="55"/>
        <v>168874.15279218392</v>
      </c>
      <c r="X132" s="174">
        <f t="shared" si="55"/>
        <v>723746.36910935957</v>
      </c>
      <c r="Y132" s="174">
        <f t="shared" si="55"/>
        <v>0</v>
      </c>
      <c r="Z132" s="174">
        <f t="shared" si="55"/>
        <v>0</v>
      </c>
      <c r="AA132" s="174">
        <f t="shared" si="55"/>
        <v>241248.78970311987</v>
      </c>
      <c r="AB132" s="174">
        <f t="shared" si="55"/>
        <v>217123.91073280791</v>
      </c>
      <c r="AC132" s="174">
        <f t="shared" si="55"/>
        <v>1423367.8592484072</v>
      </c>
      <c r="AD132" s="174">
        <f t="shared" si="55"/>
        <v>410122.94249530381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2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14622655.718</v>
      </c>
      <c r="K133" s="175">
        <f t="shared" si="56"/>
        <v>9000000.0000000019</v>
      </c>
      <c r="L133" s="175">
        <f t="shared" si="56"/>
        <v>538316.77825879434</v>
      </c>
      <c r="M133" s="175">
        <f t="shared" si="56"/>
        <v>1740987.7276392083</v>
      </c>
      <c r="N133" s="175">
        <f t="shared" si="56"/>
        <v>2051268.2645960758</v>
      </c>
      <c r="O133" s="175">
        <f t="shared" si="56"/>
        <v>300000</v>
      </c>
      <c r="P133" s="175">
        <f t="shared" si="56"/>
        <v>51268.264596075664</v>
      </c>
      <c r="Q133" s="175">
        <f t="shared" si="56"/>
        <v>512682.64596075664</v>
      </c>
      <c r="R133" s="175">
        <f t="shared" si="56"/>
        <v>333243.7198744918</v>
      </c>
      <c r="S133" s="175">
        <f t="shared" si="56"/>
        <v>1384243.1440940427</v>
      </c>
      <c r="T133" s="175">
        <f t="shared" si="56"/>
        <v>333243.7198744918</v>
      </c>
      <c r="U133" s="175">
        <f t="shared" si="56"/>
        <v>179438.92608626481</v>
      </c>
      <c r="V133" s="175">
        <f t="shared" si="56"/>
        <v>153804.79378822702</v>
      </c>
      <c r="W133" s="175">
        <f t="shared" si="56"/>
        <v>89719.463043132404</v>
      </c>
      <c r="X133" s="175">
        <f t="shared" si="56"/>
        <v>384511.98447056749</v>
      </c>
      <c r="Y133" s="175">
        <f t="shared" si="56"/>
        <v>0</v>
      </c>
      <c r="Z133" s="175">
        <f t="shared" si="56"/>
        <v>0</v>
      </c>
      <c r="AA133" s="175">
        <f t="shared" si="56"/>
        <v>128170.66149018916</v>
      </c>
      <c r="AB133" s="175">
        <f t="shared" si="56"/>
        <v>115353.59534117025</v>
      </c>
      <c r="AC133" s="175">
        <f t="shared" si="56"/>
        <v>756206.90279211605</v>
      </c>
      <c r="AD133" s="175">
        <f t="shared" si="56"/>
        <v>217890.12453332159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2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2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605</v>
      </c>
      <c r="AT135" s="42"/>
    </row>
    <row r="136" spans="1:46" x14ac:dyDescent="0.2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2">
        <f t="shared" ref="J136:AQ136" si="57">J45 + J97 + J116</f>
        <v>0</v>
      </c>
      <c r="K136" s="222">
        <f t="shared" si="57"/>
        <v>7717012.9362415802</v>
      </c>
      <c r="L136" s="222">
        <f t="shared" si="57"/>
        <v>1697711.3829495739</v>
      </c>
      <c r="M136" s="222">
        <f t="shared" si="57"/>
        <v>7389950.338151834</v>
      </c>
      <c r="N136" s="222">
        <f t="shared" si="57"/>
        <v>512460.11365985812</v>
      </c>
      <c r="O136" s="222">
        <f t="shared" si="57"/>
        <v>2174794.5547589906</v>
      </c>
      <c r="P136" s="222">
        <f t="shared" si="57"/>
        <v>161686.79837614993</v>
      </c>
      <c r="Q136" s="222">
        <f t="shared" si="57"/>
        <v>1616867.9837614994</v>
      </c>
      <c r="R136" s="222">
        <f t="shared" si="57"/>
        <v>1050964.1894449745</v>
      </c>
      <c r="S136" s="222">
        <f t="shared" si="57"/>
        <v>4365543.5561560476</v>
      </c>
      <c r="T136" s="222">
        <f t="shared" si="57"/>
        <v>1050964.1894449745</v>
      </c>
      <c r="U136" s="222">
        <f t="shared" si="57"/>
        <v>565903.79431652476</v>
      </c>
      <c r="V136" s="222">
        <f t="shared" si="57"/>
        <v>485060.39512844995</v>
      </c>
      <c r="W136" s="222">
        <f t="shared" si="57"/>
        <v>282951.89715826238</v>
      </c>
      <c r="X136" s="222">
        <f t="shared" si="57"/>
        <v>1212650.9878211245</v>
      </c>
      <c r="Y136" s="222">
        <f t="shared" si="57"/>
        <v>0</v>
      </c>
      <c r="Z136" s="222">
        <f t="shared" si="57"/>
        <v>0</v>
      </c>
      <c r="AA136" s="222">
        <f t="shared" si="57"/>
        <v>404216.99594037485</v>
      </c>
      <c r="AB136" s="222">
        <f t="shared" si="57"/>
        <v>363795.29634633742</v>
      </c>
      <c r="AC136" s="222">
        <f t="shared" si="57"/>
        <v>2384880.2760482118</v>
      </c>
      <c r="AD136" s="222">
        <f t="shared" si="57"/>
        <v>687168.89309863735</v>
      </c>
      <c r="AE136" s="222">
        <f t="shared" si="57"/>
        <v>0</v>
      </c>
      <c r="AF136" s="222">
        <f t="shared" si="57"/>
        <v>0</v>
      </c>
      <c r="AG136" s="222">
        <f t="shared" si="57"/>
        <v>0</v>
      </c>
      <c r="AH136" s="222">
        <f t="shared" si="57"/>
        <v>0</v>
      </c>
      <c r="AI136" s="222">
        <f t="shared" si="57"/>
        <v>0</v>
      </c>
      <c r="AJ136" s="222">
        <f t="shared" si="57"/>
        <v>0</v>
      </c>
      <c r="AK136" s="222">
        <f t="shared" si="57"/>
        <v>0</v>
      </c>
      <c r="AL136" s="222">
        <f t="shared" si="57"/>
        <v>0</v>
      </c>
      <c r="AM136" s="222">
        <f t="shared" si="57"/>
        <v>0</v>
      </c>
      <c r="AN136" s="222">
        <f t="shared" si="57"/>
        <v>0</v>
      </c>
      <c r="AO136" s="222">
        <f t="shared" si="57"/>
        <v>0</v>
      </c>
      <c r="AP136" s="222">
        <f t="shared" si="57"/>
        <v>900000</v>
      </c>
      <c r="AQ136" s="222">
        <f t="shared" si="57"/>
        <v>0</v>
      </c>
      <c r="AR136" s="74"/>
      <c r="AS136" s="73"/>
      <c r="AT136" s="42"/>
    </row>
    <row r="137" spans="1:46" x14ac:dyDescent="0.2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2097795.2788739572</v>
      </c>
      <c r="K137" s="174">
        <f t="shared" si="58"/>
        <v>3282987.0637584198</v>
      </c>
      <c r="L137" s="174">
        <f t="shared" si="58"/>
        <v>722243.76896449272</v>
      </c>
      <c r="M137" s="174">
        <f t="shared" si="58"/>
        <v>3143847.4397304207</v>
      </c>
      <c r="N137" s="174">
        <f t="shared" si="58"/>
        <v>218011.80557005299</v>
      </c>
      <c r="O137" s="174">
        <f t="shared" si="58"/>
        <v>925205.44524100935</v>
      </c>
      <c r="P137" s="174">
        <f t="shared" si="58"/>
        <v>68785.120853761226</v>
      </c>
      <c r="Q137" s="174">
        <f t="shared" si="58"/>
        <v>687851.20853761223</v>
      </c>
      <c r="R137" s="174">
        <f t="shared" si="58"/>
        <v>447103.28554944799</v>
      </c>
      <c r="S137" s="174">
        <f t="shared" si="58"/>
        <v>1857198.2630515529</v>
      </c>
      <c r="T137" s="174">
        <f t="shared" si="58"/>
        <v>447103.28554944799</v>
      </c>
      <c r="U137" s="174">
        <f t="shared" si="58"/>
        <v>240747.9229881643</v>
      </c>
      <c r="V137" s="174">
        <f t="shared" si="58"/>
        <v>206355.36256128372</v>
      </c>
      <c r="W137" s="174">
        <f t="shared" si="58"/>
        <v>120373.96149408215</v>
      </c>
      <c r="X137" s="174">
        <f t="shared" si="58"/>
        <v>515888.4064032092</v>
      </c>
      <c r="Y137" s="174">
        <f t="shared" si="58"/>
        <v>0</v>
      </c>
      <c r="Z137" s="174">
        <f t="shared" si="58"/>
        <v>0</v>
      </c>
      <c r="AA137" s="174">
        <f t="shared" si="58"/>
        <v>171962.80213440306</v>
      </c>
      <c r="AB137" s="174">
        <f t="shared" si="58"/>
        <v>154766.52192096278</v>
      </c>
      <c r="AC137" s="174">
        <f t="shared" si="58"/>
        <v>1014580.5325929781</v>
      </c>
      <c r="AD137" s="174">
        <f t="shared" si="58"/>
        <v>292336.76362848526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2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6199999.9999999991</v>
      </c>
      <c r="L138" s="174">
        <f t="shared" si="60"/>
        <v>265395.10930460755</v>
      </c>
      <c r="M138" s="174">
        <f t="shared" si="60"/>
        <v>569508.24291311158</v>
      </c>
      <c r="N138" s="174">
        <f t="shared" si="60"/>
        <v>1725275.7246956769</v>
      </c>
      <c r="O138" s="174">
        <f t="shared" si="60"/>
        <v>0</v>
      </c>
      <c r="P138" s="174">
        <f t="shared" si="60"/>
        <v>25275.724695676916</v>
      </c>
      <c r="Q138" s="174">
        <f t="shared" si="60"/>
        <v>252757.24695676914</v>
      </c>
      <c r="R138" s="174">
        <f t="shared" si="60"/>
        <v>164292.21052189995</v>
      </c>
      <c r="S138" s="174">
        <f t="shared" si="60"/>
        <v>682444.56678327662</v>
      </c>
      <c r="T138" s="174">
        <f t="shared" si="60"/>
        <v>164292.21052189995</v>
      </c>
      <c r="U138" s="174">
        <f t="shared" si="60"/>
        <v>88465.036434869209</v>
      </c>
      <c r="V138" s="174">
        <f t="shared" si="60"/>
        <v>75827.174087030755</v>
      </c>
      <c r="W138" s="174">
        <f t="shared" si="60"/>
        <v>44232.518217434605</v>
      </c>
      <c r="X138" s="174">
        <f t="shared" si="60"/>
        <v>189567.93521757686</v>
      </c>
      <c r="Y138" s="174">
        <f t="shared" si="60"/>
        <v>0</v>
      </c>
      <c r="Z138" s="174">
        <f t="shared" si="60"/>
        <v>0</v>
      </c>
      <c r="AA138" s="174">
        <f t="shared" si="60"/>
        <v>63189.311739192286</v>
      </c>
      <c r="AB138" s="174">
        <f t="shared" si="60"/>
        <v>56870.380565273066</v>
      </c>
      <c r="AC138" s="174">
        <f t="shared" si="60"/>
        <v>372816.93926123448</v>
      </c>
      <c r="AD138" s="174">
        <f t="shared" si="60"/>
        <v>107421.82995662691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2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3704076.4857794475</v>
      </c>
      <c r="K139" s="174">
        <f t="shared" si="62"/>
        <v>11300000</v>
      </c>
      <c r="L139" s="174">
        <f t="shared" si="62"/>
        <v>1027366.7680900212</v>
      </c>
      <c r="M139" s="174">
        <f t="shared" si="62"/>
        <v>4669072.2487854827</v>
      </c>
      <c r="N139" s="174">
        <f t="shared" si="62"/>
        <v>297844.45410381153</v>
      </c>
      <c r="O139" s="174">
        <f t="shared" si="62"/>
        <v>1900000</v>
      </c>
      <c r="P139" s="174">
        <f t="shared" si="62"/>
        <v>97844.454103811557</v>
      </c>
      <c r="Q139" s="174">
        <f t="shared" si="62"/>
        <v>978444.54103811563</v>
      </c>
      <c r="R139" s="174">
        <f t="shared" si="62"/>
        <v>635988.9516747751</v>
      </c>
      <c r="S139" s="174">
        <f t="shared" si="62"/>
        <v>2641800.2608029116</v>
      </c>
      <c r="T139" s="174">
        <f t="shared" si="62"/>
        <v>635988.9516747751</v>
      </c>
      <c r="U139" s="174">
        <f t="shared" si="62"/>
        <v>342455.58936334046</v>
      </c>
      <c r="V139" s="174">
        <f t="shared" si="62"/>
        <v>293533.36231143476</v>
      </c>
      <c r="W139" s="174">
        <f t="shared" si="62"/>
        <v>171227.79468167023</v>
      </c>
      <c r="X139" s="174">
        <f t="shared" si="62"/>
        <v>733833.40577858675</v>
      </c>
      <c r="Y139" s="174">
        <f t="shared" si="62"/>
        <v>0</v>
      </c>
      <c r="Z139" s="174">
        <f t="shared" si="62"/>
        <v>0</v>
      </c>
      <c r="AA139" s="174">
        <f t="shared" si="62"/>
        <v>244611.13525952891</v>
      </c>
      <c r="AB139" s="174">
        <f t="shared" si="62"/>
        <v>220150.02173357605</v>
      </c>
      <c r="AC139" s="174">
        <f t="shared" si="62"/>
        <v>1443205.6980312206</v>
      </c>
      <c r="AD139" s="174">
        <f t="shared" si="62"/>
        <v>415838.9299411992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2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14622655.718</v>
      </c>
      <c r="K140" s="175">
        <f t="shared" si="64"/>
        <v>9000000.0000000019</v>
      </c>
      <c r="L140" s="175">
        <f t="shared" si="64"/>
        <v>487282.97069130378</v>
      </c>
      <c r="M140" s="175">
        <f t="shared" si="64"/>
        <v>1727621.7304191513</v>
      </c>
      <c r="N140" s="175">
        <f t="shared" si="64"/>
        <v>2046407.9019706005</v>
      </c>
      <c r="O140" s="175">
        <f t="shared" si="64"/>
        <v>300000</v>
      </c>
      <c r="P140" s="175">
        <f t="shared" si="64"/>
        <v>46407.901970600367</v>
      </c>
      <c r="Q140" s="175">
        <f t="shared" si="64"/>
        <v>464079.01970600366</v>
      </c>
      <c r="R140" s="175">
        <f t="shared" si="64"/>
        <v>301651.3628089024</v>
      </c>
      <c r="S140" s="175">
        <f t="shared" si="64"/>
        <v>1253013.3532062098</v>
      </c>
      <c r="T140" s="175">
        <f t="shared" si="64"/>
        <v>301651.3628089024</v>
      </c>
      <c r="U140" s="175">
        <f t="shared" si="64"/>
        <v>162427.65689710129</v>
      </c>
      <c r="V140" s="175">
        <f t="shared" si="64"/>
        <v>139223.70591180114</v>
      </c>
      <c r="W140" s="175">
        <f t="shared" si="64"/>
        <v>81213.828448550645</v>
      </c>
      <c r="X140" s="175">
        <f t="shared" si="64"/>
        <v>348059.26477950276</v>
      </c>
      <c r="Y140" s="175">
        <f t="shared" si="64"/>
        <v>0</v>
      </c>
      <c r="Z140" s="175">
        <f t="shared" si="64"/>
        <v>0</v>
      </c>
      <c r="AA140" s="175">
        <f t="shared" si="64"/>
        <v>116019.75492650091</v>
      </c>
      <c r="AB140" s="175">
        <f t="shared" si="64"/>
        <v>104417.77943385084</v>
      </c>
      <c r="AC140" s="175">
        <f t="shared" si="64"/>
        <v>684516.55406635546</v>
      </c>
      <c r="AD140" s="175">
        <f t="shared" si="64"/>
        <v>197233.58337505159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25">
      <c r="A142" s="73"/>
      <c r="B142" s="73"/>
      <c r="C142" s="109"/>
      <c r="D142" s="109"/>
      <c r="E142" s="115" t="s">
        <v>493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25">
      <c r="A143" s="73"/>
      <c r="B143" s="73"/>
      <c r="C143" s="73"/>
      <c r="D143" s="73"/>
      <c r="E143" s="115" t="s">
        <v>525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8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H86 &amp; IF(H86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552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457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553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458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640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7717012.9362415802</v>
      </c>
      <c r="L21" s="156">
        <f>Expenditure!L129</f>
        <v>1674375.1913307046</v>
      </c>
      <c r="M21" s="156">
        <f>Expenditure!M129</f>
        <v>7383838.4784421306</v>
      </c>
      <c r="N21" s="156">
        <f>Expenditure!N129</f>
        <v>510237.61921996583</v>
      </c>
      <c r="O21" s="156">
        <f>Expenditure!O129</f>
        <v>2174794.5547589906</v>
      </c>
      <c r="P21" s="156">
        <f>Expenditure!P129</f>
        <v>159464.30393625761</v>
      </c>
      <c r="Q21" s="156">
        <f>Expenditure!Q129</f>
        <v>1594643.0393625761</v>
      </c>
      <c r="R21" s="156">
        <f>Expenditure!R129</f>
        <v>1036517.9755856745</v>
      </c>
      <c r="S21" s="156">
        <f>Expenditure!S129</f>
        <v>4305536.2062789546</v>
      </c>
      <c r="T21" s="156">
        <f>Expenditure!T129</f>
        <v>1036517.9755856745</v>
      </c>
      <c r="U21" s="156">
        <f>Expenditure!U129</f>
        <v>558125.06377690169</v>
      </c>
      <c r="V21" s="156">
        <f>Expenditure!V129</f>
        <v>478392.91180877294</v>
      </c>
      <c r="W21" s="156">
        <f>Expenditure!W129</f>
        <v>279062.53188845085</v>
      </c>
      <c r="X21" s="156">
        <f>Expenditure!X129</f>
        <v>1195982.2795219321</v>
      </c>
      <c r="Y21" s="156">
        <f>Expenditure!Y129</f>
        <v>0</v>
      </c>
      <c r="Z21" s="156">
        <f>Expenditure!Z129</f>
        <v>0</v>
      </c>
      <c r="AA21" s="156">
        <f>Expenditure!AA129</f>
        <v>398660.75984064402</v>
      </c>
      <c r="AB21" s="156">
        <f>Expenditure!AB129</f>
        <v>358794.68385657965</v>
      </c>
      <c r="AC21" s="156">
        <f>Expenditure!AC129</f>
        <v>2352098.4830597998</v>
      </c>
      <c r="AD21" s="156">
        <f>Expenditure!AD129</f>
        <v>677723.29172909493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900000</v>
      </c>
      <c r="AQ21" s="156">
        <f>Expenditure!AQ129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2097795.2788739572</v>
      </c>
      <c r="K22" s="152">
        <f>Expenditure!K130</f>
        <v>3282987.0637584198</v>
      </c>
      <c r="L22" s="152">
        <f>Expenditure!L130</f>
        <v>712316.03969474649</v>
      </c>
      <c r="M22" s="152">
        <f>Expenditure!M130</f>
        <v>3141247.3201597729</v>
      </c>
      <c r="N22" s="152">
        <f>Expenditure!N130</f>
        <v>217066.30754436291</v>
      </c>
      <c r="O22" s="152">
        <f>Expenditure!O130</f>
        <v>925205.44524100935</v>
      </c>
      <c r="P22" s="152">
        <f>Expenditure!P130</f>
        <v>67839.622828071108</v>
      </c>
      <c r="Q22" s="152">
        <f>Expenditure!Q130</f>
        <v>678396.2282807111</v>
      </c>
      <c r="R22" s="152">
        <f>Expenditure!R130</f>
        <v>440957.54838246224</v>
      </c>
      <c r="S22" s="152">
        <f>Expenditure!S130</f>
        <v>1831669.8163579197</v>
      </c>
      <c r="T22" s="152">
        <f>Expenditure!T130</f>
        <v>440957.54838246224</v>
      </c>
      <c r="U22" s="152">
        <f>Expenditure!U130</f>
        <v>237438.6798982489</v>
      </c>
      <c r="V22" s="152">
        <f>Expenditure!V130</f>
        <v>203518.86848421337</v>
      </c>
      <c r="W22" s="152">
        <f>Expenditure!W130</f>
        <v>118719.33994912445</v>
      </c>
      <c r="X22" s="152">
        <f>Expenditure!X130</f>
        <v>508797.17121053336</v>
      </c>
      <c r="Y22" s="152">
        <f>Expenditure!Y130</f>
        <v>0</v>
      </c>
      <c r="Z22" s="152">
        <f>Expenditure!Z130</f>
        <v>0</v>
      </c>
      <c r="AA22" s="152">
        <f>Expenditure!AA130</f>
        <v>169599.05707017778</v>
      </c>
      <c r="AB22" s="152">
        <f>Expenditure!AB130</f>
        <v>152639.15136316002</v>
      </c>
      <c r="AC22" s="152">
        <f>Expenditure!AC130</f>
        <v>1000634.4367140488</v>
      </c>
      <c r="AD22" s="152">
        <f>Expenditure!AD130</f>
        <v>288318.39701930224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6199999.9999999991</v>
      </c>
      <c r="L23" s="152">
        <f>Expenditure!L131</f>
        <v>261747.07396265032</v>
      </c>
      <c r="M23" s="152">
        <f>Expenditure!M131</f>
        <v>568552.80508545623</v>
      </c>
      <c r="N23" s="152">
        <f>Expenditure!N131</f>
        <v>1724928.2927583477</v>
      </c>
      <c r="O23" s="152">
        <f>Expenditure!O131</f>
        <v>0</v>
      </c>
      <c r="P23" s="152">
        <f>Expenditure!P131</f>
        <v>24928.292758347656</v>
      </c>
      <c r="Q23" s="152">
        <f>Expenditure!Q131</f>
        <v>249282.92758347656</v>
      </c>
      <c r="R23" s="152">
        <f>Expenditure!R131</f>
        <v>162033.90292925976</v>
      </c>
      <c r="S23" s="152">
        <f>Expenditure!S131</f>
        <v>673063.9044753866</v>
      </c>
      <c r="T23" s="152">
        <f>Expenditure!T131</f>
        <v>162033.90292925976</v>
      </c>
      <c r="U23" s="152">
        <f>Expenditure!U131</f>
        <v>87249.024654216802</v>
      </c>
      <c r="V23" s="152">
        <f>Expenditure!V131</f>
        <v>74784.878275042982</v>
      </c>
      <c r="W23" s="152">
        <f>Expenditure!W131</f>
        <v>43624.512327108401</v>
      </c>
      <c r="X23" s="152">
        <f>Expenditure!X131</f>
        <v>186962.19568760743</v>
      </c>
      <c r="Y23" s="152">
        <f>Expenditure!Y131</f>
        <v>0</v>
      </c>
      <c r="Z23" s="152">
        <f>Expenditure!Z131</f>
        <v>0</v>
      </c>
      <c r="AA23" s="152">
        <f>Expenditure!AA131</f>
        <v>62320.731895869139</v>
      </c>
      <c r="AB23" s="152">
        <f>Expenditure!AB131</f>
        <v>56088.658706282236</v>
      </c>
      <c r="AC23" s="152">
        <f>Expenditure!AC131</f>
        <v>367692.31818562793</v>
      </c>
      <c r="AD23" s="152">
        <f>Expenditure!AD131</f>
        <v>105945.24422297755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3704076.4857794475</v>
      </c>
      <c r="K24" s="152">
        <f>Expenditure!K132</f>
        <v>11300000</v>
      </c>
      <c r="L24" s="152">
        <f>Expenditure!L132</f>
        <v>1013244.9167531031</v>
      </c>
      <c r="M24" s="152">
        <f>Expenditure!M132</f>
        <v>4665373.6686734324</v>
      </c>
      <c r="N24" s="152">
        <f>Expenditure!N132</f>
        <v>296499.51588124793</v>
      </c>
      <c r="O24" s="152">
        <f>Expenditure!O132</f>
        <v>1900000</v>
      </c>
      <c r="P24" s="152">
        <f>Expenditure!P132</f>
        <v>96499.515881247949</v>
      </c>
      <c r="Q24" s="152">
        <f>Expenditure!Q132</f>
        <v>964995.15881247947</v>
      </c>
      <c r="R24" s="152">
        <f>Expenditure!R132</f>
        <v>627246.85322811163</v>
      </c>
      <c r="S24" s="152">
        <f>Expenditure!S132</f>
        <v>2605486.9287936939</v>
      </c>
      <c r="T24" s="152">
        <f>Expenditure!T132</f>
        <v>627246.85322811163</v>
      </c>
      <c r="U24" s="152">
        <f>Expenditure!U132</f>
        <v>337748.30558436783</v>
      </c>
      <c r="V24" s="152">
        <f>Expenditure!V132</f>
        <v>289498.54764374386</v>
      </c>
      <c r="W24" s="152">
        <f>Expenditure!W132</f>
        <v>168874.15279218392</v>
      </c>
      <c r="X24" s="152">
        <f>Expenditure!X132</f>
        <v>723746.36910935957</v>
      </c>
      <c r="Y24" s="152">
        <f>Expenditure!Y132</f>
        <v>0</v>
      </c>
      <c r="Z24" s="152">
        <f>Expenditure!Z132</f>
        <v>0</v>
      </c>
      <c r="AA24" s="152">
        <f>Expenditure!AA132</f>
        <v>241248.78970311987</v>
      </c>
      <c r="AB24" s="152">
        <f>Expenditure!AB132</f>
        <v>217123.91073280791</v>
      </c>
      <c r="AC24" s="152">
        <f>Expenditure!AC132</f>
        <v>1423367.8592484072</v>
      </c>
      <c r="AD24" s="152">
        <f>Expenditure!AD132</f>
        <v>410122.94249530381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14622655.718</v>
      </c>
      <c r="K25" s="162">
        <f>Expenditure!K133</f>
        <v>9000000.0000000019</v>
      </c>
      <c r="L25" s="162">
        <f>Expenditure!L133</f>
        <v>538316.77825879434</v>
      </c>
      <c r="M25" s="162">
        <f>Expenditure!M133</f>
        <v>1740987.7276392083</v>
      </c>
      <c r="N25" s="162">
        <f>Expenditure!N133</f>
        <v>2051268.2645960758</v>
      </c>
      <c r="O25" s="162">
        <f>Expenditure!O133</f>
        <v>300000</v>
      </c>
      <c r="P25" s="162">
        <f>Expenditure!P133</f>
        <v>51268.264596075664</v>
      </c>
      <c r="Q25" s="162">
        <f>Expenditure!Q133</f>
        <v>512682.64596075664</v>
      </c>
      <c r="R25" s="162">
        <f>Expenditure!R133</f>
        <v>333243.7198744918</v>
      </c>
      <c r="S25" s="162">
        <f>Expenditure!S133</f>
        <v>1384243.1440940427</v>
      </c>
      <c r="T25" s="162">
        <f>Expenditure!T133</f>
        <v>333243.7198744918</v>
      </c>
      <c r="U25" s="162">
        <f>Expenditure!U133</f>
        <v>179438.92608626481</v>
      </c>
      <c r="V25" s="162">
        <f>Expenditure!V133</f>
        <v>153804.79378822702</v>
      </c>
      <c r="W25" s="162">
        <f>Expenditure!W133</f>
        <v>89719.463043132404</v>
      </c>
      <c r="X25" s="162">
        <f>Expenditure!X133</f>
        <v>384511.98447056749</v>
      </c>
      <c r="Y25" s="162">
        <f>Expenditure!Y133</f>
        <v>0</v>
      </c>
      <c r="Z25" s="162">
        <f>Expenditure!Z133</f>
        <v>0</v>
      </c>
      <c r="AA25" s="162">
        <f>Expenditure!AA133</f>
        <v>128170.66149018916</v>
      </c>
      <c r="AB25" s="162">
        <f>Expenditure!AB133</f>
        <v>115353.59534117025</v>
      </c>
      <c r="AC25" s="162">
        <f>Expenditure!AC133</f>
        <v>756206.90279211605</v>
      </c>
      <c r="AD25" s="162">
        <f>Expenditure!AD133</f>
        <v>217890.12453332159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2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7717012.9362415802</v>
      </c>
      <c r="L28" s="156">
        <f>Expenditure!L136</f>
        <v>1697711.3829495739</v>
      </c>
      <c r="M28" s="156">
        <f>Expenditure!M136</f>
        <v>7389950.338151834</v>
      </c>
      <c r="N28" s="156">
        <f>Expenditure!N136</f>
        <v>512460.11365985812</v>
      </c>
      <c r="O28" s="156">
        <f>Expenditure!O136</f>
        <v>2174794.5547589906</v>
      </c>
      <c r="P28" s="156">
        <f>Expenditure!P136</f>
        <v>161686.79837614993</v>
      </c>
      <c r="Q28" s="156">
        <f>Expenditure!Q136</f>
        <v>1616867.9837614994</v>
      </c>
      <c r="R28" s="156">
        <f>Expenditure!R136</f>
        <v>1050964.1894449745</v>
      </c>
      <c r="S28" s="156">
        <f>Expenditure!S136</f>
        <v>4365543.5561560476</v>
      </c>
      <c r="T28" s="156">
        <f>Expenditure!T136</f>
        <v>1050964.1894449745</v>
      </c>
      <c r="U28" s="156">
        <f>Expenditure!U136</f>
        <v>565903.79431652476</v>
      </c>
      <c r="V28" s="156">
        <f>Expenditure!V136</f>
        <v>485060.39512844995</v>
      </c>
      <c r="W28" s="156">
        <f>Expenditure!W136</f>
        <v>282951.89715826238</v>
      </c>
      <c r="X28" s="156">
        <f>Expenditure!X136</f>
        <v>1212650.9878211245</v>
      </c>
      <c r="Y28" s="156">
        <f>Expenditure!Y136</f>
        <v>0</v>
      </c>
      <c r="Z28" s="156">
        <f>Expenditure!Z136</f>
        <v>0</v>
      </c>
      <c r="AA28" s="156">
        <f>Expenditure!AA136</f>
        <v>404216.99594037485</v>
      </c>
      <c r="AB28" s="156">
        <f>Expenditure!AB136</f>
        <v>363795.29634633742</v>
      </c>
      <c r="AC28" s="156">
        <f>Expenditure!AC136</f>
        <v>2384880.2760482118</v>
      </c>
      <c r="AD28" s="156">
        <f>Expenditure!AD136</f>
        <v>687168.89309863735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900000</v>
      </c>
      <c r="AQ28" s="156">
        <f>Expenditure!AQ136</f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2097795.2788739572</v>
      </c>
      <c r="K29" s="152">
        <f>Expenditure!K137</f>
        <v>3282987.0637584198</v>
      </c>
      <c r="L29" s="152">
        <f>Expenditure!L137</f>
        <v>722243.76896449272</v>
      </c>
      <c r="M29" s="152">
        <f>Expenditure!M137</f>
        <v>3143847.4397304207</v>
      </c>
      <c r="N29" s="152">
        <f>Expenditure!N137</f>
        <v>218011.80557005299</v>
      </c>
      <c r="O29" s="152">
        <f>Expenditure!O137</f>
        <v>925205.44524100935</v>
      </c>
      <c r="P29" s="152">
        <f>Expenditure!P137</f>
        <v>68785.120853761226</v>
      </c>
      <c r="Q29" s="152">
        <f>Expenditure!Q137</f>
        <v>687851.20853761223</v>
      </c>
      <c r="R29" s="152">
        <f>Expenditure!R137</f>
        <v>447103.28554944799</v>
      </c>
      <c r="S29" s="152">
        <f>Expenditure!S137</f>
        <v>1857198.2630515529</v>
      </c>
      <c r="T29" s="152">
        <f>Expenditure!T137</f>
        <v>447103.28554944799</v>
      </c>
      <c r="U29" s="152">
        <f>Expenditure!U137</f>
        <v>240747.9229881643</v>
      </c>
      <c r="V29" s="152">
        <f>Expenditure!V137</f>
        <v>206355.36256128372</v>
      </c>
      <c r="W29" s="152">
        <f>Expenditure!W137</f>
        <v>120373.96149408215</v>
      </c>
      <c r="X29" s="152">
        <f>Expenditure!X137</f>
        <v>515888.4064032092</v>
      </c>
      <c r="Y29" s="152">
        <f>Expenditure!Y137</f>
        <v>0</v>
      </c>
      <c r="Z29" s="152">
        <f>Expenditure!Z137</f>
        <v>0</v>
      </c>
      <c r="AA29" s="152">
        <f>Expenditure!AA137</f>
        <v>171962.80213440306</v>
      </c>
      <c r="AB29" s="152">
        <f>Expenditure!AB137</f>
        <v>154766.52192096278</v>
      </c>
      <c r="AC29" s="152">
        <f>Expenditure!AC137</f>
        <v>1014580.5325929781</v>
      </c>
      <c r="AD29" s="152">
        <f>Expenditure!AD137</f>
        <v>292336.76362848526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6199999.9999999991</v>
      </c>
      <c r="L30" s="152">
        <f>Expenditure!L138</f>
        <v>265395.10930460755</v>
      </c>
      <c r="M30" s="152">
        <f>Expenditure!M138</f>
        <v>569508.24291311158</v>
      </c>
      <c r="N30" s="152">
        <f>Expenditure!N138</f>
        <v>1725275.7246956769</v>
      </c>
      <c r="O30" s="152">
        <f>Expenditure!O138</f>
        <v>0</v>
      </c>
      <c r="P30" s="152">
        <f>Expenditure!P138</f>
        <v>25275.724695676916</v>
      </c>
      <c r="Q30" s="152">
        <f>Expenditure!Q138</f>
        <v>252757.24695676914</v>
      </c>
      <c r="R30" s="152">
        <f>Expenditure!R138</f>
        <v>164292.21052189995</v>
      </c>
      <c r="S30" s="152">
        <f>Expenditure!S138</f>
        <v>682444.56678327662</v>
      </c>
      <c r="T30" s="152">
        <f>Expenditure!T138</f>
        <v>164292.21052189995</v>
      </c>
      <c r="U30" s="152">
        <f>Expenditure!U138</f>
        <v>88465.036434869209</v>
      </c>
      <c r="V30" s="152">
        <f>Expenditure!V138</f>
        <v>75827.174087030755</v>
      </c>
      <c r="W30" s="152">
        <f>Expenditure!W138</f>
        <v>44232.518217434605</v>
      </c>
      <c r="X30" s="152">
        <f>Expenditure!X138</f>
        <v>189567.93521757686</v>
      </c>
      <c r="Y30" s="152">
        <f>Expenditure!Y138</f>
        <v>0</v>
      </c>
      <c r="Z30" s="152">
        <f>Expenditure!Z138</f>
        <v>0</v>
      </c>
      <c r="AA30" s="152">
        <f>Expenditure!AA138</f>
        <v>63189.311739192286</v>
      </c>
      <c r="AB30" s="152">
        <f>Expenditure!AB138</f>
        <v>56870.380565273066</v>
      </c>
      <c r="AC30" s="152">
        <f>Expenditure!AC138</f>
        <v>372816.93926123448</v>
      </c>
      <c r="AD30" s="152">
        <f>Expenditure!AD138</f>
        <v>107421.82995662691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3704076.4857794475</v>
      </c>
      <c r="K31" s="152">
        <f>Expenditure!K139</f>
        <v>11300000</v>
      </c>
      <c r="L31" s="152">
        <f>Expenditure!L139</f>
        <v>1027366.7680900212</v>
      </c>
      <c r="M31" s="152">
        <f>Expenditure!M139</f>
        <v>4669072.2487854827</v>
      </c>
      <c r="N31" s="152">
        <f>Expenditure!N139</f>
        <v>297844.45410381153</v>
      </c>
      <c r="O31" s="152">
        <f>Expenditure!O139</f>
        <v>1900000</v>
      </c>
      <c r="P31" s="152">
        <f>Expenditure!P139</f>
        <v>97844.454103811557</v>
      </c>
      <c r="Q31" s="152">
        <f>Expenditure!Q139</f>
        <v>978444.54103811563</v>
      </c>
      <c r="R31" s="152">
        <f>Expenditure!R139</f>
        <v>635988.9516747751</v>
      </c>
      <c r="S31" s="152">
        <f>Expenditure!S139</f>
        <v>2641800.2608029116</v>
      </c>
      <c r="T31" s="152">
        <f>Expenditure!T139</f>
        <v>635988.9516747751</v>
      </c>
      <c r="U31" s="152">
        <f>Expenditure!U139</f>
        <v>342455.58936334046</v>
      </c>
      <c r="V31" s="152">
        <f>Expenditure!V139</f>
        <v>293533.36231143476</v>
      </c>
      <c r="W31" s="152">
        <f>Expenditure!W139</f>
        <v>171227.79468167023</v>
      </c>
      <c r="X31" s="152">
        <f>Expenditure!X139</f>
        <v>733833.40577858675</v>
      </c>
      <c r="Y31" s="152">
        <f>Expenditure!Y139</f>
        <v>0</v>
      </c>
      <c r="Z31" s="152">
        <f>Expenditure!Z139</f>
        <v>0</v>
      </c>
      <c r="AA31" s="152">
        <f>Expenditure!AA139</f>
        <v>244611.13525952891</v>
      </c>
      <c r="AB31" s="152">
        <f>Expenditure!AB139</f>
        <v>220150.02173357605</v>
      </c>
      <c r="AC31" s="152">
        <f>Expenditure!AC139</f>
        <v>1443205.6980312206</v>
      </c>
      <c r="AD31" s="152">
        <f>Expenditure!AD139</f>
        <v>415838.9299411992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14622655.718</v>
      </c>
      <c r="K32" s="162">
        <f>Expenditure!K140</f>
        <v>9000000.0000000019</v>
      </c>
      <c r="L32" s="162">
        <f>Expenditure!L140</f>
        <v>487282.97069130378</v>
      </c>
      <c r="M32" s="162">
        <f>Expenditure!M140</f>
        <v>1727621.7304191513</v>
      </c>
      <c r="N32" s="162">
        <f>Expenditure!N140</f>
        <v>2046407.9019706005</v>
      </c>
      <c r="O32" s="162">
        <f>Expenditure!O140</f>
        <v>300000</v>
      </c>
      <c r="P32" s="162">
        <f>Expenditure!P140</f>
        <v>46407.901970600367</v>
      </c>
      <c r="Q32" s="162">
        <f>Expenditure!Q140</f>
        <v>464079.01970600366</v>
      </c>
      <c r="R32" s="162">
        <f>Expenditure!R140</f>
        <v>301651.3628089024</v>
      </c>
      <c r="S32" s="162">
        <f>Expenditure!S140</f>
        <v>1253013.3532062098</v>
      </c>
      <c r="T32" s="162">
        <f>Expenditure!T140</f>
        <v>301651.3628089024</v>
      </c>
      <c r="U32" s="162">
        <f>Expenditure!U140</f>
        <v>162427.65689710129</v>
      </c>
      <c r="V32" s="162">
        <f>Expenditure!V140</f>
        <v>139223.70591180114</v>
      </c>
      <c r="W32" s="162">
        <f>Expenditure!W140</f>
        <v>81213.828448550645</v>
      </c>
      <c r="X32" s="162">
        <f>Expenditure!X140</f>
        <v>348059.26477950276</v>
      </c>
      <c r="Y32" s="162">
        <f>Expenditure!Y140</f>
        <v>0</v>
      </c>
      <c r="Z32" s="162">
        <f>Expenditure!Z140</f>
        <v>0</v>
      </c>
      <c r="AA32" s="162">
        <f>Expenditure!AA140</f>
        <v>116019.75492650091</v>
      </c>
      <c r="AB32" s="162">
        <f>Expenditure!AB140</f>
        <v>104417.77943385084</v>
      </c>
      <c r="AC32" s="162">
        <f>Expenditure!AC140</f>
        <v>684516.55406635546</v>
      </c>
      <c r="AD32" s="162">
        <f>Expenditure!AD140</f>
        <v>197233.58337505159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101"/>
      <c r="C34" s="110" t="s">
        <v>641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2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2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574</v>
      </c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101"/>
      <c r="C40" s="110" t="s">
        <v>642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2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115"/>
      <c r="B42" s="73"/>
      <c r="C42" s="73"/>
      <c r="D42" s="109"/>
      <c r="E42" s="112" t="s">
        <v>554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574</v>
      </c>
      <c r="AT42" s="42"/>
    </row>
    <row r="43" spans="1:46" x14ac:dyDescent="0.2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16728452.772275632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2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6733772.0073850676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2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3024775.3290351662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10166625.042114522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5743034.8491896121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42396660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575</v>
      </c>
      <c r="AT49" s="42"/>
    </row>
    <row r="50" spans="1:46" x14ac:dyDescent="0.25">
      <c r="A50" s="73"/>
      <c r="B50" s="73"/>
      <c r="C50" s="73"/>
      <c r="D50" s="73"/>
      <c r="E50" s="115" t="s">
        <v>488</v>
      </c>
      <c r="F50" s="73"/>
      <c r="G50" s="115" t="s">
        <v>471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25">
      <c r="A52" s="115"/>
      <c r="B52" s="73"/>
      <c r="C52" s="73"/>
      <c r="D52" s="73"/>
      <c r="E52" s="112" t="s">
        <v>555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574</v>
      </c>
      <c r="AT52" s="42"/>
    </row>
    <row r="53" spans="1:46" x14ac:dyDescent="0.2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16848079.424500611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2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6784663.8168170461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2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3043475.9920346881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2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10239016.8799193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2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5481423.8867283529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2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25">
      <c r="A59" s="115"/>
      <c r="B59" s="73"/>
      <c r="C59" s="73"/>
      <c r="D59" s="73"/>
      <c r="E59" s="115" t="s">
        <v>528</v>
      </c>
      <c r="F59" s="73"/>
      <c r="G59" s="115" t="str">
        <f>Expenditure!G$19</f>
        <v>£ per year</v>
      </c>
      <c r="H59" s="130">
        <f>SUM(H53:H57)</f>
        <v>42396660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575</v>
      </c>
      <c r="AT59" s="42"/>
    </row>
    <row r="60" spans="1:46" x14ac:dyDescent="0.25">
      <c r="A60" s="73"/>
      <c r="B60" s="73"/>
      <c r="C60" s="73"/>
      <c r="D60" s="73"/>
      <c r="E60" s="115" t="s">
        <v>529</v>
      </c>
      <c r="F60" s="73"/>
      <c r="G60" s="115" t="s">
        <v>471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73"/>
      <c r="D62" s="73"/>
      <c r="E62" s="115" t="s">
        <v>275</v>
      </c>
      <c r="F62" s="73"/>
      <c r="G62" s="115" t="s">
        <v>231</v>
      </c>
      <c r="H62" s="136">
        <f>IF(H49 = H59, 0, 1)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1"/>
      <c r="C64" s="110" t="s">
        <v>643</v>
      </c>
      <c r="D64" s="110"/>
      <c r="E64" s="110"/>
      <c r="F64" s="110"/>
      <c r="G64" s="110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0"/>
      <c r="AT64" s="42"/>
    </row>
    <row r="65" spans="1:46" x14ac:dyDescent="0.25">
      <c r="A65" s="73"/>
      <c r="B65" s="73"/>
      <c r="C65" s="109"/>
      <c r="D65" s="109"/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115"/>
      <c r="B66" s="73"/>
      <c r="C66" s="73"/>
      <c r="D66" s="109"/>
      <c r="E66" s="112" t="s">
        <v>274</v>
      </c>
      <c r="F66" s="73"/>
      <c r="G66" s="73"/>
      <c r="H66" s="74"/>
      <c r="I66" s="132" t="s">
        <v>314</v>
      </c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115" t="s">
        <v>575</v>
      </c>
      <c r="AT66" s="42"/>
    </row>
    <row r="67" spans="1:46" x14ac:dyDescent="0.25">
      <c r="A67" s="73"/>
      <c r="B67" s="73"/>
      <c r="C67" s="73"/>
      <c r="D67" s="73"/>
      <c r="E67" s="73"/>
      <c r="F67" s="113" t="s">
        <v>287</v>
      </c>
      <c r="G67" s="113" t="s">
        <v>44</v>
      </c>
      <c r="H67" s="153">
        <f>IF(H$50, H43 / H$49, 0)</f>
        <v>0.39457006217649299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74"/>
      <c r="AS67" s="73"/>
      <c r="AT67" s="42"/>
    </row>
    <row r="68" spans="1:46" x14ac:dyDescent="0.25">
      <c r="A68" s="73"/>
      <c r="B68" s="73"/>
      <c r="C68" s="73"/>
      <c r="D68" s="73"/>
      <c r="E68" s="73"/>
      <c r="F68" s="115" t="s">
        <v>288</v>
      </c>
      <c r="G68" s="115" t="s">
        <v>44</v>
      </c>
      <c r="H68" s="154">
        <f>IF(H$50, H44 / H$49, 0)</f>
        <v>0.15882788897486425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25">
      <c r="A69" s="73"/>
      <c r="B69" s="73"/>
      <c r="C69" s="73"/>
      <c r="D69" s="73"/>
      <c r="E69" s="73"/>
      <c r="F69" s="115" t="s">
        <v>289</v>
      </c>
      <c r="G69" s="115" t="s">
        <v>44</v>
      </c>
      <c r="H69" s="154">
        <f>IF(H$50, H45 / H$49, 0)</f>
        <v>7.1344660853830608E-2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25">
      <c r="A70" s="73"/>
      <c r="B70" s="73"/>
      <c r="C70" s="73"/>
      <c r="D70" s="73"/>
      <c r="E70" s="73"/>
      <c r="F70" s="115" t="s">
        <v>290</v>
      </c>
      <c r="G70" s="115" t="s">
        <v>44</v>
      </c>
      <c r="H70" s="154">
        <f>IF(H$50, H46 / H$49, 0)</f>
        <v>0.23979778223365997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25">
      <c r="A71" s="73"/>
      <c r="B71" s="73"/>
      <c r="C71" s="73"/>
      <c r="D71" s="73"/>
      <c r="E71" s="73"/>
      <c r="F71" s="117" t="s">
        <v>291</v>
      </c>
      <c r="G71" s="117" t="s">
        <v>44</v>
      </c>
      <c r="H71" s="155">
        <f>IF(H$50, H47 / H$49, 0)</f>
        <v>0.13545960576115224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25">
      <c r="A72" s="73"/>
      <c r="B72" s="73"/>
      <c r="C72" s="73"/>
      <c r="D72" s="73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73"/>
      <c r="E73" s="115" t="s">
        <v>239</v>
      </c>
      <c r="F73" s="73"/>
      <c r="G73" s="115" t="s">
        <v>231</v>
      </c>
      <c r="H73" s="136">
        <f>IF(SUM(H67:H71)= 1, 0, 1)</f>
        <v>0</v>
      </c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74"/>
      <c r="AS73" s="73"/>
      <c r="AT73" s="42"/>
    </row>
    <row r="74" spans="1:46" x14ac:dyDescent="0.25">
      <c r="A74" s="73"/>
      <c r="B74" s="73"/>
      <c r="C74" s="73"/>
      <c r="D74" s="73"/>
      <c r="E74" s="109"/>
      <c r="F74" s="73"/>
      <c r="G74" s="73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3"/>
      <c r="AT74" s="42"/>
    </row>
    <row r="75" spans="1:46" x14ac:dyDescent="0.25">
      <c r="A75" s="115"/>
      <c r="B75" s="73"/>
      <c r="C75" s="73"/>
      <c r="D75" s="73"/>
      <c r="E75" s="112" t="s">
        <v>266</v>
      </c>
      <c r="F75" s="73"/>
      <c r="G75" s="73"/>
      <c r="H75" s="74"/>
      <c r="I75" s="132" t="s">
        <v>314</v>
      </c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115" t="s">
        <v>575</v>
      </c>
      <c r="AT75" s="42"/>
    </row>
    <row r="76" spans="1:46" x14ac:dyDescent="0.25">
      <c r="A76" s="73"/>
      <c r="B76" s="73"/>
      <c r="C76" s="73"/>
      <c r="D76" s="73"/>
      <c r="E76" s="73"/>
      <c r="F76" s="113" t="s">
        <v>282</v>
      </c>
      <c r="G76" s="113" t="s">
        <v>44</v>
      </c>
      <c r="H76" s="153">
        <f>IF(H$60, H53 / H$59, 0)</f>
        <v>0.39739166775167217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">
        <v>283</v>
      </c>
      <c r="G77" s="115" t="s">
        <v>44</v>
      </c>
      <c r="H77" s="154">
        <f>IF(H$60, H54 / H$59, 0)</f>
        <v>0.16002826205689424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5" t="s">
        <v>284</v>
      </c>
      <c r="G78" s="115" t="s">
        <v>44</v>
      </c>
      <c r="H78" s="154">
        <f>IF(H$60, H55 / H$59, 0)</f>
        <v>7.1785748972553215E-2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115" t="s">
        <v>285</v>
      </c>
      <c r="G79" s="115" t="s">
        <v>44</v>
      </c>
      <c r="H79" s="154">
        <f>IF(H$60, H56 / H$59, 0)</f>
        <v>0.24150527140391012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25">
      <c r="A80" s="73"/>
      <c r="B80" s="73"/>
      <c r="C80" s="73"/>
      <c r="D80" s="73"/>
      <c r="E80" s="73"/>
      <c r="F80" s="117" t="s">
        <v>286</v>
      </c>
      <c r="G80" s="117" t="s">
        <v>44</v>
      </c>
      <c r="H80" s="155">
        <f>IF(H$60, H57 / H$59, 0)</f>
        <v>0.12928904981497016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3"/>
      <c r="AT81" s="42"/>
    </row>
    <row r="82" spans="1:46" x14ac:dyDescent="0.25">
      <c r="A82" s="73"/>
      <c r="B82" s="73"/>
      <c r="C82" s="73"/>
      <c r="D82" s="73"/>
      <c r="E82" s="115" t="s">
        <v>239</v>
      </c>
      <c r="F82" s="73"/>
      <c r="G82" s="115" t="s">
        <v>231</v>
      </c>
      <c r="H82" s="136">
        <f>IF(SUM(H76:H80)= 1, 0, 1)</f>
        <v>0</v>
      </c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74"/>
      <c r="AS82" s="73"/>
      <c r="AT82" s="42"/>
    </row>
    <row r="83" spans="1:46" x14ac:dyDescent="0.25">
      <c r="A83" s="73"/>
      <c r="B83" s="73"/>
      <c r="C83" s="73"/>
      <c r="D83" s="73"/>
      <c r="E83" s="109"/>
      <c r="F83" s="73"/>
      <c r="G83" s="73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3"/>
      <c r="AT83" s="42"/>
    </row>
    <row r="84" spans="1:46" x14ac:dyDescent="0.25">
      <c r="A84" s="73"/>
      <c r="B84" s="107" t="s">
        <v>242</v>
      </c>
      <c r="C84" s="107"/>
      <c r="D84" s="107"/>
      <c r="E84" s="107"/>
      <c r="F84" s="107"/>
      <c r="G84" s="107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7"/>
      <c r="AT84" s="42"/>
    </row>
    <row r="85" spans="1:46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3"/>
      <c r="AT85" s="42"/>
    </row>
    <row r="86" spans="1:46" x14ac:dyDescent="0.25">
      <c r="A86" s="73"/>
      <c r="B86" s="73"/>
      <c r="C86" s="109"/>
      <c r="D86" s="109"/>
      <c r="E86" s="115" t="s">
        <v>232</v>
      </c>
      <c r="F86" s="73"/>
      <c r="G86" s="115" t="s">
        <v>231</v>
      </c>
      <c r="H86" s="159">
        <f>H62 + H73 + H82</f>
        <v>0</v>
      </c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74"/>
      <c r="AS86" s="73"/>
      <c r="AT86" s="42"/>
    </row>
    <row r="87" spans="1:46" x14ac:dyDescent="0.25">
      <c r="A87" s="73"/>
      <c r="B87" s="73"/>
      <c r="C87" s="73"/>
      <c r="D87" s="73"/>
      <c r="E87" s="109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3"/>
      <c r="AT87" s="42"/>
    </row>
    <row r="88" spans="1:46" x14ac:dyDescent="0.25">
      <c r="A88" s="73"/>
      <c r="B88" s="107" t="s">
        <v>30</v>
      </c>
      <c r="C88" s="107"/>
      <c r="D88" s="107"/>
      <c r="E88" s="107"/>
      <c r="F88" s="107"/>
      <c r="G88" s="107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7"/>
      <c r="AT88" s="42"/>
    </row>
  </sheetData>
  <sheetProtection sheet="1" objects="1" formatCells="0" formatColumns="0" formatRows="0" sort="0" autoFilter="0"/>
  <conditionalFormatting sqref="H62">
    <cfRule type="cellIs" dxfId="24" priority="3" stopIfTrue="1" operator="greaterThan">
      <formula>0</formula>
    </cfRule>
  </conditionalFormatting>
  <conditionalFormatting sqref="H73">
    <cfRule type="cellIs" dxfId="23" priority="4" stopIfTrue="1" operator="greaterThan">
      <formula>0</formula>
    </cfRule>
  </conditionalFormatting>
  <conditionalFormatting sqref="H82">
    <cfRule type="cellIs" dxfId="22" priority="5" stopIfTrue="1" operator="greaterThan">
      <formula>0</formula>
    </cfRule>
  </conditionalFormatting>
  <conditionalFormatting sqref="H86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3eda9f60ba35fa792978f47f221bc710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8ab4db3f37c2fb55e352b75920aaf867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39</DocumentCategory>
    <DateLastActivated1 xmlns="c7312139-f4c2-453d-a4c8-c631b6303d87">2018-10-18T12:49:43+00:00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2018-10-15T23:00:00+00:00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v3</DocVersion>
    <Archived xmlns="c7312139-f4c2-453d-a4c8-c631b6303d87">false</Archived>
    <SQLID xmlns="c7312139-f4c2-453d-a4c8-c631b6303d87" xsi:nil="true"/>
  </documentManagement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8DDE019F-EB8E-4761-864A-CFD2C4783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BDF1FF-06AA-4DFC-8CB1-75144B86E2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086A6F-3AC5-491A-84FE-7E3CBBBDAD6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f11e38d-df47-44a9-bb81-9cb5331e96c9"/>
    <ds:schemaRef ds:uri="http://schemas.microsoft.com/office/2006/documentManagement/types"/>
    <ds:schemaRef ds:uri="http://www.w3.org/XML/1998/namespace"/>
    <ds:schemaRef ds:uri="http://purl.org/dc/dcmitype/"/>
    <ds:schemaRef ds:uri="c7312139-f4c2-453d-a4c8-c631b6303d87"/>
    <ds:schemaRef ds:uri="830862f3-40c2-43d5-9778-1909aaa95bc7"/>
  </ds:schemaRefs>
</ds:datastoreItem>
</file>

<file path=customXml/itemProps4.xml><?xml version="1.0" encoding="utf-8"?>
<ds:datastoreItem xmlns:ds="http://schemas.openxmlformats.org/officeDocument/2006/customXml" ds:itemID="{963231A7-B9AC-4D31-ADB8-3B4FE835883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PCDM_v3_20181016</dc:title>
  <dc:subject/>
  <dc:creator/>
  <cp:keywords/>
  <dc:description/>
  <cp:lastModifiedBy/>
  <dcterms:created xsi:type="dcterms:W3CDTF">2018-05-04T11:23:25Z</dcterms:created>
  <dcterms:modified xsi:type="dcterms:W3CDTF">2018-12-14T10:56:10Z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</Properties>
</file>